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5.- PUBLICADOS\2018 Archivos web\45_Semana 27 de 12 al 31 de 12\"/>
    </mc:Choice>
  </mc:AlternateContent>
  <bookViews>
    <workbookView xWindow="-15" yWindow="6240" windowWidth="19215" windowHeight="5250" tabRatio="809" activeTab="6"/>
  </bookViews>
  <sheets>
    <sheet name="Resumen" sheetId="3" r:id="rId1"/>
    <sheet name="Cuota Artesanal" sheetId="1" r:id="rId2"/>
    <sheet name="Cuota Industrial" sheetId="2" r:id="rId3"/>
    <sheet name="Jurel-ORP" sheetId="4" r:id="rId4"/>
    <sheet name="Cesiones Cuota Individual" sheetId="5" r:id="rId5"/>
    <sheet name="Consumo Humano" sheetId="7" r:id="rId6"/>
    <sheet name="Pag. Web" sheetId="6" r:id="rId7"/>
  </sheets>
  <definedNames>
    <definedName name="_xlnm._FilterDatabase" localSheetId="4" hidden="1">'Cesiones Cuota Individual'!$B$6:$J$88</definedName>
    <definedName name="_xlnm._FilterDatabase" localSheetId="1" hidden="1">'Cuota Artesanal'!$B$4:$P$5</definedName>
    <definedName name="_xlnm._FilterDatabase" localSheetId="2" hidden="1">'Cuota Industrial'!$B$4:$Q$177</definedName>
    <definedName name="_xlnm._FilterDatabase" localSheetId="6" hidden="1">'Pag. Web'!$A$1:$O$322</definedName>
  </definedNames>
  <calcPr calcId="162913"/>
</workbook>
</file>

<file path=xl/calcChain.xml><?xml version="1.0" encoding="utf-8"?>
<calcChain xmlns="http://schemas.openxmlformats.org/spreadsheetml/2006/main">
  <c r="F32" i="1" l="1"/>
  <c r="F93" i="1"/>
  <c r="G92" i="1"/>
  <c r="I92" i="1" s="1"/>
  <c r="G93" i="1" s="1"/>
  <c r="K92" i="1"/>
  <c r="L92" i="1"/>
  <c r="N92" i="1"/>
  <c r="F153" i="2"/>
  <c r="M92" i="1" l="1"/>
  <c r="P92" i="1" s="1"/>
  <c r="O92" i="1"/>
  <c r="I93" i="1"/>
  <c r="J93" i="1"/>
  <c r="G125" i="4"/>
  <c r="I120" i="4" s="1"/>
  <c r="G226" i="4"/>
  <c r="I221" i="4" s="1"/>
  <c r="H97" i="1"/>
  <c r="H12" i="1"/>
  <c r="H95" i="1"/>
  <c r="H120" i="4" l="1"/>
  <c r="H221" i="4"/>
  <c r="I59" i="5"/>
  <c r="J61" i="5"/>
  <c r="F93" i="2" l="1"/>
  <c r="F81" i="2"/>
  <c r="F7" i="2"/>
  <c r="G266" i="4" l="1"/>
  <c r="I264" i="4" s="1"/>
  <c r="G260" i="4"/>
  <c r="I257" i="4" s="1"/>
  <c r="G71" i="4"/>
  <c r="H66" i="4" s="1"/>
  <c r="I63" i="5"/>
  <c r="G22" i="1"/>
  <c r="I22" i="1" s="1"/>
  <c r="H23" i="1"/>
  <c r="J63" i="5"/>
  <c r="J59" i="5"/>
  <c r="J57" i="5"/>
  <c r="J34" i="5"/>
  <c r="I34" i="5"/>
  <c r="H264" i="4" l="1"/>
  <c r="H257" i="4"/>
  <c r="I66" i="4"/>
  <c r="N22" i="1" l="1"/>
  <c r="K22" i="1"/>
  <c r="F63" i="1"/>
  <c r="H62" i="1" l="1"/>
  <c r="H56" i="1"/>
  <c r="I14" i="5"/>
  <c r="I60" i="5"/>
  <c r="I88" i="5"/>
  <c r="I57" i="5"/>
  <c r="I61" i="5"/>
  <c r="J88" i="5"/>
  <c r="F119" i="2" l="1"/>
  <c r="F77" i="2"/>
  <c r="F23" i="1"/>
  <c r="G23" i="1" l="1"/>
  <c r="L22" i="1"/>
  <c r="M22" i="1" s="1"/>
  <c r="O22" i="1" s="1"/>
  <c r="F71" i="2"/>
  <c r="F19" i="2"/>
  <c r="F11" i="2"/>
  <c r="F9" i="2"/>
  <c r="I23" i="1" l="1"/>
  <c r="J23" i="1"/>
  <c r="G246" i="4"/>
  <c r="I245" i="4" s="1"/>
  <c r="H245" i="4" l="1"/>
  <c r="G116" i="4" l="1"/>
  <c r="I111" i="4" s="1"/>
  <c r="H111" i="4" l="1"/>
  <c r="H63" i="1"/>
  <c r="F87" i="2" l="1"/>
  <c r="F149" i="2"/>
  <c r="F49" i="2"/>
  <c r="F24" i="1"/>
  <c r="G24" i="1" s="1"/>
  <c r="E98" i="2" l="1"/>
  <c r="E97" i="2"/>
  <c r="F131" i="2"/>
  <c r="F129" i="2"/>
  <c r="F73" i="2"/>
  <c r="F59" i="2"/>
  <c r="D22" i="3"/>
  <c r="E60" i="2"/>
  <c r="E59" i="2"/>
  <c r="F45" i="2" l="1"/>
  <c r="F57" i="2" l="1"/>
  <c r="F35" i="2"/>
  <c r="N61" i="1" l="1"/>
  <c r="K61" i="1"/>
  <c r="M61" i="1" s="1"/>
  <c r="I61" i="1"/>
  <c r="G62" i="1" s="1"/>
  <c r="I62" i="1" s="1"/>
  <c r="G61" i="1"/>
  <c r="F62" i="1"/>
  <c r="L61" i="1" s="1"/>
  <c r="F113" i="2"/>
  <c r="J62" i="1" l="1"/>
  <c r="P61" i="1"/>
  <c r="O61" i="1"/>
  <c r="F91" i="2"/>
  <c r="F53" i="1" l="1"/>
  <c r="F97" i="2" l="1"/>
  <c r="G163" i="4" l="1"/>
  <c r="I161" i="4" s="1"/>
  <c r="G157" i="4"/>
  <c r="H155" i="4" s="1"/>
  <c r="G151" i="4"/>
  <c r="I149" i="4" s="1"/>
  <c r="F18" i="1"/>
  <c r="G18" i="1" s="1"/>
  <c r="F34" i="2"/>
  <c r="I155" i="4" l="1"/>
  <c r="H161" i="4"/>
  <c r="H149" i="4"/>
  <c r="H60" i="1" l="1"/>
  <c r="J60" i="5"/>
  <c r="N59" i="1" l="1"/>
  <c r="K59" i="1"/>
  <c r="F59" i="1"/>
  <c r="L59" i="1" s="1"/>
  <c r="F80" i="1"/>
  <c r="M59" i="1" l="1"/>
  <c r="O59" i="1" s="1"/>
  <c r="G59" i="1"/>
  <c r="J59" i="1" l="1"/>
  <c r="I59" i="1"/>
  <c r="G60" i="1" s="1"/>
  <c r="P59" i="1"/>
  <c r="F15" i="2"/>
  <c r="I60" i="1" l="1"/>
  <c r="J60" i="1"/>
  <c r="G217" i="4"/>
  <c r="I212" i="4" s="1"/>
  <c r="H212" i="4" l="1"/>
  <c r="G66" i="2"/>
  <c r="F65" i="2"/>
  <c r="F23" i="2" l="1"/>
  <c r="F117" i="2" l="1"/>
  <c r="F36" i="1"/>
  <c r="F137" i="2" l="1"/>
  <c r="F39" i="2"/>
  <c r="F25" i="2"/>
  <c r="H58" i="1" l="1"/>
  <c r="N57" i="1" l="1"/>
  <c r="K57" i="1"/>
  <c r="G57" i="1"/>
  <c r="I57" i="1" s="1"/>
  <c r="F58" i="1"/>
  <c r="F86" i="1"/>
  <c r="G58" i="1" l="1"/>
  <c r="J58" i="1" s="1"/>
  <c r="L57" i="1"/>
  <c r="M57" i="1" s="1"/>
  <c r="P57" i="1" s="1"/>
  <c r="I58" i="1" l="1"/>
  <c r="O57" i="1"/>
  <c r="H53" i="1"/>
  <c r="K325" i="6" l="1"/>
  <c r="I324" i="6"/>
  <c r="K324" i="6"/>
  <c r="M324" i="6"/>
  <c r="I323" i="6"/>
  <c r="K323" i="6"/>
  <c r="M323" i="6"/>
  <c r="H325" i="6"/>
  <c r="H324" i="6"/>
  <c r="H323" i="6"/>
  <c r="F31" i="2"/>
  <c r="G31" i="2" s="1"/>
  <c r="L31" i="2" l="1"/>
  <c r="L33" i="2" l="1"/>
  <c r="K33" i="2"/>
  <c r="N33" i="2"/>
  <c r="G33" i="2"/>
  <c r="J323" i="6" s="1"/>
  <c r="I33" i="2" l="1"/>
  <c r="L323" i="6" s="1"/>
  <c r="M33" i="2"/>
  <c r="J325" i="6" s="1"/>
  <c r="I325" i="6"/>
  <c r="G34" i="2"/>
  <c r="M325" i="6"/>
  <c r="O33" i="2"/>
  <c r="L325" i="6" s="1"/>
  <c r="I34" i="2" l="1"/>
  <c r="L324" i="6" s="1"/>
  <c r="J324" i="6"/>
  <c r="N55" i="1"/>
  <c r="K55" i="1"/>
  <c r="G51" i="1"/>
  <c r="F55" i="1"/>
  <c r="L55" i="1" s="1"/>
  <c r="G53" i="1"/>
  <c r="I53" i="1" s="1"/>
  <c r="G54" i="1" s="1"/>
  <c r="I54" i="1" s="1"/>
  <c r="F72" i="1"/>
  <c r="M55" i="1" l="1"/>
  <c r="P55" i="1" s="1"/>
  <c r="G55" i="1"/>
  <c r="O55" i="1"/>
  <c r="E6" i="3"/>
  <c r="I55" i="1" l="1"/>
  <c r="G56" i="1" s="1"/>
  <c r="J55" i="1"/>
  <c r="G44" i="4"/>
  <c r="I41" i="4" s="1"/>
  <c r="I56" i="1" l="1"/>
  <c r="J56" i="1"/>
  <c r="H41" i="4"/>
  <c r="G208" i="4" l="1"/>
  <c r="I203" i="4" l="1"/>
  <c r="H203" i="4"/>
  <c r="I32" i="5"/>
  <c r="N63" i="1"/>
  <c r="L53" i="1"/>
  <c r="K63" i="1"/>
  <c r="K53" i="1"/>
  <c r="K51" i="1"/>
  <c r="G63" i="1"/>
  <c r="F167" i="2"/>
  <c r="M53" i="1" l="1"/>
  <c r="L63" i="1"/>
  <c r="M63" i="1" s="1"/>
  <c r="G37" i="4"/>
  <c r="I34" i="4" s="1"/>
  <c r="O63" i="1" l="1"/>
  <c r="P63" i="1"/>
  <c r="H34" i="4"/>
  <c r="F20" i="1" l="1"/>
  <c r="G20" i="1" s="1"/>
  <c r="L81" i="2" l="1"/>
  <c r="F61" i="2"/>
  <c r="F29" i="1" l="1"/>
  <c r="H16" i="1" l="1"/>
  <c r="F171" i="2" l="1"/>
  <c r="L171" i="2" s="1"/>
  <c r="I7" i="5" l="1"/>
  <c r="G107" i="4" l="1"/>
  <c r="H102" i="4" s="1"/>
  <c r="I102" i="4" l="1"/>
  <c r="N322" i="6" l="1"/>
  <c r="N321" i="6"/>
  <c r="H322" i="6"/>
  <c r="I322" i="6"/>
  <c r="K322" i="6"/>
  <c r="I321" i="6"/>
  <c r="H321" i="6"/>
  <c r="L20" i="1"/>
  <c r="K20" i="1"/>
  <c r="H20" i="1"/>
  <c r="N20" i="1" s="1"/>
  <c r="J32" i="5"/>
  <c r="M321" i="6"/>
  <c r="F155" i="2"/>
  <c r="M20" i="1" l="1"/>
  <c r="O20" i="1" s="1"/>
  <c r="K321" i="6"/>
  <c r="I20" i="1"/>
  <c r="G21" i="1" s="1"/>
  <c r="J321" i="6"/>
  <c r="N53" i="1" l="1"/>
  <c r="L321" i="6"/>
  <c r="F88" i="1"/>
  <c r="P53" i="1" l="1"/>
  <c r="O53" i="1"/>
  <c r="I21" i="1"/>
  <c r="L322" i="6" s="1"/>
  <c r="J322" i="6"/>
  <c r="M322" i="6"/>
  <c r="F76" i="1"/>
  <c r="J7" i="5"/>
  <c r="J319" i="6"/>
  <c r="K319" i="6"/>
  <c r="K320" i="6"/>
  <c r="I320" i="6"/>
  <c r="I319" i="6"/>
  <c r="K318" i="6"/>
  <c r="I318" i="6"/>
  <c r="H317" i="6"/>
  <c r="H318" i="6"/>
  <c r="I9" i="5" l="1"/>
  <c r="E13" i="3" l="1"/>
  <c r="J53" i="1" l="1"/>
  <c r="M319" i="6" s="1"/>
  <c r="L319" i="6"/>
  <c r="J63" i="1"/>
  <c r="I63" i="1" l="1"/>
  <c r="G64" i="1" s="1"/>
  <c r="F55" i="2"/>
  <c r="I64" i="1" l="1"/>
  <c r="E158" i="2"/>
  <c r="E157" i="2"/>
  <c r="F173" i="2" l="1"/>
  <c r="E174" i="2"/>
  <c r="E173" i="2"/>
  <c r="E172" i="2"/>
  <c r="E171" i="2"/>
  <c r="G145" i="4" l="1"/>
  <c r="I143" i="4" s="1"/>
  <c r="H143" i="4" l="1"/>
  <c r="F109" i="2" l="1"/>
  <c r="N173" i="2"/>
  <c r="L173" i="2"/>
  <c r="K173" i="2"/>
  <c r="G173" i="2"/>
  <c r="I173" i="2" s="1"/>
  <c r="I174" i="2" s="1"/>
  <c r="M173" i="2" l="1"/>
  <c r="O173" i="2" s="1"/>
  <c r="F37" i="2"/>
  <c r="F51" i="2"/>
  <c r="F67" i="2"/>
  <c r="F159" i="2" l="1"/>
  <c r="F133" i="2"/>
  <c r="F111" i="2" l="1"/>
  <c r="G241" i="4"/>
  <c r="H240" i="4" s="1"/>
  <c r="G98" i="4"/>
  <c r="I93" i="4" s="1"/>
  <c r="G199" i="4"/>
  <c r="I194" i="4" s="1"/>
  <c r="G6" i="1"/>
  <c r="I6" i="1" s="1"/>
  <c r="G7" i="1" s="1"/>
  <c r="G9" i="1"/>
  <c r="J9" i="5"/>
  <c r="F13" i="7"/>
  <c r="D8" i="7"/>
  <c r="G13" i="7"/>
  <c r="G12" i="7"/>
  <c r="F12" i="7"/>
  <c r="G236" i="4"/>
  <c r="I235" i="4" s="1"/>
  <c r="I146" i="6"/>
  <c r="I86" i="6"/>
  <c r="F85" i="2"/>
  <c r="F147" i="2"/>
  <c r="F151" i="2"/>
  <c r="F141" i="2"/>
  <c r="F157" i="2"/>
  <c r="G30" i="4"/>
  <c r="H27" i="4" s="1"/>
  <c r="F14" i="1"/>
  <c r="F163" i="2"/>
  <c r="L163" i="2" s="1"/>
  <c r="F29" i="2"/>
  <c r="F165" i="2"/>
  <c r="F63" i="2"/>
  <c r="L63" i="2" s="1"/>
  <c r="I73" i="6" s="1"/>
  <c r="F69" i="2"/>
  <c r="F17" i="2"/>
  <c r="F115" i="2"/>
  <c r="G115" i="2" s="1"/>
  <c r="H18" i="1"/>
  <c r="H24" i="1"/>
  <c r="N24" i="1" s="1"/>
  <c r="K18" i="1"/>
  <c r="I317" i="6"/>
  <c r="L18" i="1"/>
  <c r="L6" i="1"/>
  <c r="I226" i="6" s="1"/>
  <c r="K6" i="1"/>
  <c r="H226" i="6" s="1"/>
  <c r="N16" i="1"/>
  <c r="K316" i="6"/>
  <c r="I316" i="6"/>
  <c r="K24" i="1"/>
  <c r="K16" i="1"/>
  <c r="K14" i="1"/>
  <c r="H232" i="6" s="1"/>
  <c r="H316" i="6"/>
  <c r="H315" i="6"/>
  <c r="M306" i="6"/>
  <c r="L306" i="6"/>
  <c r="K306" i="6"/>
  <c r="J306" i="6"/>
  <c r="I306" i="6"/>
  <c r="H306" i="6"/>
  <c r="J315" i="6"/>
  <c r="H2" i="6"/>
  <c r="G190" i="4"/>
  <c r="I185" i="4" s="1"/>
  <c r="G89" i="4"/>
  <c r="I84" i="4" s="1"/>
  <c r="F145" i="2"/>
  <c r="F83" i="2"/>
  <c r="I95" i="6" s="1"/>
  <c r="F47" i="2"/>
  <c r="F75" i="2"/>
  <c r="I83" i="6" s="1"/>
  <c r="G23" i="4"/>
  <c r="H20" i="4" s="1"/>
  <c r="G139" i="4"/>
  <c r="I137" i="4" s="1"/>
  <c r="N14" i="1"/>
  <c r="G253" i="4"/>
  <c r="H250" i="4" s="1"/>
  <c r="G80" i="4"/>
  <c r="I75" i="4" s="1"/>
  <c r="G231" i="4"/>
  <c r="I230" i="4" s="1"/>
  <c r="G62" i="4"/>
  <c r="H57" i="4" s="1"/>
  <c r="F21" i="2"/>
  <c r="G21" i="2" s="1"/>
  <c r="F107" i="2"/>
  <c r="G72" i="1"/>
  <c r="J270" i="6" s="1"/>
  <c r="E76" i="1"/>
  <c r="G76" i="1" s="1"/>
  <c r="I76" i="1" s="1"/>
  <c r="E77" i="1"/>
  <c r="K76" i="1" s="1"/>
  <c r="N171" i="2"/>
  <c r="K171" i="2"/>
  <c r="I170" i="2"/>
  <c r="L219" i="6" s="1"/>
  <c r="G181" i="4"/>
  <c r="I176" i="4" s="1"/>
  <c r="M171" i="2"/>
  <c r="O171" i="2" s="1"/>
  <c r="G171" i="2"/>
  <c r="I171" i="2" s="1"/>
  <c r="I172" i="2" s="1"/>
  <c r="G75" i="2"/>
  <c r="J83" i="6" s="1"/>
  <c r="F99" i="2"/>
  <c r="F95" i="2"/>
  <c r="F127" i="2"/>
  <c r="G135" i="2"/>
  <c r="J135" i="2" s="1"/>
  <c r="M167" i="6" s="1"/>
  <c r="G139" i="2"/>
  <c r="G143" i="2"/>
  <c r="G145" i="2"/>
  <c r="G147" i="2"/>
  <c r="J185" i="6" s="1"/>
  <c r="G149" i="2"/>
  <c r="J188" i="6" s="1"/>
  <c r="G155" i="2"/>
  <c r="J155" i="2" s="1"/>
  <c r="M197" i="6" s="1"/>
  <c r="G159" i="2"/>
  <c r="G161" i="2"/>
  <c r="J206" i="6" s="1"/>
  <c r="G165" i="2"/>
  <c r="G167" i="2"/>
  <c r="F123" i="2"/>
  <c r="N41" i="2"/>
  <c r="K40" i="6" s="1"/>
  <c r="N43" i="2"/>
  <c r="N45" i="2"/>
  <c r="N47" i="2"/>
  <c r="N49" i="2"/>
  <c r="K52" i="6" s="1"/>
  <c r="N51" i="2"/>
  <c r="N53" i="2"/>
  <c r="N55" i="2"/>
  <c r="N57" i="2"/>
  <c r="N59" i="2"/>
  <c r="N61" i="2"/>
  <c r="N63" i="2"/>
  <c r="N65" i="2"/>
  <c r="K76" i="6" s="1"/>
  <c r="N67" i="2"/>
  <c r="K79" i="6" s="1"/>
  <c r="N69" i="2"/>
  <c r="N71" i="2"/>
  <c r="N73" i="2"/>
  <c r="L41" i="2"/>
  <c r="I40" i="6" s="1"/>
  <c r="L43" i="2"/>
  <c r="L47" i="2"/>
  <c r="L49" i="2"/>
  <c r="L51" i="2"/>
  <c r="L53" i="2"/>
  <c r="L55" i="2"/>
  <c r="L57" i="2"/>
  <c r="I64" i="6" s="1"/>
  <c r="L61" i="2"/>
  <c r="L67" i="2"/>
  <c r="L69" i="2"/>
  <c r="I82" i="6" s="1"/>
  <c r="L71" i="2"/>
  <c r="L39" i="2"/>
  <c r="K41" i="2"/>
  <c r="K43" i="2"/>
  <c r="M43" i="2" s="1"/>
  <c r="J43" i="6" s="1"/>
  <c r="K45" i="2"/>
  <c r="K47" i="2"/>
  <c r="K49" i="2"/>
  <c r="K51" i="2"/>
  <c r="M51" i="2" s="1"/>
  <c r="O51" i="2" s="1"/>
  <c r="L55" i="6" s="1"/>
  <c r="K53" i="2"/>
  <c r="K55" i="2"/>
  <c r="M55" i="2" s="1"/>
  <c r="K57" i="2"/>
  <c r="K59" i="2"/>
  <c r="H67" i="6" s="1"/>
  <c r="K61" i="2"/>
  <c r="K63" i="2"/>
  <c r="K65" i="2"/>
  <c r="H76" i="6" s="1"/>
  <c r="K67" i="2"/>
  <c r="K69" i="2"/>
  <c r="K71" i="2"/>
  <c r="K73" i="2"/>
  <c r="K39" i="2"/>
  <c r="G39" i="2"/>
  <c r="I39" i="2" s="1"/>
  <c r="G40" i="2" s="1"/>
  <c r="G49" i="2"/>
  <c r="J49" i="2" s="1"/>
  <c r="M50" i="6" s="1"/>
  <c r="G41" i="2"/>
  <c r="I41" i="2" s="1"/>
  <c r="G43" i="2"/>
  <c r="J43" i="2"/>
  <c r="M41" i="6" s="1"/>
  <c r="G47" i="2"/>
  <c r="I47" i="2"/>
  <c r="G48" i="2" s="1"/>
  <c r="I48" i="2" s="1"/>
  <c r="L48" i="6" s="1"/>
  <c r="G51" i="2"/>
  <c r="J51" i="2" s="1"/>
  <c r="M53" i="6" s="1"/>
  <c r="G53" i="2"/>
  <c r="I53" i="2" s="1"/>
  <c r="G54" i="2" s="1"/>
  <c r="G55" i="2"/>
  <c r="G57" i="2"/>
  <c r="J57" i="2" s="1"/>
  <c r="M62" i="6" s="1"/>
  <c r="G61" i="2"/>
  <c r="I61" i="2" s="1"/>
  <c r="G62" i="2" s="1"/>
  <c r="J69" i="6" s="1"/>
  <c r="G63" i="2"/>
  <c r="I63" i="2" s="1"/>
  <c r="G67" i="2"/>
  <c r="J67" i="2" s="1"/>
  <c r="M77" i="6" s="1"/>
  <c r="G69" i="2"/>
  <c r="J69" i="2" s="1"/>
  <c r="G71" i="2"/>
  <c r="I71" i="2" s="1"/>
  <c r="G72" i="2" s="1"/>
  <c r="I72" i="2" s="1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7" i="2"/>
  <c r="N5" i="2"/>
  <c r="L7" i="2"/>
  <c r="I7" i="6" s="1"/>
  <c r="L9" i="2"/>
  <c r="L11" i="2"/>
  <c r="L19" i="2"/>
  <c r="L21" i="2"/>
  <c r="I28" i="6" s="1"/>
  <c r="L23" i="2"/>
  <c r="I31" i="6" s="1"/>
  <c r="L29" i="2"/>
  <c r="L5" i="2"/>
  <c r="K7" i="2"/>
  <c r="K9" i="2"/>
  <c r="K13" i="2"/>
  <c r="K15" i="2"/>
  <c r="H19" i="6" s="1"/>
  <c r="K17" i="2"/>
  <c r="K19" i="2"/>
  <c r="K21" i="2"/>
  <c r="K23" i="2"/>
  <c r="H31" i="6" s="1"/>
  <c r="K25" i="2"/>
  <c r="K27" i="2"/>
  <c r="K29" i="2"/>
  <c r="K31" i="2"/>
  <c r="K37" i="2"/>
  <c r="K5" i="2"/>
  <c r="M5" i="2" s="1"/>
  <c r="O5" i="2" s="1"/>
  <c r="L4" i="6" s="1"/>
  <c r="L25" i="2"/>
  <c r="I34" i="6" s="1"/>
  <c r="G7" i="2"/>
  <c r="J7" i="2" s="1"/>
  <c r="M5" i="6" s="1"/>
  <c r="I7" i="2"/>
  <c r="G8" i="2" s="1"/>
  <c r="G9" i="2"/>
  <c r="I9" i="2" s="1"/>
  <c r="G19" i="2"/>
  <c r="G23" i="2"/>
  <c r="G29" i="2"/>
  <c r="I29" i="2" s="1"/>
  <c r="G30" i="2" s="1"/>
  <c r="I30" i="2" s="1"/>
  <c r="I31" i="2"/>
  <c r="G32" i="2" s="1"/>
  <c r="I32" i="2" s="1"/>
  <c r="G5" i="2"/>
  <c r="I5" i="2" s="1"/>
  <c r="N131" i="2"/>
  <c r="N129" i="2"/>
  <c r="L131" i="2"/>
  <c r="M131" i="2" s="1"/>
  <c r="L129" i="2"/>
  <c r="K131" i="2"/>
  <c r="K129" i="2"/>
  <c r="G131" i="2"/>
  <c r="I131" i="2" s="1"/>
  <c r="G129" i="2"/>
  <c r="I129" i="2" s="1"/>
  <c r="G137" i="2"/>
  <c r="J137" i="2" s="1"/>
  <c r="M170" i="6" s="1"/>
  <c r="I43" i="2"/>
  <c r="G44" i="2" s="1"/>
  <c r="J42" i="6" s="1"/>
  <c r="J41" i="2"/>
  <c r="M38" i="6" s="1"/>
  <c r="J53" i="2"/>
  <c r="M56" i="6" s="1"/>
  <c r="M39" i="2"/>
  <c r="P39" i="2" s="1"/>
  <c r="M47" i="2"/>
  <c r="J49" i="6" s="1"/>
  <c r="I69" i="2"/>
  <c r="J47" i="2"/>
  <c r="L37" i="2"/>
  <c r="M37" i="2" s="1"/>
  <c r="G37" i="2"/>
  <c r="L73" i="2"/>
  <c r="G73" i="2"/>
  <c r="I73" i="2" s="1"/>
  <c r="F27" i="2"/>
  <c r="L27" i="2" s="1"/>
  <c r="M27" i="2" s="1"/>
  <c r="O27" i="2" s="1"/>
  <c r="G27" i="2"/>
  <c r="I27" i="2" s="1"/>
  <c r="G28" i="2" s="1"/>
  <c r="I28" i="2" s="1"/>
  <c r="G172" i="4"/>
  <c r="I167" i="4" s="1"/>
  <c r="F125" i="2"/>
  <c r="I122" i="2"/>
  <c r="G16" i="4"/>
  <c r="H13" i="4" s="1"/>
  <c r="F169" i="2"/>
  <c r="G169" i="2" s="1"/>
  <c r="F175" i="2"/>
  <c r="G175" i="2" s="1"/>
  <c r="J221" i="6" s="1"/>
  <c r="L15" i="2"/>
  <c r="G15" i="2"/>
  <c r="J15" i="2" s="1"/>
  <c r="M17" i="6" s="1"/>
  <c r="F121" i="2"/>
  <c r="F105" i="2"/>
  <c r="K87" i="2"/>
  <c r="H103" i="6" s="1"/>
  <c r="N233" i="6"/>
  <c r="N268" i="6"/>
  <c r="N267" i="6"/>
  <c r="N298" i="6"/>
  <c r="N297" i="6"/>
  <c r="N295" i="6"/>
  <c r="N294" i="6"/>
  <c r="N292" i="6"/>
  <c r="N291" i="6"/>
  <c r="N289" i="6"/>
  <c r="N288" i="6"/>
  <c r="N286" i="6"/>
  <c r="N285" i="6"/>
  <c r="N283" i="6"/>
  <c r="N282" i="6"/>
  <c r="N280" i="6"/>
  <c r="N279" i="6"/>
  <c r="N277" i="6"/>
  <c r="N274" i="6"/>
  <c r="N273" i="6"/>
  <c r="N271" i="6"/>
  <c r="N270" i="6"/>
  <c r="N265" i="6"/>
  <c r="N264" i="6"/>
  <c r="N262" i="6"/>
  <c r="N261" i="6"/>
  <c r="N259" i="6"/>
  <c r="N258" i="6"/>
  <c r="N256" i="6"/>
  <c r="N255" i="6"/>
  <c r="N253" i="6"/>
  <c r="N252" i="6"/>
  <c r="N250" i="6"/>
  <c r="N249" i="6"/>
  <c r="N247" i="6"/>
  <c r="N246" i="6"/>
  <c r="N244" i="6"/>
  <c r="N241" i="6"/>
  <c r="N240" i="6"/>
  <c r="N238" i="6"/>
  <c r="N237" i="6"/>
  <c r="N235" i="6"/>
  <c r="N234" i="6"/>
  <c r="N231" i="6"/>
  <c r="N230" i="6"/>
  <c r="N228" i="6"/>
  <c r="N227" i="6"/>
  <c r="N225" i="6"/>
  <c r="N224" i="6"/>
  <c r="N276" i="6"/>
  <c r="N243" i="6"/>
  <c r="G24" i="3"/>
  <c r="K303" i="6" s="1"/>
  <c r="G48" i="4"/>
  <c r="G50" i="4"/>
  <c r="I17" i="6"/>
  <c r="I15" i="6"/>
  <c r="F13" i="2"/>
  <c r="I14" i="6"/>
  <c r="H295" i="6"/>
  <c r="I295" i="6"/>
  <c r="K295" i="6"/>
  <c r="I294" i="6"/>
  <c r="K294" i="6"/>
  <c r="H294" i="6"/>
  <c r="N86" i="1"/>
  <c r="K296" i="6" s="1"/>
  <c r="L86" i="1"/>
  <c r="I296" i="6" s="1"/>
  <c r="K86" i="1"/>
  <c r="G86" i="1"/>
  <c r="J86" i="1" s="1"/>
  <c r="M294" i="6" s="1"/>
  <c r="F16" i="1"/>
  <c r="G16" i="1" s="1"/>
  <c r="J16" i="1" s="1"/>
  <c r="L16" i="1"/>
  <c r="I233" i="6" s="1"/>
  <c r="I38" i="6"/>
  <c r="K38" i="6"/>
  <c r="I39" i="6"/>
  <c r="K39" i="6"/>
  <c r="H39" i="6"/>
  <c r="K26" i="6"/>
  <c r="I27" i="6"/>
  <c r="K27" i="6"/>
  <c r="H27" i="6"/>
  <c r="M34" i="6"/>
  <c r="N82" i="1"/>
  <c r="L82" i="1"/>
  <c r="I287" i="6" s="1"/>
  <c r="K82" i="1"/>
  <c r="G82" i="1"/>
  <c r="J82" i="1" s="1"/>
  <c r="M285" i="6" s="1"/>
  <c r="K298" i="6"/>
  <c r="K297" i="6"/>
  <c r="I298" i="6"/>
  <c r="I297" i="6"/>
  <c r="H298" i="6"/>
  <c r="H297" i="6"/>
  <c r="M291" i="6"/>
  <c r="K292" i="6"/>
  <c r="K291" i="6"/>
  <c r="I292" i="6"/>
  <c r="I291" i="6"/>
  <c r="H292" i="6"/>
  <c r="H291" i="6"/>
  <c r="K289" i="6"/>
  <c r="K288" i="6"/>
  <c r="I289" i="6"/>
  <c r="I288" i="6"/>
  <c r="H289" i="6"/>
  <c r="H288" i="6"/>
  <c r="K286" i="6"/>
  <c r="K285" i="6"/>
  <c r="I286" i="6"/>
  <c r="I285" i="6"/>
  <c r="H286" i="6"/>
  <c r="H285" i="6"/>
  <c r="K283" i="6"/>
  <c r="I283" i="6"/>
  <c r="H283" i="6"/>
  <c r="H282" i="6"/>
  <c r="K280" i="6"/>
  <c r="K279" i="6"/>
  <c r="I280" i="6"/>
  <c r="H280" i="6"/>
  <c r="H279" i="6"/>
  <c r="M276" i="6"/>
  <c r="K277" i="6"/>
  <c r="K276" i="6"/>
  <c r="I277" i="6"/>
  <c r="I276" i="6"/>
  <c r="H276" i="6"/>
  <c r="K274" i="6"/>
  <c r="K273" i="6"/>
  <c r="I274" i="6"/>
  <c r="H274" i="6"/>
  <c r="H273" i="6"/>
  <c r="K271" i="6"/>
  <c r="K270" i="6"/>
  <c r="I271" i="6"/>
  <c r="I270" i="6"/>
  <c r="H271" i="6"/>
  <c r="H270" i="6"/>
  <c r="K268" i="6"/>
  <c r="K267" i="6"/>
  <c r="I268" i="6"/>
  <c r="I267" i="6"/>
  <c r="H268" i="6"/>
  <c r="H267" i="6"/>
  <c r="K265" i="6"/>
  <c r="K264" i="6"/>
  <c r="I265" i="6"/>
  <c r="I264" i="6"/>
  <c r="H265" i="6"/>
  <c r="H264" i="6"/>
  <c r="K262" i="6"/>
  <c r="K261" i="6"/>
  <c r="I262" i="6"/>
  <c r="I261" i="6"/>
  <c r="H262" i="6"/>
  <c r="H261" i="6"/>
  <c r="K259" i="6"/>
  <c r="K258" i="6"/>
  <c r="I259" i="6"/>
  <c r="I258" i="6"/>
  <c r="H259" i="6"/>
  <c r="H258" i="6"/>
  <c r="K256" i="6"/>
  <c r="K255" i="6"/>
  <c r="I256" i="6"/>
  <c r="I255" i="6"/>
  <c r="H256" i="6"/>
  <c r="H255" i="6"/>
  <c r="K253" i="6"/>
  <c r="K252" i="6"/>
  <c r="I253" i="6"/>
  <c r="I252" i="6"/>
  <c r="H253" i="6"/>
  <c r="H252" i="6"/>
  <c r="K250" i="6"/>
  <c r="K249" i="6"/>
  <c r="I250" i="6"/>
  <c r="I249" i="6"/>
  <c r="H250" i="6"/>
  <c r="H249" i="6"/>
  <c r="K247" i="6"/>
  <c r="K246" i="6"/>
  <c r="I247" i="6"/>
  <c r="I246" i="6"/>
  <c r="H247" i="6"/>
  <c r="H246" i="6"/>
  <c r="K244" i="6"/>
  <c r="K243" i="6"/>
  <c r="I244" i="6"/>
  <c r="I243" i="6"/>
  <c r="H244" i="6"/>
  <c r="H243" i="6"/>
  <c r="K241" i="6"/>
  <c r="K240" i="6"/>
  <c r="I241" i="6"/>
  <c r="I240" i="6"/>
  <c r="H241" i="6"/>
  <c r="H240" i="6"/>
  <c r="K238" i="6"/>
  <c r="K237" i="6"/>
  <c r="I238" i="6"/>
  <c r="I237" i="6"/>
  <c r="H238" i="6"/>
  <c r="H237" i="6"/>
  <c r="K235" i="6"/>
  <c r="K234" i="6"/>
  <c r="I235" i="6"/>
  <c r="I234" i="6"/>
  <c r="H235" i="6"/>
  <c r="H234" i="6"/>
  <c r="K231" i="6"/>
  <c r="K230" i="6"/>
  <c r="I231" i="6"/>
  <c r="H230" i="6"/>
  <c r="H231" i="6"/>
  <c r="K228" i="6"/>
  <c r="K227" i="6"/>
  <c r="I228" i="6"/>
  <c r="I227" i="6"/>
  <c r="H228" i="6"/>
  <c r="H227" i="6"/>
  <c r="K225" i="6"/>
  <c r="K224" i="6"/>
  <c r="I225" i="6"/>
  <c r="I224" i="6"/>
  <c r="H225" i="6"/>
  <c r="H224" i="6"/>
  <c r="K222" i="6"/>
  <c r="K221" i="6"/>
  <c r="I222" i="6"/>
  <c r="I221" i="6"/>
  <c r="H222" i="6"/>
  <c r="H221" i="6"/>
  <c r="K219" i="6"/>
  <c r="K218" i="6"/>
  <c r="I219" i="6"/>
  <c r="I218" i="6"/>
  <c r="H219" i="6"/>
  <c r="H218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K209" i="6"/>
  <c r="I210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K198" i="6"/>
  <c r="K197" i="6"/>
  <c r="I198" i="6"/>
  <c r="I197" i="6"/>
  <c r="H198" i="6"/>
  <c r="H197" i="6"/>
  <c r="K195" i="6"/>
  <c r="K194" i="6"/>
  <c r="I195" i="6"/>
  <c r="I194" i="6"/>
  <c r="K192" i="6"/>
  <c r="K191" i="6"/>
  <c r="I192" i="6"/>
  <c r="I191" i="6"/>
  <c r="K189" i="6"/>
  <c r="K188" i="6"/>
  <c r="I189" i="6"/>
  <c r="I188" i="6"/>
  <c r="H189" i="6"/>
  <c r="H188" i="6"/>
  <c r="K186" i="6"/>
  <c r="K185" i="6"/>
  <c r="I186" i="6"/>
  <c r="I185" i="6"/>
  <c r="H186" i="6"/>
  <c r="H185" i="6"/>
  <c r="K183" i="6"/>
  <c r="K182" i="6"/>
  <c r="I183" i="6"/>
  <c r="I182" i="6"/>
  <c r="H183" i="6"/>
  <c r="H182" i="6"/>
  <c r="K180" i="6"/>
  <c r="K179" i="6"/>
  <c r="I180" i="6"/>
  <c r="I179" i="6"/>
  <c r="H180" i="6"/>
  <c r="H179" i="6"/>
  <c r="K177" i="6"/>
  <c r="K176" i="6"/>
  <c r="I177" i="6"/>
  <c r="H177" i="6"/>
  <c r="H176" i="6"/>
  <c r="K174" i="6"/>
  <c r="K173" i="6"/>
  <c r="I174" i="6"/>
  <c r="I173" i="6"/>
  <c r="H174" i="6"/>
  <c r="H173" i="6"/>
  <c r="K171" i="6"/>
  <c r="K170" i="6"/>
  <c r="I171" i="6"/>
  <c r="H171" i="6"/>
  <c r="H170" i="6"/>
  <c r="K168" i="6"/>
  <c r="K167" i="6"/>
  <c r="I168" i="6"/>
  <c r="I167" i="6"/>
  <c r="H168" i="6"/>
  <c r="H167" i="6"/>
  <c r="K165" i="6"/>
  <c r="K164" i="6"/>
  <c r="I165" i="6"/>
  <c r="H165" i="6"/>
  <c r="H164" i="6"/>
  <c r="K162" i="6"/>
  <c r="K161" i="6"/>
  <c r="I162" i="6"/>
  <c r="I161" i="6"/>
  <c r="H162" i="6"/>
  <c r="H161" i="6"/>
  <c r="K159" i="6"/>
  <c r="K158" i="6"/>
  <c r="I159" i="6"/>
  <c r="I158" i="6"/>
  <c r="H159" i="6"/>
  <c r="H158" i="6"/>
  <c r="K156" i="6"/>
  <c r="K155" i="6"/>
  <c r="I156" i="6"/>
  <c r="I155" i="6"/>
  <c r="H156" i="6"/>
  <c r="H155" i="6"/>
  <c r="K153" i="6"/>
  <c r="K152" i="6"/>
  <c r="I153" i="6"/>
  <c r="I152" i="6"/>
  <c r="H153" i="6"/>
  <c r="H152" i="6"/>
  <c r="K150" i="6"/>
  <c r="K149" i="6"/>
  <c r="I150" i="6"/>
  <c r="I149" i="6"/>
  <c r="H150" i="6"/>
  <c r="H149" i="6"/>
  <c r="K147" i="6"/>
  <c r="K146" i="6"/>
  <c r="I147" i="6"/>
  <c r="H147" i="6"/>
  <c r="H146" i="6"/>
  <c r="K144" i="6"/>
  <c r="K143" i="6"/>
  <c r="I144" i="6"/>
  <c r="H144" i="6"/>
  <c r="H143" i="6"/>
  <c r="K141" i="6"/>
  <c r="K140" i="6"/>
  <c r="I141" i="6"/>
  <c r="I140" i="6"/>
  <c r="H141" i="6"/>
  <c r="H140" i="6"/>
  <c r="K138" i="6"/>
  <c r="K137" i="6"/>
  <c r="I138" i="6"/>
  <c r="I137" i="6"/>
  <c r="H138" i="6"/>
  <c r="H137" i="6"/>
  <c r="K135" i="6"/>
  <c r="K134" i="6"/>
  <c r="I135" i="6"/>
  <c r="I134" i="6"/>
  <c r="H135" i="6"/>
  <c r="H134" i="6"/>
  <c r="K132" i="6"/>
  <c r="K131" i="6"/>
  <c r="I132" i="6"/>
  <c r="I131" i="6"/>
  <c r="H132" i="6"/>
  <c r="H131" i="6"/>
  <c r="K129" i="6"/>
  <c r="K128" i="6"/>
  <c r="I129" i="6"/>
  <c r="I128" i="6"/>
  <c r="H129" i="6"/>
  <c r="H128" i="6"/>
  <c r="K126" i="6"/>
  <c r="K125" i="6"/>
  <c r="I126" i="6"/>
  <c r="I125" i="6"/>
  <c r="H126" i="6"/>
  <c r="H125" i="6"/>
  <c r="K123" i="6"/>
  <c r="K122" i="6"/>
  <c r="I123" i="6"/>
  <c r="I122" i="6"/>
  <c r="H123" i="6"/>
  <c r="H122" i="6"/>
  <c r="K120" i="6"/>
  <c r="K119" i="6"/>
  <c r="I120" i="6"/>
  <c r="I119" i="6"/>
  <c r="H120" i="6"/>
  <c r="H119" i="6"/>
  <c r="K117" i="6"/>
  <c r="K116" i="6"/>
  <c r="I117" i="6"/>
  <c r="I116" i="6"/>
  <c r="K114" i="6"/>
  <c r="K113" i="6"/>
  <c r="I114" i="6"/>
  <c r="I113" i="6"/>
  <c r="H114" i="6"/>
  <c r="H113" i="6"/>
  <c r="K111" i="6"/>
  <c r="K110" i="6"/>
  <c r="I111" i="6"/>
  <c r="I110" i="6"/>
  <c r="H111" i="6"/>
  <c r="H110" i="6"/>
  <c r="K108" i="6"/>
  <c r="K107" i="6"/>
  <c r="K105" i="6"/>
  <c r="K104" i="6"/>
  <c r="I105" i="6"/>
  <c r="I104" i="6"/>
  <c r="H105" i="6"/>
  <c r="H104" i="6"/>
  <c r="K102" i="6"/>
  <c r="K101" i="6"/>
  <c r="I102" i="6"/>
  <c r="I101" i="6"/>
  <c r="H102" i="6"/>
  <c r="H101" i="6"/>
  <c r="K99" i="6"/>
  <c r="K98" i="6"/>
  <c r="I99" i="6"/>
  <c r="I98" i="6"/>
  <c r="K96" i="6"/>
  <c r="K95" i="6"/>
  <c r="I96" i="6"/>
  <c r="H96" i="6"/>
  <c r="H95" i="6"/>
  <c r="K93" i="6"/>
  <c r="K92" i="6"/>
  <c r="I93" i="6"/>
  <c r="I92" i="6"/>
  <c r="H93" i="6"/>
  <c r="H92" i="6"/>
  <c r="K90" i="6"/>
  <c r="K89" i="6"/>
  <c r="I90" i="6"/>
  <c r="I89" i="6"/>
  <c r="H90" i="6"/>
  <c r="H89" i="6"/>
  <c r="K87" i="6"/>
  <c r="K86" i="6"/>
  <c r="I87" i="6"/>
  <c r="H87" i="6"/>
  <c r="H86" i="6"/>
  <c r="K84" i="6"/>
  <c r="K83" i="6"/>
  <c r="I84" i="6"/>
  <c r="H84" i="6"/>
  <c r="H83" i="6"/>
  <c r="K81" i="6"/>
  <c r="K80" i="6"/>
  <c r="I81" i="6"/>
  <c r="I80" i="6"/>
  <c r="H81" i="6"/>
  <c r="H80" i="6"/>
  <c r="K78" i="6"/>
  <c r="K77" i="6"/>
  <c r="I78" i="6"/>
  <c r="I77" i="6"/>
  <c r="H78" i="6"/>
  <c r="H77" i="6"/>
  <c r="K75" i="6"/>
  <c r="K74" i="6"/>
  <c r="I75" i="6"/>
  <c r="H75" i="6"/>
  <c r="H74" i="6"/>
  <c r="K72" i="6"/>
  <c r="K71" i="6"/>
  <c r="I72" i="6"/>
  <c r="I71" i="6"/>
  <c r="H72" i="6"/>
  <c r="H71" i="6"/>
  <c r="K69" i="6"/>
  <c r="K68" i="6"/>
  <c r="I69" i="6"/>
  <c r="I68" i="6"/>
  <c r="H69" i="6"/>
  <c r="H68" i="6"/>
  <c r="K66" i="6"/>
  <c r="K65" i="6"/>
  <c r="I66" i="6"/>
  <c r="H66" i="6"/>
  <c r="H65" i="6"/>
  <c r="K63" i="6"/>
  <c r="K62" i="6"/>
  <c r="I63" i="6"/>
  <c r="I62" i="6"/>
  <c r="H63" i="6"/>
  <c r="H62" i="6"/>
  <c r="K60" i="6"/>
  <c r="K59" i="6"/>
  <c r="I60" i="6"/>
  <c r="I59" i="6"/>
  <c r="H60" i="6"/>
  <c r="H59" i="6"/>
  <c r="K57" i="6"/>
  <c r="K56" i="6"/>
  <c r="I57" i="6"/>
  <c r="I56" i="6"/>
  <c r="H57" i="6"/>
  <c r="H56" i="6"/>
  <c r="K54" i="6"/>
  <c r="K53" i="6"/>
  <c r="I54" i="6"/>
  <c r="I53" i="6"/>
  <c r="H54" i="6"/>
  <c r="H53" i="6"/>
  <c r="K51" i="6"/>
  <c r="K50" i="6"/>
  <c r="I51" i="6"/>
  <c r="I50" i="6"/>
  <c r="H51" i="6"/>
  <c r="H50" i="6"/>
  <c r="K48" i="6"/>
  <c r="K47" i="6"/>
  <c r="I48" i="6"/>
  <c r="I47" i="6"/>
  <c r="H48" i="6"/>
  <c r="H47" i="6"/>
  <c r="K45" i="6"/>
  <c r="K44" i="6"/>
  <c r="I45" i="6"/>
  <c r="H45" i="6"/>
  <c r="H44" i="6"/>
  <c r="K42" i="6"/>
  <c r="K41" i="6"/>
  <c r="I42" i="6"/>
  <c r="I41" i="6"/>
  <c r="H42" i="6"/>
  <c r="H41" i="6"/>
  <c r="H38" i="6"/>
  <c r="M37" i="6"/>
  <c r="K36" i="6"/>
  <c r="K35" i="6"/>
  <c r="I36" i="6"/>
  <c r="I35" i="6"/>
  <c r="H36" i="6"/>
  <c r="H35" i="6"/>
  <c r="K33" i="6"/>
  <c r="K32" i="6"/>
  <c r="H33" i="6"/>
  <c r="H32" i="6"/>
  <c r="K30" i="6"/>
  <c r="K29" i="6"/>
  <c r="I30" i="6"/>
  <c r="I29" i="6"/>
  <c r="H30" i="6"/>
  <c r="H29" i="6"/>
  <c r="H26" i="6"/>
  <c r="K24" i="6"/>
  <c r="K23" i="6"/>
  <c r="I24" i="6"/>
  <c r="I23" i="6"/>
  <c r="H24" i="6"/>
  <c r="H23" i="6"/>
  <c r="K21" i="6"/>
  <c r="K20" i="6"/>
  <c r="I21" i="6"/>
  <c r="H21" i="6"/>
  <c r="H20" i="6"/>
  <c r="K18" i="6"/>
  <c r="I18" i="6"/>
  <c r="H18" i="6"/>
  <c r="H17" i="6"/>
  <c r="K15" i="6"/>
  <c r="K14" i="6"/>
  <c r="H15" i="6"/>
  <c r="H14" i="6"/>
  <c r="K12" i="6"/>
  <c r="K11" i="6"/>
  <c r="I12" i="6"/>
  <c r="I11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95" i="1"/>
  <c r="I3" i="6"/>
  <c r="I2" i="6"/>
  <c r="G133" i="2"/>
  <c r="J133" i="2" s="1"/>
  <c r="M164" i="6" s="1"/>
  <c r="L133" i="2"/>
  <c r="I166" i="6" s="1"/>
  <c r="I164" i="6"/>
  <c r="D18" i="3"/>
  <c r="I108" i="6"/>
  <c r="L85" i="2"/>
  <c r="I100" i="6" s="1"/>
  <c r="I55" i="6"/>
  <c r="I43" i="6"/>
  <c r="I37" i="6"/>
  <c r="I4" i="6"/>
  <c r="K175" i="2"/>
  <c r="H223" i="6"/>
  <c r="K169" i="2"/>
  <c r="H220" i="6" s="1"/>
  <c r="K167" i="2"/>
  <c r="H217" i="6" s="1"/>
  <c r="K165" i="2"/>
  <c r="H214" i="6" s="1"/>
  <c r="K163" i="2"/>
  <c r="H211" i="6"/>
  <c r="K161" i="2"/>
  <c r="H208" i="6" s="1"/>
  <c r="K159" i="2"/>
  <c r="H205" i="6" s="1"/>
  <c r="K155" i="2"/>
  <c r="H199" i="6" s="1"/>
  <c r="K149" i="2"/>
  <c r="H190" i="6"/>
  <c r="K147" i="2"/>
  <c r="H187" i="6" s="1"/>
  <c r="K145" i="2"/>
  <c r="H184" i="6" s="1"/>
  <c r="K143" i="2"/>
  <c r="H181" i="6" s="1"/>
  <c r="K141" i="2"/>
  <c r="H178" i="6"/>
  <c r="K139" i="2"/>
  <c r="H175" i="6" s="1"/>
  <c r="K137" i="2"/>
  <c r="K133" i="2"/>
  <c r="K127" i="2"/>
  <c r="H163" i="6" s="1"/>
  <c r="K123" i="2"/>
  <c r="H157" i="6"/>
  <c r="K119" i="2"/>
  <c r="H151" i="6" s="1"/>
  <c r="K117" i="2"/>
  <c r="H148" i="6" s="1"/>
  <c r="K115" i="2"/>
  <c r="H145" i="6" s="1"/>
  <c r="K113" i="2"/>
  <c r="H142" i="6"/>
  <c r="K111" i="2"/>
  <c r="H139" i="6" s="1"/>
  <c r="K107" i="2"/>
  <c r="H133" i="6" s="1"/>
  <c r="K105" i="2"/>
  <c r="H130" i="6" s="1"/>
  <c r="K103" i="2"/>
  <c r="H127" i="6"/>
  <c r="K101" i="2"/>
  <c r="H124" i="6" s="1"/>
  <c r="K99" i="2"/>
  <c r="H121" i="6" s="1"/>
  <c r="K95" i="2"/>
  <c r="H115" i="6" s="1"/>
  <c r="K93" i="2"/>
  <c r="H112" i="6"/>
  <c r="K89" i="2"/>
  <c r="H106" i="6" s="1"/>
  <c r="K83" i="2"/>
  <c r="K81" i="2"/>
  <c r="K79" i="2"/>
  <c r="H91" i="6" s="1"/>
  <c r="K77" i="2"/>
  <c r="H88" i="6" s="1"/>
  <c r="K75" i="2"/>
  <c r="H82" i="6"/>
  <c r="H79" i="6"/>
  <c r="H64" i="6"/>
  <c r="H61" i="6"/>
  <c r="H52" i="6"/>
  <c r="H43" i="6"/>
  <c r="H37" i="6"/>
  <c r="H34" i="6"/>
  <c r="H25" i="6"/>
  <c r="H10" i="6"/>
  <c r="H7" i="6"/>
  <c r="H4" i="6"/>
  <c r="N45" i="1"/>
  <c r="K257" i="6" s="1"/>
  <c r="N6" i="1"/>
  <c r="J6" i="1"/>
  <c r="M224" i="6" s="1"/>
  <c r="N97" i="1"/>
  <c r="N90" i="1"/>
  <c r="K299" i="6" s="1"/>
  <c r="N88" i="1"/>
  <c r="K293" i="6" s="1"/>
  <c r="N84" i="1"/>
  <c r="K290" i="6" s="1"/>
  <c r="N78" i="1"/>
  <c r="K281" i="6" s="1"/>
  <c r="N76" i="1"/>
  <c r="K278" i="6" s="1"/>
  <c r="N74" i="1"/>
  <c r="N72" i="1"/>
  <c r="N69" i="1"/>
  <c r="N66" i="1"/>
  <c r="K266" i="6" s="1"/>
  <c r="N51" i="1"/>
  <c r="N48" i="1"/>
  <c r="K260" i="6" s="1"/>
  <c r="N42" i="1"/>
  <c r="N40" i="1"/>
  <c r="K251" i="6" s="1"/>
  <c r="N38" i="1"/>
  <c r="N36" i="1"/>
  <c r="N33" i="1"/>
  <c r="N31" i="1"/>
  <c r="N29" i="1"/>
  <c r="K239" i="6" s="1"/>
  <c r="N27" i="1"/>
  <c r="N12" i="1"/>
  <c r="N9" i="1"/>
  <c r="L97" i="1"/>
  <c r="L95" i="1"/>
  <c r="L90" i="1"/>
  <c r="I299" i="6" s="1"/>
  <c r="L88" i="1"/>
  <c r="L84" i="1"/>
  <c r="L76" i="1"/>
  <c r="I278" i="6" s="1"/>
  <c r="L72" i="1"/>
  <c r="I272" i="6" s="1"/>
  <c r="L69" i="1"/>
  <c r="I269" i="6" s="1"/>
  <c r="L66" i="1"/>
  <c r="I266" i="6" s="1"/>
  <c r="L51" i="1"/>
  <c r="M51" i="1" s="1"/>
  <c r="J263" i="6" s="1"/>
  <c r="L48" i="1"/>
  <c r="I260" i="6" s="1"/>
  <c r="L45" i="1"/>
  <c r="I257" i="6" s="1"/>
  <c r="L42" i="1"/>
  <c r="L40" i="1"/>
  <c r="L38" i="1"/>
  <c r="L36" i="1"/>
  <c r="I245" i="6" s="1"/>
  <c r="L33" i="1"/>
  <c r="L31" i="1"/>
  <c r="I242" i="6" s="1"/>
  <c r="L29" i="1"/>
  <c r="L27" i="1"/>
  <c r="I236" i="6" s="1"/>
  <c r="L12" i="1"/>
  <c r="L9" i="1"/>
  <c r="I229" i="6" s="1"/>
  <c r="K97" i="1"/>
  <c r="K95" i="1"/>
  <c r="M95" i="1" s="1"/>
  <c r="K90" i="1"/>
  <c r="H299" i="6" s="1"/>
  <c r="K88" i="1"/>
  <c r="H293" i="6"/>
  <c r="K84" i="1"/>
  <c r="M84" i="1" s="1"/>
  <c r="J290" i="6" s="1"/>
  <c r="H290" i="6"/>
  <c r="K80" i="1"/>
  <c r="H284" i="6"/>
  <c r="K78" i="1"/>
  <c r="H281" i="6" s="1"/>
  <c r="K74" i="1"/>
  <c r="M74" i="1" s="1"/>
  <c r="K72" i="1"/>
  <c r="K69" i="1"/>
  <c r="K66" i="1"/>
  <c r="M66" i="1" s="1"/>
  <c r="K48" i="1"/>
  <c r="M48" i="1" s="1"/>
  <c r="J260" i="6" s="1"/>
  <c r="K45" i="1"/>
  <c r="K42" i="1"/>
  <c r="H254" i="6" s="1"/>
  <c r="K40" i="1"/>
  <c r="H251" i="6" s="1"/>
  <c r="K38" i="1"/>
  <c r="K36" i="1"/>
  <c r="H245" i="6" s="1"/>
  <c r="K31" i="1"/>
  <c r="K29" i="1"/>
  <c r="K27" i="1"/>
  <c r="M27" i="1" s="1"/>
  <c r="J236" i="6" s="1"/>
  <c r="K12" i="1"/>
  <c r="K9" i="1"/>
  <c r="G97" i="1"/>
  <c r="J97" i="1" s="1"/>
  <c r="G95" i="1"/>
  <c r="I95" i="1" s="1"/>
  <c r="G90" i="1"/>
  <c r="J297" i="6" s="1"/>
  <c r="G88" i="1"/>
  <c r="I88" i="1" s="1"/>
  <c r="G89" i="1" s="1"/>
  <c r="J291" i="6"/>
  <c r="G84" i="1"/>
  <c r="J288" i="6" s="1"/>
  <c r="J285" i="6"/>
  <c r="G69" i="1"/>
  <c r="I69" i="1" s="1"/>
  <c r="J267" i="6"/>
  <c r="G66" i="1"/>
  <c r="G48" i="1"/>
  <c r="J258" i="6" s="1"/>
  <c r="G45" i="1"/>
  <c r="I45" i="1" s="1"/>
  <c r="G40" i="1"/>
  <c r="J249" i="6" s="1"/>
  <c r="G38" i="1"/>
  <c r="J246" i="6" s="1"/>
  <c r="G36" i="1"/>
  <c r="J36" i="1" s="1"/>
  <c r="M243" i="6" s="1"/>
  <c r="G33" i="1"/>
  <c r="I33" i="1" s="1"/>
  <c r="G34" i="1" s="1"/>
  <c r="I34" i="1" s="1"/>
  <c r="G31" i="1"/>
  <c r="J31" i="1" s="1"/>
  <c r="M240" i="6" s="1"/>
  <c r="J240" i="6"/>
  <c r="G29" i="1"/>
  <c r="J29" i="1" s="1"/>
  <c r="M237" i="6" s="1"/>
  <c r="J237" i="6"/>
  <c r="G27" i="1"/>
  <c r="J234" i="6" s="1"/>
  <c r="G12" i="1"/>
  <c r="I12" i="1" s="1"/>
  <c r="K245" i="6"/>
  <c r="K272" i="6"/>
  <c r="K263" i="6"/>
  <c r="K269" i="6"/>
  <c r="H172" i="6"/>
  <c r="J172" i="6"/>
  <c r="L91" i="2"/>
  <c r="I109" i="6" s="1"/>
  <c r="I107" i="6"/>
  <c r="J230" i="6"/>
  <c r="H236" i="6"/>
  <c r="H248" i="6"/>
  <c r="I290" i="6"/>
  <c r="H239" i="6"/>
  <c r="H272" i="6"/>
  <c r="H229" i="6"/>
  <c r="J224" i="6"/>
  <c r="H263" i="6"/>
  <c r="I51" i="1"/>
  <c r="G52" i="1" s="1"/>
  <c r="J261" i="6"/>
  <c r="H257" i="6"/>
  <c r="J69" i="1"/>
  <c r="M267" i="6" s="1"/>
  <c r="J51" i="1"/>
  <c r="M261" i="6" s="1"/>
  <c r="K33" i="1"/>
  <c r="L261" i="6"/>
  <c r="K125" i="2"/>
  <c r="H160" i="6" s="1"/>
  <c r="K121" i="2"/>
  <c r="H154" i="6" s="1"/>
  <c r="K109" i="2"/>
  <c r="N105" i="2"/>
  <c r="K130" i="6" s="1"/>
  <c r="N107" i="2"/>
  <c r="K133" i="6" s="1"/>
  <c r="N109" i="2"/>
  <c r="K136" i="6" s="1"/>
  <c r="N111" i="2"/>
  <c r="K139" i="6" s="1"/>
  <c r="N113" i="2"/>
  <c r="K142" i="6" s="1"/>
  <c r="N115" i="2"/>
  <c r="N117" i="2"/>
  <c r="K148" i="6" s="1"/>
  <c r="N119" i="2"/>
  <c r="N121" i="2"/>
  <c r="K154" i="6" s="1"/>
  <c r="N123" i="2"/>
  <c r="K157" i="6" s="1"/>
  <c r="N125" i="2"/>
  <c r="K160" i="6" s="1"/>
  <c r="L105" i="2"/>
  <c r="L107" i="2"/>
  <c r="I133" i="6" s="1"/>
  <c r="L109" i="2"/>
  <c r="L111" i="2"/>
  <c r="I139" i="6" s="1"/>
  <c r="L113" i="2"/>
  <c r="M113" i="2" s="1"/>
  <c r="L119" i="2"/>
  <c r="I151" i="6" s="1"/>
  <c r="L121" i="2"/>
  <c r="L123" i="2"/>
  <c r="L125" i="2"/>
  <c r="G9" i="4"/>
  <c r="I6" i="4" s="1"/>
  <c r="G133" i="4"/>
  <c r="H131" i="4" s="1"/>
  <c r="M123" i="2"/>
  <c r="I157" i="6"/>
  <c r="H136" i="6"/>
  <c r="I142" i="6"/>
  <c r="M160" i="6"/>
  <c r="M157" i="6"/>
  <c r="M133" i="6"/>
  <c r="M154" i="6"/>
  <c r="M130" i="6"/>
  <c r="M139" i="6"/>
  <c r="J164" i="6"/>
  <c r="E91" i="2"/>
  <c r="H301" i="6"/>
  <c r="H117" i="6"/>
  <c r="H116" i="6"/>
  <c r="G125" i="2"/>
  <c r="G119" i="2"/>
  <c r="J119" i="2" s="1"/>
  <c r="M149" i="6" s="1"/>
  <c r="G121" i="2"/>
  <c r="J121" i="2" s="1"/>
  <c r="M152" i="6" s="1"/>
  <c r="G105" i="2"/>
  <c r="J128" i="6" s="1"/>
  <c r="G107" i="2"/>
  <c r="G109" i="2"/>
  <c r="J134" i="6" s="1"/>
  <c r="G111" i="2"/>
  <c r="G113" i="2"/>
  <c r="J140" i="6" s="1"/>
  <c r="G123" i="2"/>
  <c r="G103" i="2"/>
  <c r="I103" i="2" s="1"/>
  <c r="I123" i="2"/>
  <c r="L155" i="6" s="1"/>
  <c r="J155" i="6"/>
  <c r="I111" i="2"/>
  <c r="L137" i="6" s="1"/>
  <c r="J137" i="6"/>
  <c r="J152" i="6"/>
  <c r="J107" i="2"/>
  <c r="M131" i="6"/>
  <c r="J131" i="6"/>
  <c r="K97" i="2"/>
  <c r="H118" i="6" s="1"/>
  <c r="I107" i="2"/>
  <c r="L131" i="6" s="1"/>
  <c r="J111" i="2"/>
  <c r="M137" i="6" s="1"/>
  <c r="J123" i="2"/>
  <c r="M155" i="6" s="1"/>
  <c r="K4" i="6"/>
  <c r="J5" i="6"/>
  <c r="I33" i="6"/>
  <c r="I32" i="6"/>
  <c r="J129" i="6"/>
  <c r="M132" i="6"/>
  <c r="M129" i="6"/>
  <c r="I106" i="2"/>
  <c r="L129" i="6"/>
  <c r="J138" i="6"/>
  <c r="M138" i="6"/>
  <c r="I112" i="2"/>
  <c r="L138" i="6"/>
  <c r="J156" i="6"/>
  <c r="I124" i="2"/>
  <c r="L156" i="6" s="1"/>
  <c r="M156" i="6"/>
  <c r="J159" i="6"/>
  <c r="M159" i="6"/>
  <c r="I126" i="2"/>
  <c r="L159" i="6" s="1"/>
  <c r="I108" i="2"/>
  <c r="L132" i="6" s="1"/>
  <c r="J132" i="6"/>
  <c r="J153" i="6"/>
  <c r="L153" i="6"/>
  <c r="M153" i="6"/>
  <c r="E92" i="2"/>
  <c r="E86" i="2"/>
  <c r="H99" i="6" s="1"/>
  <c r="E85" i="2"/>
  <c r="D23" i="3" s="1"/>
  <c r="H302" i="6" s="1"/>
  <c r="H201" i="6"/>
  <c r="E152" i="2"/>
  <c r="H192" i="6" s="1"/>
  <c r="E151" i="2"/>
  <c r="E154" i="2"/>
  <c r="H195" i="6" s="1"/>
  <c r="E153" i="2"/>
  <c r="K34" i="6"/>
  <c r="H200" i="6"/>
  <c r="G157" i="2"/>
  <c r="J200" i="6" s="1"/>
  <c r="I26" i="2"/>
  <c r="L33" i="6" s="1"/>
  <c r="H108" i="6"/>
  <c r="E12" i="2"/>
  <c r="H12" i="6" s="1"/>
  <c r="E11" i="2"/>
  <c r="K7" i="6"/>
  <c r="K10" i="6"/>
  <c r="K13" i="6"/>
  <c r="K19" i="6"/>
  <c r="K22" i="6"/>
  <c r="K25" i="6"/>
  <c r="K31" i="6"/>
  <c r="N39" i="2"/>
  <c r="K43" i="6"/>
  <c r="K55" i="6"/>
  <c r="K61" i="6"/>
  <c r="K64" i="6"/>
  <c r="K73" i="6"/>
  <c r="K82" i="6"/>
  <c r="N75" i="2"/>
  <c r="N77" i="2"/>
  <c r="K88" i="6" s="1"/>
  <c r="N79" i="2"/>
  <c r="K91" i="6" s="1"/>
  <c r="N81" i="2"/>
  <c r="K94" i="6" s="1"/>
  <c r="N83" i="2"/>
  <c r="K97" i="6" s="1"/>
  <c r="N85" i="2"/>
  <c r="K100" i="6"/>
  <c r="N87" i="2"/>
  <c r="K103" i="6" s="1"/>
  <c r="N89" i="2"/>
  <c r="K106" i="6" s="1"/>
  <c r="N91" i="2"/>
  <c r="K109" i="6" s="1"/>
  <c r="N93" i="2"/>
  <c r="K112" i="6" s="1"/>
  <c r="N95" i="2"/>
  <c r="K115" i="6" s="1"/>
  <c r="N97" i="2"/>
  <c r="K118" i="6" s="1"/>
  <c r="N99" i="2"/>
  <c r="K121" i="6"/>
  <c r="N101" i="2"/>
  <c r="K124" i="6" s="1"/>
  <c r="N103" i="2"/>
  <c r="K127" i="6" s="1"/>
  <c r="N127" i="2"/>
  <c r="K163" i="6" s="1"/>
  <c r="N133" i="2"/>
  <c r="K166" i="6" s="1"/>
  <c r="N135" i="2"/>
  <c r="K169" i="6"/>
  <c r="N137" i="2"/>
  <c r="K172" i="6" s="1"/>
  <c r="N139" i="2"/>
  <c r="K175" i="6" s="1"/>
  <c r="N141" i="2"/>
  <c r="K178" i="6" s="1"/>
  <c r="N143" i="2"/>
  <c r="K181" i="6"/>
  <c r="N145" i="2"/>
  <c r="K184" i="6" s="1"/>
  <c r="N147" i="2"/>
  <c r="K187" i="6" s="1"/>
  <c r="N149" i="2"/>
  <c r="K190" i="6" s="1"/>
  <c r="N151" i="2"/>
  <c r="K193" i="6"/>
  <c r="N153" i="2"/>
  <c r="K196" i="6" s="1"/>
  <c r="N155" i="2"/>
  <c r="K199" i="6" s="1"/>
  <c r="N157" i="2"/>
  <c r="K202" i="6" s="1"/>
  <c r="N159" i="2"/>
  <c r="K205" i="6"/>
  <c r="N161" i="2"/>
  <c r="K208" i="6" s="1"/>
  <c r="N163" i="2"/>
  <c r="K211" i="6" s="1"/>
  <c r="N165" i="2"/>
  <c r="K214" i="6"/>
  <c r="N167" i="2"/>
  <c r="K217" i="6" s="1"/>
  <c r="N169" i="2"/>
  <c r="K220" i="6" s="1"/>
  <c r="N175" i="2"/>
  <c r="K223" i="6" s="1"/>
  <c r="I13" i="6"/>
  <c r="I19" i="6"/>
  <c r="I49" i="6"/>
  <c r="I58" i="6"/>
  <c r="I61" i="6"/>
  <c r="I70" i="6"/>
  <c r="I79" i="6"/>
  <c r="L77" i="2"/>
  <c r="I88" i="6" s="1"/>
  <c r="L79" i="2"/>
  <c r="I94" i="6"/>
  <c r="L83" i="2"/>
  <c r="I97" i="6" s="1"/>
  <c r="L87" i="2"/>
  <c r="I103" i="6" s="1"/>
  <c r="L89" i="2"/>
  <c r="L93" i="2"/>
  <c r="M93" i="2" s="1"/>
  <c r="L95" i="2"/>
  <c r="I115" i="6" s="1"/>
  <c r="L97" i="2"/>
  <c r="I118" i="6" s="1"/>
  <c r="L99" i="2"/>
  <c r="L101" i="2"/>
  <c r="I124" i="6" s="1"/>
  <c r="L103" i="2"/>
  <c r="I127" i="6" s="1"/>
  <c r="L127" i="2"/>
  <c r="I163" i="6"/>
  <c r="L135" i="2"/>
  <c r="L139" i="2"/>
  <c r="I175" i="6" s="1"/>
  <c r="L141" i="2"/>
  <c r="L143" i="2"/>
  <c r="I181" i="6"/>
  <c r="L145" i="2"/>
  <c r="I184" i="6" s="1"/>
  <c r="L147" i="2"/>
  <c r="I187" i="6" s="1"/>
  <c r="L149" i="2"/>
  <c r="M149" i="2" s="1"/>
  <c r="L151" i="2"/>
  <c r="I193" i="6" s="1"/>
  <c r="L153" i="2"/>
  <c r="L155" i="2"/>
  <c r="L157" i="2"/>
  <c r="I202" i="6" s="1"/>
  <c r="L159" i="2"/>
  <c r="I205" i="6" s="1"/>
  <c r="L161" i="2"/>
  <c r="I208" i="6"/>
  <c r="L165" i="2"/>
  <c r="I214" i="6"/>
  <c r="L167" i="2"/>
  <c r="I217" i="6"/>
  <c r="L169" i="2"/>
  <c r="L175" i="2"/>
  <c r="I223" i="6" s="1"/>
  <c r="H22" i="6"/>
  <c r="H49" i="6"/>
  <c r="H73" i="6"/>
  <c r="K135" i="2"/>
  <c r="H169" i="6"/>
  <c r="K157" i="2"/>
  <c r="H202" i="6" s="1"/>
  <c r="L80" i="1"/>
  <c r="H80" i="1"/>
  <c r="N80" i="1" s="1"/>
  <c r="F74" i="1"/>
  <c r="G74" i="1" s="1"/>
  <c r="F78" i="1"/>
  <c r="I279" i="6" s="1"/>
  <c r="G23" i="3"/>
  <c r="K302" i="6" s="1"/>
  <c r="G22" i="3"/>
  <c r="K301" i="6" s="1"/>
  <c r="G21" i="3"/>
  <c r="K300" i="6" s="1"/>
  <c r="G11" i="2"/>
  <c r="J11" i="2" s="1"/>
  <c r="M11" i="6" s="1"/>
  <c r="K37" i="6"/>
  <c r="O39" i="2"/>
  <c r="H11" i="6"/>
  <c r="M161" i="2"/>
  <c r="M115" i="6"/>
  <c r="M167" i="2"/>
  <c r="J217" i="6" s="1"/>
  <c r="M165" i="2"/>
  <c r="J214" i="6" s="1"/>
  <c r="M143" i="2"/>
  <c r="O143" i="2" s="1"/>
  <c r="L181" i="6" s="1"/>
  <c r="M103" i="2"/>
  <c r="L137" i="2"/>
  <c r="I172" i="6" s="1"/>
  <c r="I170" i="6"/>
  <c r="M169" i="2"/>
  <c r="M220" i="6"/>
  <c r="I220" i="6"/>
  <c r="I196" i="6"/>
  <c r="M184" i="6"/>
  <c r="M89" i="2"/>
  <c r="O89" i="2" s="1"/>
  <c r="L106" i="6" s="1"/>
  <c r="I106" i="6"/>
  <c r="M79" i="2"/>
  <c r="J91" i="6" s="1"/>
  <c r="P79" i="2"/>
  <c r="M91" i="6" s="1"/>
  <c r="I91" i="6"/>
  <c r="O161" i="2"/>
  <c r="L208" i="6" s="1"/>
  <c r="J208" i="6"/>
  <c r="L74" i="1"/>
  <c r="I275" i="6" s="1"/>
  <c r="G78" i="1"/>
  <c r="J78" i="1" s="1"/>
  <c r="M279" i="6" s="1"/>
  <c r="M97" i="6"/>
  <c r="M73" i="6"/>
  <c r="M49" i="6"/>
  <c r="M139" i="2"/>
  <c r="O139" i="2" s="1"/>
  <c r="L175" i="6" s="1"/>
  <c r="M76" i="6"/>
  <c r="P161" i="2"/>
  <c r="M208" i="6" s="1"/>
  <c r="G18" i="3"/>
  <c r="G17" i="3"/>
  <c r="G15" i="3"/>
  <c r="K313" i="6" s="1"/>
  <c r="G14" i="3"/>
  <c r="K312" i="6" s="1"/>
  <c r="G13" i="3"/>
  <c r="K311" i="6" s="1"/>
  <c r="G12" i="3"/>
  <c r="K310" i="6" s="1"/>
  <c r="G11" i="3"/>
  <c r="K309" i="6" s="1"/>
  <c r="G10" i="3"/>
  <c r="K308" i="6" s="1"/>
  <c r="G9" i="3"/>
  <c r="K307" i="6" s="1"/>
  <c r="G8" i="3"/>
  <c r="G7" i="3"/>
  <c r="G6" i="3"/>
  <c r="K305" i="6" s="1"/>
  <c r="G5" i="3"/>
  <c r="K304" i="6" s="1"/>
  <c r="F20" i="3"/>
  <c r="E5" i="3"/>
  <c r="I304" i="6" s="1"/>
  <c r="I305" i="6"/>
  <c r="E7" i="3"/>
  <c r="E9" i="3"/>
  <c r="I307" i="6" s="1"/>
  <c r="E10" i="3"/>
  <c r="I308" i="6" s="1"/>
  <c r="E11" i="3"/>
  <c r="I309" i="6" s="1"/>
  <c r="E12" i="3"/>
  <c r="I310" i="6" s="1"/>
  <c r="I311" i="6"/>
  <c r="E14" i="3"/>
  <c r="I312" i="6" s="1"/>
  <c r="E15" i="3"/>
  <c r="I313" i="6" s="1"/>
  <c r="E17" i="3"/>
  <c r="E18" i="3"/>
  <c r="D17" i="3"/>
  <c r="D15" i="3"/>
  <c r="H313" i="6" s="1"/>
  <c r="D14" i="3"/>
  <c r="H312" i="6" s="1"/>
  <c r="D13" i="3"/>
  <c r="H311" i="6" s="1"/>
  <c r="D12" i="3"/>
  <c r="H310" i="6" s="1"/>
  <c r="D11" i="3"/>
  <c r="H309" i="6" s="1"/>
  <c r="D10" i="3"/>
  <c r="H308" i="6" s="1"/>
  <c r="D8" i="3"/>
  <c r="D9" i="3"/>
  <c r="D7" i="3"/>
  <c r="D6" i="3"/>
  <c r="H305" i="6" s="1"/>
  <c r="D5" i="3"/>
  <c r="H304" i="6" s="1"/>
  <c r="M163" i="6"/>
  <c r="M214" i="6"/>
  <c r="O165" i="2"/>
  <c r="L214" i="6" s="1"/>
  <c r="P143" i="2"/>
  <c r="M181" i="6" s="1"/>
  <c r="J175" i="6"/>
  <c r="J106" i="6"/>
  <c r="L37" i="6"/>
  <c r="J37" i="6"/>
  <c r="O79" i="2"/>
  <c r="L91" i="6" s="1"/>
  <c r="M121" i="6"/>
  <c r="M223" i="6"/>
  <c r="M211" i="6"/>
  <c r="I90" i="1"/>
  <c r="G91" i="1" s="1"/>
  <c r="G42" i="1"/>
  <c r="J252" i="6" s="1"/>
  <c r="J38" i="6"/>
  <c r="G77" i="2"/>
  <c r="J77" i="2" s="1"/>
  <c r="M86" i="6" s="1"/>
  <c r="G79" i="2"/>
  <c r="G81" i="2"/>
  <c r="I81" i="2" s="1"/>
  <c r="G83" i="2"/>
  <c r="G85" i="2"/>
  <c r="G87" i="2"/>
  <c r="I87" i="2" s="1"/>
  <c r="G88" i="2" s="1"/>
  <c r="J88" i="2" s="1"/>
  <c r="M102" i="6" s="1"/>
  <c r="G89" i="2"/>
  <c r="G91" i="2"/>
  <c r="J91" i="2" s="1"/>
  <c r="M107" i="6" s="1"/>
  <c r="G93" i="2"/>
  <c r="G95" i="2"/>
  <c r="J95" i="2" s="1"/>
  <c r="M113" i="6" s="1"/>
  <c r="G97" i="2"/>
  <c r="J116" i="6" s="1"/>
  <c r="G99" i="2"/>
  <c r="G101" i="2"/>
  <c r="J122" i="6" s="1"/>
  <c r="G127" i="2"/>
  <c r="J165" i="2"/>
  <c r="M212" i="6" s="1"/>
  <c r="J212" i="6"/>
  <c r="J149" i="2"/>
  <c r="M188" i="6" s="1"/>
  <c r="G70" i="2"/>
  <c r="J80" i="6"/>
  <c r="J68" i="6"/>
  <c r="J175" i="2"/>
  <c r="M221" i="6" s="1"/>
  <c r="J147" i="2"/>
  <c r="M185" i="6" s="1"/>
  <c r="J139" i="2"/>
  <c r="M173" i="6" s="1"/>
  <c r="J173" i="6"/>
  <c r="J79" i="2"/>
  <c r="M89" i="6" s="1"/>
  <c r="J89" i="6"/>
  <c r="J41" i="6"/>
  <c r="J218" i="6"/>
  <c r="J161" i="2"/>
  <c r="M206" i="6" s="1"/>
  <c r="J145" i="2"/>
  <c r="J182" i="6"/>
  <c r="I101" i="2"/>
  <c r="G102" i="2" s="1"/>
  <c r="J98" i="6"/>
  <c r="J167" i="2"/>
  <c r="M215" i="6" s="1"/>
  <c r="J215" i="6"/>
  <c r="J159" i="2"/>
  <c r="M203" i="6" s="1"/>
  <c r="J203" i="6"/>
  <c r="J143" i="2"/>
  <c r="M179" i="6" s="1"/>
  <c r="J179" i="6"/>
  <c r="J99" i="2"/>
  <c r="M119" i="6" s="1"/>
  <c r="J119" i="6"/>
  <c r="J83" i="2"/>
  <c r="M95" i="6" s="1"/>
  <c r="J95" i="6"/>
  <c r="M47" i="6"/>
  <c r="J47" i="6"/>
  <c r="G42" i="2"/>
  <c r="J42" i="2" s="1"/>
  <c r="M39" i="6" s="1"/>
  <c r="I97" i="1"/>
  <c r="I167" i="2"/>
  <c r="G168" i="2" s="1"/>
  <c r="I159" i="2"/>
  <c r="I139" i="2"/>
  <c r="I175" i="2"/>
  <c r="I143" i="2"/>
  <c r="G144" i="2" s="1"/>
  <c r="I31" i="1"/>
  <c r="L240" i="6" s="1"/>
  <c r="I27" i="1"/>
  <c r="L234" i="6" s="1"/>
  <c r="I36" i="1"/>
  <c r="L243" i="6" s="1"/>
  <c r="I66" i="1"/>
  <c r="I165" i="2"/>
  <c r="L212" i="6" s="1"/>
  <c r="I161" i="2"/>
  <c r="I145" i="2"/>
  <c r="L182" i="6" s="1"/>
  <c r="I99" i="2"/>
  <c r="L119" i="6" s="1"/>
  <c r="I83" i="2"/>
  <c r="L95" i="6" s="1"/>
  <c r="I79" i="2"/>
  <c r="J101" i="2"/>
  <c r="M122" i="6" s="1"/>
  <c r="M80" i="6"/>
  <c r="I42" i="2"/>
  <c r="L39" i="6" s="1"/>
  <c r="I70" i="2"/>
  <c r="J70" i="2"/>
  <c r="L47" i="6"/>
  <c r="J96" i="6"/>
  <c r="J183" i="6"/>
  <c r="J213" i="6"/>
  <c r="L221" i="6"/>
  <c r="J219" i="6"/>
  <c r="L179" i="6"/>
  <c r="L38" i="6"/>
  <c r="L68" i="6"/>
  <c r="L41" i="6"/>
  <c r="J114" i="6"/>
  <c r="M72" i="6"/>
  <c r="J120" i="6"/>
  <c r="M210" i="6"/>
  <c r="L80" i="6"/>
  <c r="L213" i="6"/>
  <c r="M213" i="6"/>
  <c r="M96" i="6"/>
  <c r="I84" i="2"/>
  <c r="L96" i="6" s="1"/>
  <c r="I100" i="2"/>
  <c r="L120" i="6" s="1"/>
  <c r="I96" i="2"/>
  <c r="L114" i="6" s="1"/>
  <c r="M120" i="6"/>
  <c r="M114" i="6"/>
  <c r="M219" i="6"/>
  <c r="M183" i="6"/>
  <c r="I146" i="2"/>
  <c r="L183" i="6" s="1"/>
  <c r="J81" i="6"/>
  <c r="L81" i="6"/>
  <c r="M81" i="6"/>
  <c r="M75" i="6"/>
  <c r="J162" i="6"/>
  <c r="I128" i="2"/>
  <c r="L162" i="6" s="1"/>
  <c r="M162" i="6"/>
  <c r="M48" i="6"/>
  <c r="J48" i="6"/>
  <c r="L210" i="6"/>
  <c r="J210" i="6"/>
  <c r="J39" i="6"/>
  <c r="I176" i="2"/>
  <c r="L222" i="6" s="1"/>
  <c r="J222" i="6"/>
  <c r="M222" i="6"/>
  <c r="J33" i="6"/>
  <c r="M33" i="6"/>
  <c r="M31" i="1" l="1"/>
  <c r="J242" i="6" s="1"/>
  <c r="J95" i="1"/>
  <c r="I38" i="1"/>
  <c r="L246" i="6" s="1"/>
  <c r="M69" i="1"/>
  <c r="M18" i="1"/>
  <c r="L14" i="1"/>
  <c r="G14" i="1"/>
  <c r="F98" i="1"/>
  <c r="J227" i="6"/>
  <c r="I9" i="1"/>
  <c r="J38" i="1"/>
  <c r="M246" i="6" s="1"/>
  <c r="I48" i="1"/>
  <c r="L258" i="6" s="1"/>
  <c r="J48" i="1"/>
  <c r="M258" i="6" s="1"/>
  <c r="M45" i="1"/>
  <c r="O45" i="1" s="1"/>
  <c r="L257" i="6" s="1"/>
  <c r="J90" i="1"/>
  <c r="M297" i="6" s="1"/>
  <c r="F18" i="3"/>
  <c r="I13" i="4"/>
  <c r="I149" i="2"/>
  <c r="G150" i="2" s="1"/>
  <c r="J189" i="6" s="1"/>
  <c r="M71" i="2"/>
  <c r="O71" i="2" s="1"/>
  <c r="M57" i="2"/>
  <c r="J64" i="6" s="1"/>
  <c r="J113" i="2"/>
  <c r="M140" i="6" s="1"/>
  <c r="J269" i="6"/>
  <c r="O69" i="1"/>
  <c r="L269" i="6" s="1"/>
  <c r="P69" i="1"/>
  <c r="M269" i="6" s="1"/>
  <c r="J42" i="1"/>
  <c r="M252" i="6" s="1"/>
  <c r="M33" i="1"/>
  <c r="O33" i="1" s="1"/>
  <c r="P45" i="1"/>
  <c r="M257" i="6" s="1"/>
  <c r="I315" i="6"/>
  <c r="I42" i="1"/>
  <c r="G43" i="1" s="1"/>
  <c r="I43" i="1" s="1"/>
  <c r="L253" i="6" s="1"/>
  <c r="J279" i="6"/>
  <c r="J12" i="1"/>
  <c r="H269" i="6"/>
  <c r="M38" i="1"/>
  <c r="I230" i="6"/>
  <c r="I86" i="1"/>
  <c r="G87" i="1" s="1"/>
  <c r="I40" i="1"/>
  <c r="J257" i="6"/>
  <c r="J40" i="1"/>
  <c r="M249" i="6" s="1"/>
  <c r="M90" i="1"/>
  <c r="J299" i="6" s="1"/>
  <c r="M9" i="1"/>
  <c r="J229" i="6" s="1"/>
  <c r="H275" i="6"/>
  <c r="O38" i="1"/>
  <c r="L248" i="6" s="1"/>
  <c r="M82" i="1"/>
  <c r="J287" i="6" s="1"/>
  <c r="L24" i="1"/>
  <c r="M24" i="1" s="1"/>
  <c r="I284" i="6"/>
  <c r="M80" i="1"/>
  <c r="J284" i="6" s="1"/>
  <c r="L255" i="6"/>
  <c r="G46" i="1"/>
  <c r="J256" i="6" s="1"/>
  <c r="I232" i="6"/>
  <c r="M14" i="1"/>
  <c r="J232" i="6" s="1"/>
  <c r="L267" i="6"/>
  <c r="G70" i="1"/>
  <c r="M97" i="1"/>
  <c r="I78" i="1"/>
  <c r="F6" i="3"/>
  <c r="J305" i="6" s="1"/>
  <c r="D16" i="3"/>
  <c r="H314" i="6" s="1"/>
  <c r="E16" i="3"/>
  <c r="I314" i="6" s="1"/>
  <c r="L78" i="1"/>
  <c r="I282" i="6"/>
  <c r="L224" i="6"/>
  <c r="J243" i="6"/>
  <c r="M6" i="1"/>
  <c r="J226" i="6" s="1"/>
  <c r="I263" i="6"/>
  <c r="J294" i="6"/>
  <c r="P51" i="1"/>
  <c r="M263" i="6" s="1"/>
  <c r="I84" i="1"/>
  <c r="G80" i="1"/>
  <c r="M12" i="1"/>
  <c r="P12" i="1" s="1"/>
  <c r="H277" i="6"/>
  <c r="G49" i="1"/>
  <c r="J49" i="1" s="1"/>
  <c r="M259" i="6" s="1"/>
  <c r="G10" i="1"/>
  <c r="G16" i="3"/>
  <c r="K314" i="6" s="1"/>
  <c r="I273" i="6"/>
  <c r="K282" i="6"/>
  <c r="J27" i="1"/>
  <c r="M234" i="6" s="1"/>
  <c r="J84" i="1"/>
  <c r="M288" i="6" s="1"/>
  <c r="H287" i="6"/>
  <c r="J255" i="6"/>
  <c r="J45" i="1"/>
  <c r="M255" i="6" s="1"/>
  <c r="L264" i="6"/>
  <c r="G67" i="1"/>
  <c r="J74" i="1"/>
  <c r="M273" i="6" s="1"/>
  <c r="I74" i="1"/>
  <c r="J273" i="6"/>
  <c r="P84" i="1"/>
  <c r="M290" i="6" s="1"/>
  <c r="L294" i="6"/>
  <c r="M76" i="1"/>
  <c r="J278" i="6" s="1"/>
  <c r="H278" i="6"/>
  <c r="M16" i="1"/>
  <c r="J233" i="6" s="1"/>
  <c r="H233" i="6"/>
  <c r="K275" i="6"/>
  <c r="P74" i="1"/>
  <c r="M275" i="6" s="1"/>
  <c r="H296" i="6"/>
  <c r="M86" i="1"/>
  <c r="J275" i="6"/>
  <c r="O74" i="1"/>
  <c r="L275" i="6" s="1"/>
  <c r="K284" i="6"/>
  <c r="O84" i="1"/>
  <c r="L290" i="6" s="1"/>
  <c r="H260" i="6"/>
  <c r="O66" i="1"/>
  <c r="L266" i="6" s="1"/>
  <c r="H266" i="6"/>
  <c r="P66" i="1"/>
  <c r="M266" i="6" s="1"/>
  <c r="H242" i="6"/>
  <c r="M40" i="1"/>
  <c r="O82" i="1"/>
  <c r="L287" i="6" s="1"/>
  <c r="K287" i="6"/>
  <c r="I239" i="6"/>
  <c r="M29" i="1"/>
  <c r="J239" i="6" s="1"/>
  <c r="I293" i="6"/>
  <c r="M88" i="1"/>
  <c r="P38" i="1"/>
  <c r="M248" i="6" s="1"/>
  <c r="K248" i="6"/>
  <c r="P95" i="1"/>
  <c r="O80" i="1"/>
  <c r="L284" i="6" s="1"/>
  <c r="J266" i="6"/>
  <c r="J264" i="6"/>
  <c r="J66" i="1"/>
  <c r="M264" i="6" s="1"/>
  <c r="I254" i="6"/>
  <c r="M42" i="1"/>
  <c r="J254" i="6" s="1"/>
  <c r="I72" i="1"/>
  <c r="L270" i="6" s="1"/>
  <c r="J72" i="1"/>
  <c r="M270" i="6" s="1"/>
  <c r="E19" i="3"/>
  <c r="F19" i="3" s="1"/>
  <c r="I19" i="3" s="1"/>
  <c r="E8" i="3"/>
  <c r="F8" i="3" s="1"/>
  <c r="P31" i="1"/>
  <c r="M242" i="6" s="1"/>
  <c r="I29" i="1"/>
  <c r="L237" i="6" s="1"/>
  <c r="O51" i="1"/>
  <c r="L263" i="6" s="1"/>
  <c r="O42" i="1"/>
  <c r="L254" i="6" s="1"/>
  <c r="I82" i="1"/>
  <c r="J9" i="1"/>
  <c r="M227" i="6" s="1"/>
  <c r="P27" i="1"/>
  <c r="M236" i="6" s="1"/>
  <c r="O97" i="1"/>
  <c r="P14" i="1"/>
  <c r="M232" i="6" s="1"/>
  <c r="J317" i="6"/>
  <c r="F9" i="3"/>
  <c r="I9" i="3" s="1"/>
  <c r="M307" i="6" s="1"/>
  <c r="G37" i="1"/>
  <c r="M36" i="1"/>
  <c r="J149" i="6"/>
  <c r="J87" i="2"/>
  <c r="M101" i="6" s="1"/>
  <c r="J101" i="6"/>
  <c r="J35" i="6"/>
  <c r="L35" i="6"/>
  <c r="J39" i="2"/>
  <c r="M35" i="6" s="1"/>
  <c r="O27" i="1"/>
  <c r="L236" i="6" s="1"/>
  <c r="O48" i="1"/>
  <c r="L260" i="6" s="1"/>
  <c r="P48" i="1"/>
  <c r="M260" i="6" s="1"/>
  <c r="K236" i="6"/>
  <c r="F12" i="3"/>
  <c r="J310" i="6" s="1"/>
  <c r="F10" i="3"/>
  <c r="J308" i="6" s="1"/>
  <c r="O95" i="1"/>
  <c r="K254" i="6"/>
  <c r="G39" i="1"/>
  <c r="O90" i="1"/>
  <c r="L299" i="6" s="1"/>
  <c r="P90" i="1"/>
  <c r="M299" i="6" s="1"/>
  <c r="G64" i="2"/>
  <c r="I64" i="2" s="1"/>
  <c r="L71" i="6"/>
  <c r="J54" i="2"/>
  <c r="M57" i="6" s="1"/>
  <c r="J57" i="6"/>
  <c r="I40" i="2"/>
  <c r="L36" i="6" s="1"/>
  <c r="J36" i="6"/>
  <c r="J21" i="2"/>
  <c r="M26" i="6" s="1"/>
  <c r="J26" i="6"/>
  <c r="I21" i="2"/>
  <c r="G22" i="2" s="1"/>
  <c r="I115" i="2"/>
  <c r="J143" i="6"/>
  <c r="J115" i="2"/>
  <c r="M143" i="6" s="1"/>
  <c r="M163" i="2"/>
  <c r="O163" i="2" s="1"/>
  <c r="L211" i="6" s="1"/>
  <c r="I211" i="6"/>
  <c r="J40" i="2"/>
  <c r="M36" i="6" s="1"/>
  <c r="J123" i="6"/>
  <c r="J102" i="2"/>
  <c r="M123" i="6" s="1"/>
  <c r="J180" i="6"/>
  <c r="J144" i="2"/>
  <c r="M180" i="6" s="1"/>
  <c r="I144" i="2"/>
  <c r="L180" i="6" s="1"/>
  <c r="L206" i="6"/>
  <c r="G162" i="2"/>
  <c r="J110" i="6"/>
  <c r="I93" i="2"/>
  <c r="J93" i="2"/>
  <c r="M110" i="6" s="1"/>
  <c r="I85" i="2"/>
  <c r="J85" i="2"/>
  <c r="M98" i="6" s="1"/>
  <c r="I77" i="2"/>
  <c r="G78" i="2" s="1"/>
  <c r="J87" i="6" s="1"/>
  <c r="J86" i="6"/>
  <c r="P55" i="2"/>
  <c r="M61" i="6" s="1"/>
  <c r="O55" i="2"/>
  <c r="L61" i="6" s="1"/>
  <c r="J61" i="6"/>
  <c r="L56" i="6"/>
  <c r="I75" i="2"/>
  <c r="J75" i="2"/>
  <c r="M83" i="6" s="1"/>
  <c r="J167" i="6"/>
  <c r="J56" i="6"/>
  <c r="O167" i="2"/>
  <c r="L217" i="6" s="1"/>
  <c r="M175" i="2"/>
  <c r="M87" i="2"/>
  <c r="I190" i="6"/>
  <c r="K151" i="2"/>
  <c r="I105" i="2"/>
  <c r="L128" i="6" s="1"/>
  <c r="J125" i="6"/>
  <c r="M119" i="2"/>
  <c r="J151" i="6" s="1"/>
  <c r="M111" i="2"/>
  <c r="L117" i="2"/>
  <c r="I148" i="6" s="1"/>
  <c r="I143" i="6"/>
  <c r="M15" i="2"/>
  <c r="J19" i="6" s="1"/>
  <c r="M29" i="2"/>
  <c r="M31" i="2"/>
  <c r="O31" i="2" s="1"/>
  <c r="M63" i="2"/>
  <c r="M67" i="2"/>
  <c r="H94" i="6"/>
  <c r="M81" i="2"/>
  <c r="I135" i="2"/>
  <c r="J157" i="2"/>
  <c r="M200" i="6" s="1"/>
  <c r="J50" i="6"/>
  <c r="P139" i="2"/>
  <c r="M175" i="6" s="1"/>
  <c r="P147" i="2"/>
  <c r="M187" i="6" s="1"/>
  <c r="M101" i="2"/>
  <c r="M145" i="2"/>
  <c r="O145" i="2" s="1"/>
  <c r="L184" i="6" s="1"/>
  <c r="M127" i="2"/>
  <c r="J163" i="6" s="1"/>
  <c r="M95" i="2"/>
  <c r="J115" i="6" s="1"/>
  <c r="K11" i="2"/>
  <c r="L75" i="2"/>
  <c r="I85" i="6" s="1"/>
  <c r="G117" i="2"/>
  <c r="J146" i="6" s="1"/>
  <c r="L115" i="2"/>
  <c r="I145" i="6" s="1"/>
  <c r="H55" i="6"/>
  <c r="F177" i="2"/>
  <c r="M69" i="2"/>
  <c r="M73" i="2"/>
  <c r="O73" i="2" s="1"/>
  <c r="I147" i="2"/>
  <c r="J71" i="6"/>
  <c r="J103" i="2"/>
  <c r="M125" i="6" s="1"/>
  <c r="J181" i="6"/>
  <c r="M147" i="2"/>
  <c r="P89" i="2"/>
  <c r="M106" i="6" s="1"/>
  <c r="M97" i="2"/>
  <c r="J118" i="6" s="1"/>
  <c r="D21" i="3"/>
  <c r="H300" i="6" s="1"/>
  <c r="J105" i="2"/>
  <c r="M128" i="6" s="1"/>
  <c r="J17" i="6"/>
  <c r="I26" i="6"/>
  <c r="I15" i="2"/>
  <c r="J63" i="2"/>
  <c r="M71" i="6" s="1"/>
  <c r="M9" i="2"/>
  <c r="J10" i="6" s="1"/>
  <c r="I49" i="2"/>
  <c r="G50" i="2" s="1"/>
  <c r="I50" i="2" s="1"/>
  <c r="L51" i="6" s="1"/>
  <c r="E21" i="3"/>
  <c r="I300" i="6" s="1"/>
  <c r="F17" i="3"/>
  <c r="H17" i="3" s="1"/>
  <c r="F15" i="3"/>
  <c r="J313" i="6" s="1"/>
  <c r="J271" i="6"/>
  <c r="I73" i="1"/>
  <c r="L271" i="6" s="1"/>
  <c r="M271" i="6"/>
  <c r="M72" i="1"/>
  <c r="J107" i="6"/>
  <c r="J168" i="2"/>
  <c r="M216" i="6" s="1"/>
  <c r="I168" i="2"/>
  <c r="L216" i="6" s="1"/>
  <c r="J216" i="6"/>
  <c r="L215" i="6"/>
  <c r="I113" i="2"/>
  <c r="I91" i="1"/>
  <c r="L298" i="6" s="1"/>
  <c r="J298" i="6"/>
  <c r="L297" i="6"/>
  <c r="J91" i="1"/>
  <c r="M298" i="6" s="1"/>
  <c r="M23" i="2"/>
  <c r="J31" i="6" s="1"/>
  <c r="M137" i="2"/>
  <c r="O137" i="2" s="1"/>
  <c r="L172" i="6" s="1"/>
  <c r="J61" i="2"/>
  <c r="M68" i="6" s="1"/>
  <c r="K229" i="6"/>
  <c r="K242" i="6"/>
  <c r="P42" i="1"/>
  <c r="M254" i="6" s="1"/>
  <c r="O6" i="1"/>
  <c r="L226" i="6" s="1"/>
  <c r="K226" i="6"/>
  <c r="I240" i="4"/>
  <c r="L188" i="6"/>
  <c r="J150" i="2"/>
  <c r="M189" i="6" s="1"/>
  <c r="I24" i="1"/>
  <c r="I16" i="1"/>
  <c r="G17" i="1" s="1"/>
  <c r="J17" i="1" s="1"/>
  <c r="M315" i="6"/>
  <c r="K315" i="6"/>
  <c r="F5" i="3"/>
  <c r="I5" i="3" s="1"/>
  <c r="M304" i="6" s="1"/>
  <c r="H307" i="6"/>
  <c r="F7" i="3"/>
  <c r="H7" i="3" s="1"/>
  <c r="N18" i="1"/>
  <c r="K317" i="6"/>
  <c r="I57" i="2"/>
  <c r="J62" i="6"/>
  <c r="J112" i="6"/>
  <c r="P93" i="2"/>
  <c r="M112" i="6" s="1"/>
  <c r="O93" i="2"/>
  <c r="L112" i="6" s="1"/>
  <c r="I112" i="6"/>
  <c r="I155" i="2"/>
  <c r="J197" i="6"/>
  <c r="J92" i="6"/>
  <c r="M77" i="2"/>
  <c r="J88" i="6" s="1"/>
  <c r="E8" i="7"/>
  <c r="G20" i="3"/>
  <c r="L320" i="6"/>
  <c r="J320" i="6"/>
  <c r="J54" i="1"/>
  <c r="M320" i="6" s="1"/>
  <c r="G30" i="1"/>
  <c r="J238" i="6" s="1"/>
  <c r="O14" i="1"/>
  <c r="L232" i="6" s="1"/>
  <c r="K232" i="6"/>
  <c r="M117" i="2"/>
  <c r="H97" i="6"/>
  <c r="M83" i="2"/>
  <c r="I55" i="2"/>
  <c r="L59" i="6" s="1"/>
  <c r="J55" i="2"/>
  <c r="M59" i="6" s="1"/>
  <c r="J59" i="6"/>
  <c r="M53" i="2"/>
  <c r="H58" i="6"/>
  <c r="H46" i="6"/>
  <c r="K67" i="6"/>
  <c r="I102" i="2"/>
  <c r="L123" i="6" s="1"/>
  <c r="L122" i="6"/>
  <c r="J207" i="6"/>
  <c r="I54" i="2"/>
  <c r="L57" i="6" s="1"/>
  <c r="L89" i="6"/>
  <c r="G80" i="2"/>
  <c r="J184" i="6"/>
  <c r="J211" i="6"/>
  <c r="P137" i="2"/>
  <c r="M172" i="6" s="1"/>
  <c r="J127" i="6"/>
  <c r="O103" i="2"/>
  <c r="L127" i="6" s="1"/>
  <c r="P103" i="2"/>
  <c r="M127" i="6" s="1"/>
  <c r="I199" i="6"/>
  <c r="M155" i="2"/>
  <c r="I121" i="6"/>
  <c r="M99" i="2"/>
  <c r="H194" i="6"/>
  <c r="G153" i="2"/>
  <c r="K153" i="2"/>
  <c r="H196" i="6" s="1"/>
  <c r="G104" i="2"/>
  <c r="L125" i="6"/>
  <c r="J170" i="6"/>
  <c r="I137" i="2"/>
  <c r="J19" i="2"/>
  <c r="M23" i="6" s="1"/>
  <c r="J23" i="6"/>
  <c r="I19" i="2"/>
  <c r="L23" i="6" s="1"/>
  <c r="M31" i="6"/>
  <c r="K28" i="6"/>
  <c r="K16" i="6"/>
  <c r="I178" i="6"/>
  <c r="M141" i="2"/>
  <c r="M125" i="2"/>
  <c r="O125" i="2" s="1"/>
  <c r="L160" i="6" s="1"/>
  <c r="I160" i="6"/>
  <c r="H85" i="6"/>
  <c r="M75" i="2"/>
  <c r="H166" i="6"/>
  <c r="M133" i="2"/>
  <c r="J190" i="6"/>
  <c r="P149" i="2"/>
  <c r="M190" i="6" s="1"/>
  <c r="O149" i="2"/>
  <c r="L190" i="6" s="1"/>
  <c r="G86" i="2"/>
  <c r="J99" i="6" s="1"/>
  <c r="L98" i="6"/>
  <c r="I89" i="2"/>
  <c r="J104" i="6"/>
  <c r="J89" i="2"/>
  <c r="M104" i="6" s="1"/>
  <c r="O169" i="2"/>
  <c r="L220" i="6" s="1"/>
  <c r="J220" i="6"/>
  <c r="I169" i="6"/>
  <c r="M135" i="2"/>
  <c r="M153" i="2"/>
  <c r="J196" i="6" s="1"/>
  <c r="H107" i="6"/>
  <c r="K91" i="2"/>
  <c r="H109" i="6" s="1"/>
  <c r="O15" i="2"/>
  <c r="L19" i="6" s="1"/>
  <c r="P15" i="2"/>
  <c r="M19" i="6" s="1"/>
  <c r="I74" i="6"/>
  <c r="G65" i="2"/>
  <c r="L65" i="2"/>
  <c r="J23" i="2"/>
  <c r="M29" i="6" s="1"/>
  <c r="J29" i="6"/>
  <c r="O29" i="2"/>
  <c r="H28" i="6"/>
  <c r="M21" i="2"/>
  <c r="P21" i="2" s="1"/>
  <c r="M28" i="6" s="1"/>
  <c r="H16" i="6"/>
  <c r="M19" i="2"/>
  <c r="I25" i="6"/>
  <c r="P57" i="2"/>
  <c r="M64" i="6" s="1"/>
  <c r="O57" i="2"/>
  <c r="L64" i="6" s="1"/>
  <c r="P43" i="2"/>
  <c r="M43" i="6" s="1"/>
  <c r="O43" i="2"/>
  <c r="L43" i="6" s="1"/>
  <c r="M49" i="2"/>
  <c r="I52" i="6"/>
  <c r="E22" i="3"/>
  <c r="I301" i="6" s="1"/>
  <c r="G45" i="2"/>
  <c r="I44" i="6"/>
  <c r="L45" i="2"/>
  <c r="I46" i="6" s="1"/>
  <c r="G17" i="2"/>
  <c r="I20" i="6"/>
  <c r="L17" i="2"/>
  <c r="L59" i="2"/>
  <c r="G59" i="2"/>
  <c r="I65" i="6"/>
  <c r="G163" i="2"/>
  <c r="I209" i="6"/>
  <c r="G141" i="2"/>
  <c r="I176" i="6"/>
  <c r="J81" i="2"/>
  <c r="M92" i="6" s="1"/>
  <c r="J113" i="6"/>
  <c r="I11" i="2"/>
  <c r="G12" i="2" s="1"/>
  <c r="D24" i="3"/>
  <c r="H303" i="6" s="1"/>
  <c r="G151" i="2"/>
  <c r="H191" i="6"/>
  <c r="L13" i="2"/>
  <c r="I16" i="6" s="1"/>
  <c r="G13" i="2"/>
  <c r="M41" i="2"/>
  <c r="H40" i="6"/>
  <c r="I95" i="2"/>
  <c r="L113" i="6" s="1"/>
  <c r="J11" i="6"/>
  <c r="K85" i="2"/>
  <c r="H98" i="6"/>
  <c r="I119" i="2"/>
  <c r="G120" i="2" s="1"/>
  <c r="I120" i="2" s="1"/>
  <c r="L150" i="6" s="1"/>
  <c r="I169" i="2"/>
  <c r="L218" i="6" s="1"/>
  <c r="J169" i="2"/>
  <c r="M218" i="6" s="1"/>
  <c r="I23" i="2"/>
  <c r="M25" i="2"/>
  <c r="M61" i="2"/>
  <c r="J70" i="6" s="1"/>
  <c r="H70" i="6"/>
  <c r="P53" i="2"/>
  <c r="M58" i="6" s="1"/>
  <c r="K58" i="6"/>
  <c r="K46" i="6"/>
  <c r="E24" i="3"/>
  <c r="I303" i="6" s="1"/>
  <c r="P167" i="2"/>
  <c r="M217" i="6" s="1"/>
  <c r="P69" i="2"/>
  <c r="M82" i="6" s="1"/>
  <c r="M129" i="2"/>
  <c r="O129" i="2" s="1"/>
  <c r="G25" i="2"/>
  <c r="M7" i="2"/>
  <c r="P7" i="2" s="1"/>
  <c r="M7" i="6" s="1"/>
  <c r="E23" i="3"/>
  <c r="I302" i="6" s="1"/>
  <c r="J292" i="6"/>
  <c r="J89" i="1"/>
  <c r="M292" i="6" s="1"/>
  <c r="I89" i="1"/>
  <c r="L292" i="6" s="1"/>
  <c r="L291" i="6"/>
  <c r="L276" i="6"/>
  <c r="G77" i="1"/>
  <c r="O76" i="1"/>
  <c r="L278" i="6" s="1"/>
  <c r="J276" i="6"/>
  <c r="F13" i="3"/>
  <c r="I13" i="3" s="1"/>
  <c r="M311" i="6" s="1"/>
  <c r="F11" i="3"/>
  <c r="F14" i="3"/>
  <c r="J312" i="6" s="1"/>
  <c r="K233" i="6"/>
  <c r="I18" i="3"/>
  <c r="P153" i="2"/>
  <c r="M196" i="6" s="1"/>
  <c r="I91" i="2"/>
  <c r="M91" i="2"/>
  <c r="I157" i="2"/>
  <c r="I131" i="4"/>
  <c r="H230" i="4"/>
  <c r="I57" i="4"/>
  <c r="H176" i="4"/>
  <c r="H137" i="4"/>
  <c r="H84" i="4"/>
  <c r="I27" i="4"/>
  <c r="H93" i="4"/>
  <c r="G53" i="4"/>
  <c r="I48" i="4" s="1"/>
  <c r="I20" i="4"/>
  <c r="H6" i="4"/>
  <c r="I250" i="4"/>
  <c r="H167" i="4"/>
  <c r="H75" i="4"/>
  <c r="H185" i="4"/>
  <c r="H235" i="4"/>
  <c r="P97" i="1"/>
  <c r="H18" i="3"/>
  <c r="G32" i="1"/>
  <c r="G28" i="1"/>
  <c r="J28" i="1" s="1"/>
  <c r="M235" i="6" s="1"/>
  <c r="J225" i="6"/>
  <c r="J7" i="1"/>
  <c r="M225" i="6" s="1"/>
  <c r="I7" i="1"/>
  <c r="L225" i="6" s="1"/>
  <c r="M157" i="2"/>
  <c r="H194" i="4"/>
  <c r="L101" i="6"/>
  <c r="I109" i="2"/>
  <c r="J109" i="2"/>
  <c r="M134" i="6" s="1"/>
  <c r="I10" i="6"/>
  <c r="L8" i="6"/>
  <c r="G10" i="2"/>
  <c r="O9" i="2"/>
  <c r="L10" i="6" s="1"/>
  <c r="P9" i="2"/>
  <c r="M10" i="6" s="1"/>
  <c r="J9" i="2"/>
  <c r="M8" i="6" s="1"/>
  <c r="J8" i="6"/>
  <c r="G6" i="2"/>
  <c r="L2" i="6"/>
  <c r="J5" i="2"/>
  <c r="M2" i="6" s="1"/>
  <c r="P5" i="2"/>
  <c r="M4" i="6" s="1"/>
  <c r="J4" i="6"/>
  <c r="J2" i="6"/>
  <c r="J157" i="6"/>
  <c r="O123" i="2"/>
  <c r="L157" i="6" s="1"/>
  <c r="M115" i="2"/>
  <c r="O111" i="2"/>
  <c r="L139" i="6" s="1"/>
  <c r="J139" i="6"/>
  <c r="I154" i="6"/>
  <c r="M121" i="2"/>
  <c r="I130" i="6"/>
  <c r="M105" i="2"/>
  <c r="K151" i="6"/>
  <c r="P119" i="2"/>
  <c r="M151" i="6" s="1"/>
  <c r="G140" i="2"/>
  <c r="L173" i="6"/>
  <c r="L92" i="6"/>
  <c r="G82" i="2"/>
  <c r="J93" i="6" s="1"/>
  <c r="J86" i="2"/>
  <c r="M99" i="6" s="1"/>
  <c r="I86" i="2"/>
  <c r="L99" i="6" s="1"/>
  <c r="I62" i="2"/>
  <c r="L69" i="6" s="1"/>
  <c r="J62" i="2"/>
  <c r="M69" i="6" s="1"/>
  <c r="O127" i="2"/>
  <c r="L163" i="6" s="1"/>
  <c r="J158" i="6"/>
  <c r="J125" i="2"/>
  <c r="M158" i="6" s="1"/>
  <c r="J142" i="6"/>
  <c r="P113" i="2"/>
  <c r="M142" i="6" s="1"/>
  <c r="O113" i="2"/>
  <c r="L142" i="6" s="1"/>
  <c r="P61" i="2"/>
  <c r="M70" i="6" s="1"/>
  <c r="O61" i="2"/>
  <c r="L70" i="6" s="1"/>
  <c r="K70" i="6"/>
  <c r="O47" i="2"/>
  <c r="L49" i="6" s="1"/>
  <c r="K49" i="6"/>
  <c r="J102" i="6"/>
  <c r="I88" i="2"/>
  <c r="L102" i="6" s="1"/>
  <c r="I150" i="2"/>
  <c r="L189" i="6" s="1"/>
  <c r="I44" i="2"/>
  <c r="L42" i="6" s="1"/>
  <c r="J44" i="2"/>
  <c r="M42" i="6" s="1"/>
  <c r="G156" i="2"/>
  <c r="L197" i="6"/>
  <c r="J78" i="2"/>
  <c r="M87" i="6" s="1"/>
  <c r="J127" i="2"/>
  <c r="M161" i="6" s="1"/>
  <c r="I127" i="2"/>
  <c r="L161" i="6" s="1"/>
  <c r="J161" i="6"/>
  <c r="I125" i="2"/>
  <c r="L158" i="6" s="1"/>
  <c r="I136" i="6"/>
  <c r="M109" i="2"/>
  <c r="K145" i="6"/>
  <c r="I117" i="2"/>
  <c r="I121" i="2"/>
  <c r="L152" i="6" s="1"/>
  <c r="J160" i="6"/>
  <c r="M107" i="2"/>
  <c r="O119" i="2"/>
  <c r="L151" i="6" s="1"/>
  <c r="J97" i="2"/>
  <c r="M116" i="6" s="1"/>
  <c r="I97" i="2"/>
  <c r="L149" i="6"/>
  <c r="I130" i="2"/>
  <c r="O131" i="2"/>
  <c r="I132" i="2"/>
  <c r="I74" i="2"/>
  <c r="O37" i="2"/>
  <c r="I37" i="2"/>
  <c r="G38" i="2" s="1"/>
  <c r="J53" i="6"/>
  <c r="J55" i="6"/>
  <c r="I51" i="2"/>
  <c r="P51" i="2"/>
  <c r="M55" i="6" s="1"/>
  <c r="O67" i="2"/>
  <c r="L79" i="6" s="1"/>
  <c r="M79" i="6"/>
  <c r="J79" i="6"/>
  <c r="I67" i="2"/>
  <c r="J77" i="6"/>
  <c r="P16" i="1"/>
  <c r="M233" i="6" s="1"/>
  <c r="F8" i="7"/>
  <c r="J52" i="1"/>
  <c r="M262" i="6" s="1"/>
  <c r="J262" i="6"/>
  <c r="I52" i="1"/>
  <c r="L262" i="6" s="1"/>
  <c r="O31" i="1"/>
  <c r="L242" i="6" s="1"/>
  <c r="I133" i="2"/>
  <c r="M204" i="6"/>
  <c r="I160" i="2"/>
  <c r="L204" i="6" s="1"/>
  <c r="J204" i="6"/>
  <c r="L203" i="6"/>
  <c r="M159" i="2"/>
  <c r="J6" i="6"/>
  <c r="I8" i="2"/>
  <c r="L6" i="6" s="1"/>
  <c r="J8" i="2"/>
  <c r="M6" i="6" s="1"/>
  <c r="L5" i="6"/>
  <c r="O12" i="1" l="1"/>
  <c r="L228" i="6"/>
  <c r="I10" i="1"/>
  <c r="I14" i="1"/>
  <c r="J14" i="1"/>
  <c r="M230" i="6" s="1"/>
  <c r="O18" i="1"/>
  <c r="O7" i="2"/>
  <c r="L7" i="6" s="1"/>
  <c r="L315" i="6"/>
  <c r="G25" i="1"/>
  <c r="I6" i="3"/>
  <c r="M305" i="6" s="1"/>
  <c r="J51" i="6"/>
  <c r="L50" i="6"/>
  <c r="J50" i="2"/>
  <c r="M51" i="6" s="1"/>
  <c r="O97" i="2"/>
  <c r="L118" i="6" s="1"/>
  <c r="L26" i="6"/>
  <c r="G20" i="2"/>
  <c r="O153" i="2"/>
  <c r="L196" i="6" s="1"/>
  <c r="P97" i="2"/>
  <c r="M118" i="6" s="1"/>
  <c r="J307" i="6"/>
  <c r="H14" i="3"/>
  <c r="L312" i="6" s="1"/>
  <c r="J43" i="1"/>
  <c r="M253" i="6" s="1"/>
  <c r="O23" i="2"/>
  <c r="L31" i="6" s="1"/>
  <c r="O24" i="1"/>
  <c r="P82" i="1"/>
  <c r="M287" i="6" s="1"/>
  <c r="L249" i="6"/>
  <c r="G41" i="1"/>
  <c r="J253" i="6"/>
  <c r="O9" i="1"/>
  <c r="L229" i="6" s="1"/>
  <c r="M317" i="6"/>
  <c r="P9" i="1"/>
  <c r="M229" i="6" s="1"/>
  <c r="I46" i="1"/>
  <c r="L256" i="6" s="1"/>
  <c r="J228" i="6"/>
  <c r="H6" i="3"/>
  <c r="L305" i="6" s="1"/>
  <c r="O16" i="1"/>
  <c r="L233" i="6" s="1"/>
  <c r="H19" i="3"/>
  <c r="I18" i="1"/>
  <c r="J10" i="1"/>
  <c r="M228" i="6" s="1"/>
  <c r="I7" i="3"/>
  <c r="L252" i="6"/>
  <c r="P6" i="1"/>
  <c r="M226" i="6" s="1"/>
  <c r="J248" i="6"/>
  <c r="I248" i="6"/>
  <c r="J80" i="1"/>
  <c r="M282" i="6" s="1"/>
  <c r="I80" i="1"/>
  <c r="J282" i="6"/>
  <c r="J70" i="1"/>
  <c r="M268" i="6" s="1"/>
  <c r="J268" i="6"/>
  <c r="I70" i="1"/>
  <c r="L268" i="6" s="1"/>
  <c r="I17" i="3"/>
  <c r="L227" i="6"/>
  <c r="P80" i="1"/>
  <c r="M284" i="6" s="1"/>
  <c r="J46" i="1"/>
  <c r="M256" i="6" s="1"/>
  <c r="J259" i="6"/>
  <c r="I49" i="1"/>
  <c r="L259" i="6" s="1"/>
  <c r="G85" i="1"/>
  <c r="L288" i="6"/>
  <c r="P78" i="1"/>
  <c r="M281" i="6" s="1"/>
  <c r="I281" i="6"/>
  <c r="M78" i="1"/>
  <c r="G79" i="1"/>
  <c r="L279" i="6"/>
  <c r="H9" i="3"/>
  <c r="L307" i="6" s="1"/>
  <c r="F16" i="3"/>
  <c r="I16" i="3" s="1"/>
  <c r="M314" i="6" s="1"/>
  <c r="I8" i="3"/>
  <c r="H8" i="3"/>
  <c r="I15" i="3"/>
  <c r="M313" i="6" s="1"/>
  <c r="O29" i="1"/>
  <c r="L239" i="6" s="1"/>
  <c r="L285" i="6"/>
  <c r="G83" i="1"/>
  <c r="P86" i="1"/>
  <c r="M296" i="6" s="1"/>
  <c r="O86" i="1"/>
  <c r="L296" i="6" s="1"/>
  <c r="J296" i="6"/>
  <c r="J87" i="1"/>
  <c r="M295" i="6" s="1"/>
  <c r="I87" i="1"/>
  <c r="L295" i="6" s="1"/>
  <c r="J295" i="6"/>
  <c r="J265" i="6"/>
  <c r="I67" i="1"/>
  <c r="L265" i="6" s="1"/>
  <c r="J67" i="1"/>
  <c r="M265" i="6" s="1"/>
  <c r="H12" i="3"/>
  <c r="L310" i="6" s="1"/>
  <c r="H15" i="3"/>
  <c r="L313" i="6" s="1"/>
  <c r="P76" i="1"/>
  <c r="M278" i="6" s="1"/>
  <c r="O88" i="1"/>
  <c r="L293" i="6" s="1"/>
  <c r="P88" i="1"/>
  <c r="M293" i="6" s="1"/>
  <c r="J293" i="6"/>
  <c r="I251" i="6"/>
  <c r="J251" i="6"/>
  <c r="O40" i="1"/>
  <c r="L251" i="6" s="1"/>
  <c r="G75" i="1"/>
  <c r="L273" i="6"/>
  <c r="P29" i="1"/>
  <c r="M239" i="6" s="1"/>
  <c r="I12" i="3"/>
  <c r="M310" i="6" s="1"/>
  <c r="P40" i="1"/>
  <c r="M251" i="6" s="1"/>
  <c r="I10" i="3"/>
  <c r="M308" i="6" s="1"/>
  <c r="H10" i="3"/>
  <c r="L308" i="6" s="1"/>
  <c r="J117" i="2"/>
  <c r="M146" i="6" s="1"/>
  <c r="O36" i="1"/>
  <c r="L245" i="6" s="1"/>
  <c r="P36" i="1"/>
  <c r="M245" i="6" s="1"/>
  <c r="J245" i="6"/>
  <c r="J37" i="1"/>
  <c r="M244" i="6" s="1"/>
  <c r="I37" i="1"/>
  <c r="L244" i="6" s="1"/>
  <c r="J244" i="6"/>
  <c r="I17" i="1"/>
  <c r="J39" i="1"/>
  <c r="M247" i="6" s="1"/>
  <c r="I39" i="1"/>
  <c r="L247" i="6" s="1"/>
  <c r="J247" i="6"/>
  <c r="G136" i="2"/>
  <c r="L167" i="6"/>
  <c r="O63" i="2"/>
  <c r="L73" i="6" s="1"/>
  <c r="J73" i="6"/>
  <c r="L110" i="6"/>
  <c r="G94" i="2"/>
  <c r="J120" i="2"/>
  <c r="M150" i="6" s="1"/>
  <c r="I78" i="2"/>
  <c r="L87" i="6" s="1"/>
  <c r="D25" i="3"/>
  <c r="O69" i="2"/>
  <c r="L82" i="6" s="1"/>
  <c r="J82" i="6"/>
  <c r="O175" i="2"/>
  <c r="L223" i="6" s="1"/>
  <c r="J223" i="6"/>
  <c r="O87" i="2"/>
  <c r="L103" i="6" s="1"/>
  <c r="P87" i="2"/>
  <c r="M103" i="6" s="1"/>
  <c r="J103" i="6"/>
  <c r="F21" i="3"/>
  <c r="I21" i="3" s="1"/>
  <c r="M300" i="6" s="1"/>
  <c r="G56" i="2"/>
  <c r="L86" i="6"/>
  <c r="M13" i="2"/>
  <c r="P13" i="2" s="1"/>
  <c r="M16" i="6" s="1"/>
  <c r="O95" i="2"/>
  <c r="L115" i="6" s="1"/>
  <c r="H193" i="6"/>
  <c r="M151" i="2"/>
  <c r="G76" i="2"/>
  <c r="L83" i="6"/>
  <c r="J162" i="2"/>
  <c r="M207" i="6" s="1"/>
  <c r="I162" i="2"/>
  <c r="L207" i="6" s="1"/>
  <c r="L143" i="6"/>
  <c r="G116" i="2"/>
  <c r="G16" i="2"/>
  <c r="L17" i="6"/>
  <c r="J150" i="6"/>
  <c r="O147" i="2"/>
  <c r="L187" i="6" s="1"/>
  <c r="J187" i="6"/>
  <c r="G148" i="2"/>
  <c r="L185" i="6"/>
  <c r="M11" i="2"/>
  <c r="H13" i="6"/>
  <c r="O101" i="2"/>
  <c r="L124" i="6" s="1"/>
  <c r="P101" i="2"/>
  <c r="M124" i="6" s="1"/>
  <c r="J124" i="6"/>
  <c r="J72" i="6"/>
  <c r="L72" i="6"/>
  <c r="L11" i="6"/>
  <c r="I14" i="3"/>
  <c r="M312" i="6" s="1"/>
  <c r="J316" i="6"/>
  <c r="M272" i="6"/>
  <c r="J272" i="6"/>
  <c r="O72" i="1"/>
  <c r="L272" i="6" s="1"/>
  <c r="L140" i="6"/>
  <c r="G114" i="2"/>
  <c r="P77" i="2"/>
  <c r="M88" i="6" s="1"/>
  <c r="O77" i="2"/>
  <c r="L88" i="6" s="1"/>
  <c r="J30" i="1"/>
  <c r="M238" i="6" s="1"/>
  <c r="I30" i="1"/>
  <c r="L238" i="6" s="1"/>
  <c r="F22" i="3"/>
  <c r="J301" i="6" s="1"/>
  <c r="J304" i="6"/>
  <c r="H5" i="3"/>
  <c r="L304" i="6" s="1"/>
  <c r="L317" i="6"/>
  <c r="L62" i="6"/>
  <c r="G58" i="2"/>
  <c r="F24" i="3"/>
  <c r="J303" i="6" s="1"/>
  <c r="E25" i="3"/>
  <c r="F23" i="3"/>
  <c r="I23" i="3" s="1"/>
  <c r="M302" i="6" s="1"/>
  <c r="I20" i="3"/>
  <c r="H20" i="3"/>
  <c r="O25" i="2"/>
  <c r="L34" i="6" s="1"/>
  <c r="J34" i="6"/>
  <c r="J16" i="6"/>
  <c r="I25" i="2"/>
  <c r="L32" i="6" s="1"/>
  <c r="J25" i="2"/>
  <c r="M32" i="6" s="1"/>
  <c r="J32" i="6"/>
  <c r="L29" i="6"/>
  <c r="G24" i="2"/>
  <c r="J13" i="2"/>
  <c r="M14" i="6" s="1"/>
  <c r="J14" i="6"/>
  <c r="I13" i="2"/>
  <c r="J45" i="2"/>
  <c r="M44" i="6" s="1"/>
  <c r="J44" i="6"/>
  <c r="I45" i="2"/>
  <c r="O21" i="2"/>
  <c r="L28" i="6" s="1"/>
  <c r="J28" i="6"/>
  <c r="G90" i="2"/>
  <c r="L104" i="6"/>
  <c r="J126" i="6"/>
  <c r="J104" i="2"/>
  <c r="M126" i="6" s="1"/>
  <c r="I104" i="2"/>
  <c r="L126" i="6" s="1"/>
  <c r="O99" i="2"/>
  <c r="L121" i="6" s="1"/>
  <c r="J121" i="6"/>
  <c r="M45" i="2"/>
  <c r="M148" i="6"/>
  <c r="J148" i="6"/>
  <c r="O117" i="2"/>
  <c r="L148" i="6" s="1"/>
  <c r="J151" i="2"/>
  <c r="M191" i="6" s="1"/>
  <c r="J191" i="6"/>
  <c r="I151" i="2"/>
  <c r="J163" i="2"/>
  <c r="M209" i="6" s="1"/>
  <c r="J209" i="6"/>
  <c r="I163" i="2"/>
  <c r="L209" i="6" s="1"/>
  <c r="L170" i="6"/>
  <c r="G138" i="2"/>
  <c r="J7" i="6"/>
  <c r="J141" i="2"/>
  <c r="M176" i="6" s="1"/>
  <c r="J176" i="6"/>
  <c r="I141" i="2"/>
  <c r="I59" i="2"/>
  <c r="J59" i="2"/>
  <c r="M65" i="6" s="1"/>
  <c r="J65" i="6"/>
  <c r="J17" i="2"/>
  <c r="M20" i="6" s="1"/>
  <c r="I17" i="2"/>
  <c r="J20" i="6"/>
  <c r="O19" i="2"/>
  <c r="L25" i="6" s="1"/>
  <c r="P19" i="2"/>
  <c r="M25" i="6" s="1"/>
  <c r="J25" i="6"/>
  <c r="M65" i="2"/>
  <c r="I76" i="6"/>
  <c r="J169" i="6"/>
  <c r="O135" i="2"/>
  <c r="L169" i="6" s="1"/>
  <c r="P135" i="2"/>
  <c r="M169" i="6" s="1"/>
  <c r="P75" i="2"/>
  <c r="M85" i="6" s="1"/>
  <c r="O75" i="2"/>
  <c r="L85" i="6" s="1"/>
  <c r="K85" i="6"/>
  <c r="J85" i="6"/>
  <c r="P141" i="2"/>
  <c r="M178" i="6" s="1"/>
  <c r="J178" i="6"/>
  <c r="O141" i="2"/>
  <c r="L178" i="6" s="1"/>
  <c r="H100" i="6"/>
  <c r="M85" i="2"/>
  <c r="O41" i="2"/>
  <c r="L40" i="6" s="1"/>
  <c r="P41" i="2"/>
  <c r="M40" i="6" s="1"/>
  <c r="J40" i="6"/>
  <c r="I22" i="6"/>
  <c r="M17" i="2"/>
  <c r="P49" i="2"/>
  <c r="M52" i="6" s="1"/>
  <c r="O49" i="2"/>
  <c r="L52" i="6" s="1"/>
  <c r="J52" i="6"/>
  <c r="O133" i="2"/>
  <c r="L166" i="6" s="1"/>
  <c r="J166" i="6"/>
  <c r="P133" i="2"/>
  <c r="M166" i="6" s="1"/>
  <c r="J80" i="2"/>
  <c r="M90" i="6" s="1"/>
  <c r="J90" i="6"/>
  <c r="I80" i="2"/>
  <c r="L90" i="6" s="1"/>
  <c r="M59" i="2"/>
  <c r="I67" i="6"/>
  <c r="I65" i="2"/>
  <c r="J65" i="2"/>
  <c r="M74" i="6" s="1"/>
  <c r="J74" i="6"/>
  <c r="I22" i="2"/>
  <c r="L27" i="6" s="1"/>
  <c r="J22" i="2"/>
  <c r="M27" i="6" s="1"/>
  <c r="J27" i="6"/>
  <c r="J194" i="6"/>
  <c r="I153" i="2"/>
  <c r="J153" i="2"/>
  <c r="M194" i="6" s="1"/>
  <c r="J199" i="6"/>
  <c r="P155" i="2"/>
  <c r="M199" i="6" s="1"/>
  <c r="O155" i="2"/>
  <c r="L199" i="6" s="1"/>
  <c r="O53" i="2"/>
  <c r="L58" i="6" s="1"/>
  <c r="J58" i="6"/>
  <c r="J97" i="6"/>
  <c r="O83" i="2"/>
  <c r="L97" i="6" s="1"/>
  <c r="J277" i="6"/>
  <c r="J77" i="1"/>
  <c r="M277" i="6" s="1"/>
  <c r="I77" i="1"/>
  <c r="L277" i="6" s="1"/>
  <c r="H13" i="3"/>
  <c r="L311" i="6" s="1"/>
  <c r="J311" i="6"/>
  <c r="J309" i="6"/>
  <c r="H11" i="3"/>
  <c r="L309" i="6" s="1"/>
  <c r="I11" i="3"/>
  <c r="M309" i="6" s="1"/>
  <c r="L107" i="6"/>
  <c r="G92" i="2"/>
  <c r="J109" i="6"/>
  <c r="O91" i="2"/>
  <c r="L109" i="6" s="1"/>
  <c r="P91" i="2"/>
  <c r="M109" i="6" s="1"/>
  <c r="I56" i="2"/>
  <c r="L60" i="6" s="1"/>
  <c r="J56" i="2"/>
  <c r="M60" i="6" s="1"/>
  <c r="J60" i="6"/>
  <c r="G158" i="2"/>
  <c r="L200" i="6"/>
  <c r="H48" i="4"/>
  <c r="J32" i="1"/>
  <c r="M241" i="6" s="1"/>
  <c r="J241" i="6"/>
  <c r="I32" i="1"/>
  <c r="L241" i="6" s="1"/>
  <c r="J235" i="6"/>
  <c r="I28" i="1"/>
  <c r="L235" i="6" s="1"/>
  <c r="P157" i="2"/>
  <c r="M202" i="6" s="1"/>
  <c r="J202" i="6"/>
  <c r="O157" i="2"/>
  <c r="L202" i="6" s="1"/>
  <c r="L134" i="6"/>
  <c r="I10" i="2"/>
  <c r="L9" i="6" s="1"/>
  <c r="J10" i="2"/>
  <c r="M9" i="6" s="1"/>
  <c r="J9" i="6"/>
  <c r="J6" i="2"/>
  <c r="M3" i="6" s="1"/>
  <c r="I6" i="2"/>
  <c r="L3" i="6" s="1"/>
  <c r="J3" i="6"/>
  <c r="I20" i="2"/>
  <c r="L24" i="6" s="1"/>
  <c r="J20" i="2"/>
  <c r="M24" i="6" s="1"/>
  <c r="J24" i="6"/>
  <c r="O115" i="2"/>
  <c r="L145" i="6" s="1"/>
  <c r="J145" i="6"/>
  <c r="M136" i="6"/>
  <c r="O109" i="2"/>
  <c r="L136" i="6" s="1"/>
  <c r="J136" i="6"/>
  <c r="O105" i="2"/>
  <c r="L130" i="6" s="1"/>
  <c r="J130" i="6"/>
  <c r="J156" i="2"/>
  <c r="M198" i="6" s="1"/>
  <c r="I156" i="2"/>
  <c r="L198" i="6" s="1"/>
  <c r="J198" i="6"/>
  <c r="J12" i="6"/>
  <c r="I12" i="2"/>
  <c r="L12" i="6" s="1"/>
  <c r="J12" i="2"/>
  <c r="M12" i="6" s="1"/>
  <c r="J174" i="6"/>
  <c r="J140" i="2"/>
  <c r="M174" i="6" s="1"/>
  <c r="I140" i="2"/>
  <c r="L174" i="6" s="1"/>
  <c r="J133" i="6"/>
  <c r="O107" i="2"/>
  <c r="L133" i="6" s="1"/>
  <c r="L146" i="6"/>
  <c r="P115" i="2"/>
  <c r="M145" i="6" s="1"/>
  <c r="J82" i="2"/>
  <c r="M93" i="6" s="1"/>
  <c r="I82" i="2"/>
  <c r="L93" i="6" s="1"/>
  <c r="J154" i="6"/>
  <c r="O121" i="2"/>
  <c r="L154" i="6" s="1"/>
  <c r="L116" i="6"/>
  <c r="G98" i="2"/>
  <c r="I38" i="2"/>
  <c r="G52" i="2"/>
  <c r="L53" i="6"/>
  <c r="L77" i="6"/>
  <c r="G68" i="2"/>
  <c r="L164" i="6"/>
  <c r="G134" i="2"/>
  <c r="O159" i="2"/>
  <c r="L205" i="6" s="1"/>
  <c r="J205" i="6"/>
  <c r="M205" i="6"/>
  <c r="O81" i="2"/>
  <c r="L94" i="6" s="1"/>
  <c r="J94" i="6"/>
  <c r="P81" i="2"/>
  <c r="M94" i="6" s="1"/>
  <c r="J300" i="6"/>
  <c r="G19" i="1" l="1"/>
  <c r="M318" i="6" s="1"/>
  <c r="H16" i="3"/>
  <c r="L314" i="6" s="1"/>
  <c r="I22" i="3"/>
  <c r="M301" i="6" s="1"/>
  <c r="J314" i="6"/>
  <c r="L230" i="6"/>
  <c r="G15" i="1"/>
  <c r="I15" i="1" s="1"/>
  <c r="J250" i="6"/>
  <c r="J41" i="1"/>
  <c r="M250" i="6" s="1"/>
  <c r="I41" i="1"/>
  <c r="L250" i="6" s="1"/>
  <c r="I79" i="1"/>
  <c r="L280" i="6" s="1"/>
  <c r="J79" i="1"/>
  <c r="M280" i="6" s="1"/>
  <c r="J280" i="6"/>
  <c r="G81" i="1"/>
  <c r="L282" i="6"/>
  <c r="J281" i="6"/>
  <c r="O78" i="1"/>
  <c r="L281" i="6" s="1"/>
  <c r="J289" i="6"/>
  <c r="J85" i="1"/>
  <c r="M289" i="6" s="1"/>
  <c r="I85" i="1"/>
  <c r="L289" i="6" s="1"/>
  <c r="I83" i="1"/>
  <c r="L286" i="6" s="1"/>
  <c r="J286" i="6"/>
  <c r="J83" i="1"/>
  <c r="M286" i="6" s="1"/>
  <c r="I75" i="1"/>
  <c r="L274" i="6" s="1"/>
  <c r="J75" i="1"/>
  <c r="M274" i="6" s="1"/>
  <c r="J274" i="6"/>
  <c r="H22" i="3"/>
  <c r="L301" i="6" s="1"/>
  <c r="I19" i="1"/>
  <c r="L318" i="6" s="1"/>
  <c r="M316" i="6"/>
  <c r="I25" i="1"/>
  <c r="L316" i="6" s="1"/>
  <c r="H21" i="3"/>
  <c r="L300" i="6" s="1"/>
  <c r="I76" i="2"/>
  <c r="L84" i="6" s="1"/>
  <c r="J84" i="6"/>
  <c r="J76" i="2"/>
  <c r="M84" i="6" s="1"/>
  <c r="O13" i="2"/>
  <c r="L16" i="6" s="1"/>
  <c r="J148" i="2"/>
  <c r="M186" i="6" s="1"/>
  <c r="I148" i="2"/>
  <c r="L186" i="6" s="1"/>
  <c r="J186" i="6"/>
  <c r="P151" i="2"/>
  <c r="M193" i="6" s="1"/>
  <c r="J193" i="6"/>
  <c r="O151" i="2"/>
  <c r="L193" i="6" s="1"/>
  <c r="J18" i="6"/>
  <c r="I16" i="2"/>
  <c r="L18" i="6" s="1"/>
  <c r="J16" i="2"/>
  <c r="M18" i="6" s="1"/>
  <c r="I94" i="2"/>
  <c r="L111" i="6" s="1"/>
  <c r="J94" i="2"/>
  <c r="M111" i="6" s="1"/>
  <c r="J111" i="6"/>
  <c r="P11" i="2"/>
  <c r="M13" i="6" s="1"/>
  <c r="O11" i="2"/>
  <c r="L13" i="6" s="1"/>
  <c r="J13" i="6"/>
  <c r="J116" i="2"/>
  <c r="M144" i="6" s="1"/>
  <c r="J144" i="6"/>
  <c r="I116" i="2"/>
  <c r="L144" i="6" s="1"/>
  <c r="J168" i="6"/>
  <c r="J136" i="2"/>
  <c r="M168" i="6" s="1"/>
  <c r="I136" i="2"/>
  <c r="L168" i="6" s="1"/>
  <c r="J114" i="2"/>
  <c r="M141" i="6" s="1"/>
  <c r="J141" i="6"/>
  <c r="I114" i="2"/>
  <c r="L141" i="6" s="1"/>
  <c r="I24" i="3"/>
  <c r="M303" i="6" s="1"/>
  <c r="H24" i="3"/>
  <c r="L303" i="6" s="1"/>
  <c r="H23" i="3"/>
  <c r="L302" i="6" s="1"/>
  <c r="J302" i="6"/>
  <c r="J63" i="6"/>
  <c r="I58" i="2"/>
  <c r="L63" i="6" s="1"/>
  <c r="J58" i="2"/>
  <c r="M63" i="6" s="1"/>
  <c r="G154" i="2"/>
  <c r="L194" i="6"/>
  <c r="G14" i="2"/>
  <c r="L14" i="6"/>
  <c r="O59" i="2"/>
  <c r="L67" i="6" s="1"/>
  <c r="J67" i="6"/>
  <c r="P59" i="2"/>
  <c r="M67" i="6" s="1"/>
  <c r="G152" i="2"/>
  <c r="L191" i="6"/>
  <c r="L44" i="6"/>
  <c r="G46" i="2"/>
  <c r="P85" i="2"/>
  <c r="M100" i="6" s="1"/>
  <c r="J100" i="6"/>
  <c r="O85" i="2"/>
  <c r="L100" i="6" s="1"/>
  <c r="J138" i="2"/>
  <c r="M171" i="6" s="1"/>
  <c r="J171" i="6"/>
  <c r="I138" i="2"/>
  <c r="L171" i="6" s="1"/>
  <c r="O65" i="2"/>
  <c r="L76" i="6" s="1"/>
  <c r="J76" i="6"/>
  <c r="J90" i="2"/>
  <c r="M105" i="6" s="1"/>
  <c r="J105" i="6"/>
  <c r="I90" i="2"/>
  <c r="L105" i="6" s="1"/>
  <c r="G142" i="2"/>
  <c r="L176" i="6"/>
  <c r="L74" i="6"/>
  <c r="P17" i="2"/>
  <c r="M22" i="6" s="1"/>
  <c r="O17" i="2"/>
  <c r="L22" i="6" s="1"/>
  <c r="J22" i="6"/>
  <c r="G18" i="2"/>
  <c r="L20" i="6"/>
  <c r="L65" i="6"/>
  <c r="G60" i="2"/>
  <c r="O45" i="2"/>
  <c r="L46" i="6" s="1"/>
  <c r="J46" i="6"/>
  <c r="P45" i="2"/>
  <c r="M46" i="6" s="1"/>
  <c r="I24" i="2"/>
  <c r="L30" i="6" s="1"/>
  <c r="J30" i="6"/>
  <c r="J92" i="2"/>
  <c r="M108" i="6" s="1"/>
  <c r="J108" i="6"/>
  <c r="I92" i="2"/>
  <c r="L108" i="6" s="1"/>
  <c r="I158" i="2"/>
  <c r="L201" i="6" s="1"/>
  <c r="J201" i="6"/>
  <c r="J158" i="2"/>
  <c r="M201" i="6" s="1"/>
  <c r="M135" i="6"/>
  <c r="I110" i="2"/>
  <c r="L135" i="6" s="1"/>
  <c r="J135" i="6"/>
  <c r="J147" i="6"/>
  <c r="I118" i="2"/>
  <c r="L147" i="6" s="1"/>
  <c r="M147" i="6"/>
  <c r="J117" i="6"/>
  <c r="J98" i="2"/>
  <c r="M117" i="6" s="1"/>
  <c r="I98" i="2"/>
  <c r="L117" i="6" s="1"/>
  <c r="J54" i="6"/>
  <c r="I52" i="2"/>
  <c r="L54" i="6" s="1"/>
  <c r="J52" i="2"/>
  <c r="M54" i="6" s="1"/>
  <c r="I68" i="2"/>
  <c r="L78" i="6" s="1"/>
  <c r="J78" i="6"/>
  <c r="M78" i="6"/>
  <c r="I134" i="2"/>
  <c r="L165" i="6" s="1"/>
  <c r="J134" i="2"/>
  <c r="M165" i="6" s="1"/>
  <c r="J165" i="6"/>
  <c r="J318" i="6" l="1"/>
  <c r="J231" i="6"/>
  <c r="L231" i="6"/>
  <c r="J15" i="1"/>
  <c r="M231" i="6" s="1"/>
  <c r="I81" i="1"/>
  <c r="L283" i="6" s="1"/>
  <c r="J81" i="1"/>
  <c r="M283" i="6" s="1"/>
  <c r="J283" i="6"/>
  <c r="J142" i="2"/>
  <c r="M177" i="6" s="1"/>
  <c r="J177" i="6"/>
  <c r="I142" i="2"/>
  <c r="L177" i="6" s="1"/>
  <c r="J46" i="2"/>
  <c r="M45" i="6" s="1"/>
  <c r="I46" i="2"/>
  <c r="L45" i="6" s="1"/>
  <c r="J45" i="6"/>
  <c r="I14" i="2"/>
  <c r="L15" i="6" s="1"/>
  <c r="J14" i="2"/>
  <c r="M15" i="6" s="1"/>
  <c r="J15" i="6"/>
  <c r="J192" i="6"/>
  <c r="I152" i="2"/>
  <c r="L192" i="6" s="1"/>
  <c r="J152" i="2"/>
  <c r="M192" i="6" s="1"/>
  <c r="J18" i="2"/>
  <c r="M21" i="6" s="1"/>
  <c r="J21" i="6"/>
  <c r="I18" i="2"/>
  <c r="L21" i="6" s="1"/>
  <c r="I66" i="2"/>
  <c r="L75" i="6" s="1"/>
  <c r="J75" i="6"/>
  <c r="J66" i="6"/>
  <c r="J60" i="2"/>
  <c r="M66" i="6" s="1"/>
  <c r="I60" i="2"/>
  <c r="L66" i="6" s="1"/>
  <c r="I154" i="2"/>
  <c r="L195" i="6" s="1"/>
  <c r="J154" i="2"/>
  <c r="M195" i="6" s="1"/>
  <c r="J195" i="6"/>
</calcChain>
</file>

<file path=xl/comments1.xml><?xml version="1.0" encoding="utf-8"?>
<comments xmlns="http://schemas.openxmlformats.org/spreadsheetml/2006/main">
  <authors>
    <author>CEA TELLO, MARIO ANDRES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Cuota 32709 Ton
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Kamila Molina</author>
    <author>dcatalan</author>
    <author>Casa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3243 Ton a 3293
Res Ex 1754-18 modifica cuota de 3293 Ton a 3302
Res Ex 2436-18 modifica cuota de 3302 Ton a 3475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(O) </t>
        </r>
        <r>
          <rPr>
            <sz val="10"/>
            <color indexed="81"/>
            <rFont val="Tahoma"/>
            <family val="2"/>
          </rPr>
          <t>Otorga 1859 Ton de Cuota Imprevistos III Región (Res. Ex. N° 2438-18)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21-06-2018 (7771)
Apertura 12-07-2018 (7829)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171 Ton a 173
Res Ex 1754-18 modifica cuota de 173 Ton a 174
Res Ex 2436-18 modifica cuota de 174 Ton a 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21-06-2018 (7771)
Apertura 12-07-2018 (7829)
Cierre Periodo 25-12-2018 (1273)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(C) Recibe 65,705 ton desde LITORAL SpA PESQ III-IV (Res. N° 836-2018)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(C) Recibe 435,233 ton desde LITORAL SpA PESQ V-IX (Res. N° 836-2018)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(C) Recibe 3000 ton desde Blumar SA III-IV y V-IX (Res. N° 2356-2018)
(M)  Deja sin efecto Res. Ex. 2356-18 (Res. Ex. 3851-18)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3000 ton desde Blumar S.A. V-IX (Res. N° 2968-2018)
Res. Ex 3163-18 Deja sin efecto Res. Ex. 2968-18 por 3000 Ton.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2000 ton desde Blumar S.A. V-IX (Res. N° 4287-2018)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Recibe 1000 ton desde Corpesca XV-II (Res. N° 2299-2018)
Deja sin efecto Res.2299-18 (Res. Ex. 4176-18)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 Ex 3081-18 modifica cuota de 5126,161  a 5394,781 Ton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Cede 2500 ton a Orizon S.A V-IX (Res N° 2511-18)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 Ex 3081-18 modifica cuota de 269,620  a 1 Ton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(O) Otorga 325,58 Ton de Cuota Imprevistos IV Región (Res. Ex. N° 4500-18)</t>
        </r>
      </text>
    </comment>
    <comment ref="Q3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17-12-2018 (13458)
Apertura 28-12-2018 (14694)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2900,384  a 2957,364 Ton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 ) Cede 2900 ton a Alimentos Marinos S.A. Alimar V-IX (Res N° 1205-18)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16-04-2018 (18360)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152,223  a 155,651 Ton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101,061  a 52,278 Ton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5,304  a 2,751 Ton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77,469  a 75,716 Ton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4,066  a 3,985 Ton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484,086  a  448,645 Ton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25,407  a  23,613 Ton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13 Ton a 9
Res Ex 1754-18 modifica cuota de 9 Ton a 10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117 Ton a 119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7590 Ton a 7704
Res Ex 1754-18 modifica cuota de 7704 Ton a 7729
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43190 (10-01-2018)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400 Ton a 406
Res Ex 1754-18 modifica cuota de 406 Ton a 407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43542 (02-02-2018)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241 ton desde Pesquera Genova Ltda.  III-IV y V-IX (Res. N° 2262-18)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26,758 Ton desde ARMAR AG RAG 320-10 (Res. N° 3293-18)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21 Ton desde STI Proveedores Maritimos de Quillaipe X (Res. N° 3456-18)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190 Ton desde Organozacion X (Res. N° 2866-18)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176,16 Ton desde Soc. Pesquera Orion Ltda. V-IX (Res. N° 4092-18)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274,300 Ton desde Soc. Pesquera Orion Ltda. V-IX y XIV-X (Res. N° 3211-18)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171 Ton a 40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9 Ton a 2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887 Ton a 621
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9419 (19-04-2018)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47 Ton a 33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28,499 Ton a 25,420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Cede 26,758 ton a Embarcación VIII (Res N° 3293-18) 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1,502 Ton a 1,338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202,726 Ton a 206,394</t>
        </r>
      </text>
    </comment>
    <comment ref="F74" authorId="2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(C ) Cede 200 ton a Camanchaca Pesca Sur V-IX (Res N° 695-18) Res. N° 1410 Rectifica Res. 695-18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10,684 Ton a 10,863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 Ex 1943-18 modifica cuota de 2977,391 a 3031,670 Ton.
Res. Ex. 2066-18 Modifica cuota de 3031,670  a  3190,232 Ton.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(C ) Cede 3031 ton a Soc. Pesq. Landes S.A. V-IX (Res N° 927-18)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51304 (13-03-2018)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 Ex 1943-18 modifica cuota de 156,916 Ton a 159,562
Res.Ex 2066-18 Modifica cuota de 159,562 a  1 Ton.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532,369 Ton a 542,077</t>
        </r>
      </text>
    </comment>
    <comment ref="F78" authorId="2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(C ) Cede 550 ton a Camanchaca Pesca Sur V-IX (Res N° 695-18) Res. N° 1410 Rectifica Res. 695-18</t>
        </r>
      </text>
    </comment>
    <comment ref="Q78" authorId="0" shapeId="0">
      <text>
        <r>
          <rPr>
            <b/>
            <sz val="10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Cierre Periodo 52746 (21-06-2018)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28,057 Ton a 28,530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1705,662 Ton a 1736,777</t>
        </r>
      </text>
    </comment>
    <comment ref="F80" authorId="2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(C ) Cede 1628,627 ton a Alimar XIV-X (Res N° 773-18)
(C ) Cede 190 ton a Armador VIII (Res N° 2866-18)
</t>
        </r>
      </text>
    </comment>
    <comment ref="Q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53390 (09-08-2018)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89,893 Ton a 91,409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3,346 Ton a 0,653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0,176 Ton a 0,034
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6,831 Ton a 6,955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0,36 Ton a 0,366
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1187 Incorpora a STI otorga ene-dic 25,107 y oct-dic 1,323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25,107 Ton a 25,580</t>
        </r>
      </text>
    </comment>
    <comment ref="F86" authorId="3" shapeId="0">
      <text>
        <r>
          <rPr>
            <b/>
            <sz val="9"/>
            <color indexed="81"/>
            <rFont val="Tahoma"/>
            <family val="2"/>
          </rPr>
          <t>Casa:</t>
        </r>
        <r>
          <rPr>
            <sz val="9"/>
            <color indexed="81"/>
            <rFont val="Tahoma"/>
            <family val="2"/>
          </rPr>
          <t xml:space="preserve">
(C ) Cede 21 ton a Emb. VIII (Res N° 3456-18)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1,323 Ton a 1,346
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440,923 Ton a 448,949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Cede 459,38 ton a Alimentos Marionos S.A. XIV-X (Res N° 1030-18)</t>
        </r>
      </text>
    </comment>
    <comment ref="Q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51452 (22-03-2018)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23,238 Ton a 23,629
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
</t>
        </r>
        <r>
          <rPr>
            <sz val="11"/>
            <color indexed="81"/>
            <rFont val="Tahoma"/>
            <family val="2"/>
          </rPr>
          <t>Res. Ex. N° 1187 modifica cuota de 41,253 Ton a 16,145
Res Ex 1943-18 modifica cuota de 16,145 Ton a 6,117</t>
        </r>
      </text>
    </comment>
    <comment ref="Q9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52346 (22-05-2018)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 1187 modifica cuota de 2,174 Ton a 0,851
Res Ex 1943-18 modifica cuota de 0,851 Ton a 0,322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45 ton desde  Landes XIV-X (Res. N° 4547-2018)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  <author>dcatalan</author>
    <author>Kamila Molina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3500,097 Ton a Camanchaca Pesca Sur S.A. V-IX (Cert. N° 36-2018).
(T)  Traspaso 2000,130 Ton a Camanchaca Pesca Sur S.A. V-IX (Cert. N° 48-2018)</t>
        </r>
        <r>
          <rPr>
            <sz val="10"/>
            <color indexed="81"/>
            <rFont val="Tahoma"/>
            <family val="2"/>
          </rPr>
          <t>.
(T)  Traspaso 1200,077  Ton a Camanchaca Pesca Sur S.A. V-IX (Cert. N° 69-2018)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3000 Ton a Orizon S.A. XV-II (Res. 1657-18)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5500 Ton a Orizon S.A. XV-II (Res. 598-18)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1000 ton a Armadores Artesanales III (Res.Ex. 2299-2018).
Deja sin efecto Res. 2299-18 (Res. Ex. 4176-18)
( V) Venta 3000 Ton a Lota Protein  S.A. XV-II (Res. 3998-18)
( V) Venta 4999,999 Ton a Orizon S.A. XV-II (Res. 4208-18)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1245 Ton a Orizon XIV-X (Cert. N° 21-2018).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3000 Ton a Corpesca S.A. XV-II (Res. 1657-18)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5500 Ton a Orizon V-IX (Cert. N° 10-2018).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5500 Ton a Corpesca S.A. XV-II (Res. 598-18)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3000 Ton a Orizon V-IX (Cert. N° 18-2018)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de 116,739 Ton a  Pesquera Genova Ltda. XV-II (Res. 2051-18)
(C) Compra de 116,739 Ton a  Pesquera Genova Ltda. XV-II (Res. 2052-18)
(C) Compra de 116,739 Ton a  Pesquera Genova Ltda. XV-II (Res. 2053-18)
(C) Compra de 116,739 Ton a  Pesquera Genova Ltda. XV-II (Res. 2054-18)
(C) Compra de 116,739 Ton a  Pesquera Genova Ltda. XV-II (Res. 2055-18)
(C) Compra de 116,739 Ton a  Pesquera Genova Ltda. XV-II (Res. 2056-18)
(C) Compra de 194,565 Ton a  Pesquera B y B Ltda. XV-II (Res. 2123-18)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895 Ton a Orizon V-IX (Cert. N° 28-2018)
(C) Compra 4999,999 Ton a Corpesca S.A. XV-II (Res. 4208-18)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dcatalan:
</t>
        </r>
        <r>
          <rPr>
            <sz val="10"/>
            <color indexed="12"/>
            <rFont val="Tahoma"/>
            <family val="2"/>
          </rPr>
          <t>( V) Venta 116,739 Ton a Food Corp Chile S.A. XV-II (Res. 1231-18)
( V) Venta 194,565 Ton a Food Corp Chile S.A. XV-II (Res. 1232-18)
( V) Venta 194,565 Ton a Food Corp Chile S.A. XV-II (Res. 1233-18)
( V) Venta 194,565 Ton a Food Corp Chile S.A. XV-II (Res. 1234-18)
( V) Venta 194,565 Ton a Food Corp Chile S.A. XV-II (Res. 1235-18)
( V) Venta 194,565 Ton a Food Corp Chile S.A. XV-II (Res. 1236-18)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116,739 Ton a Camanchaca Pesca Sur S.A. XV-II (Res. 1215-18)
( V) Venta 116,739 Ton a Camanchaca Pesca Sur S.A. XV-II (Res. 1216-18)
( V) Venta 116,739 Ton a Camanchaca Pesca Sur S.A. XV-II (Res. 1217-18)
( V) Venta 194,565 Ton a Camanchaca Pesca Sur S.A. XV-II (Res. 1218-18)
( V) Venta 194,565 Ton a Camanchaca Pesca Sur S.A. XV-II (Res. 1219-18)
( V) Venta 194,565 Ton a Camanchaca Pesca Sur S.A. XV-II (Res. 1220-18)
( V) Venta 194,565 Ton a Camanchaca Pesca Sur S.A. XV-II (Res. 1221-18)
( V) Venta 194,565 Ton a Camanchaca Pesca Sur S.A. XV-II (Res. 1222-18)
( V) Venta 194,565 Ton a Camanchaca Pesca Sur S.A. XV-II (Res. 1223-18)
( V) Venta 194,565 Ton a Camanchaca Pesca Sur S.A. XV-II (Res. 1224-18)
( V) Venta 194,565 Ton a Camanchaca Pesca Sur S.A. XV-II (Res. 1225-18)
( V) Venta 194,565 Ton a Camanchaca Pesca Sur S.A. XV-II (Res. 1226-18)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116,739 Ton a Orizon S.A. XV-II (Res. 2051-18)
( V) Venta 116,739 Ton a Orizon S.A. XV-II (Res. 2052-18)
( V) Venta 116,739 Ton a Orizon S.A. XV-II (Res. 2053-18)
( V) Venta 116,739 Ton a Orizon S.A. XV-II (Res. 2054-18)
( V) Venta 116,739 Ton a Orizon S.A. XV-II (Res. 2055-18)
( V) Venta 116,739 Ton a Orizon S.A. XV-II (Res. 2056-18)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194,565 Ton a Orizon S.A. XV-II (Res. 2123-18)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194,565 Ton a Food Corp Chile S.A. XV-II (Res. 1980-18)
( V) Venta 194,565 Ton a Food Corp Chile S.A. XV-II (Res. 1981-18)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 V) Venta 194,565 Ton a Soc. Pesquera Landes S.A. XV-II (Res. 3032-18)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(T) Traspaso de  311,304 Ton a Landes V-IX (Cert. N° 11-2018).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(C) Compra de 194,565 Ton a Frozen Sea S.A. XV-II (Res. 3032-18)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(T) Traspaso de 194,565 Ton a Landes V-IX (Cert. N° 53-2018).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116,739 Ton a Servicios Maritimos Pesqueros CMP EIRL XV-II  (Res. 1215-18)
( C) Compra 116,739 Ton a Servicios Maritimos Pesqueros CMP EIRL XV-II  (Res. 1216-18)
( C) Compra 116,739 Ton a Servicios Maritimos Pesqueros CMP EIRL XV-II  (Res. 1217-18)
( C) Compra 194,565 Ton a Servicios Maritimos Pesqueros CMP EIRL XV-II  (Res. 1218-18)
( C) Compra 194,565 Ton a Servicios Maritimos Pesqueros CMP EIRL XV-II  (Res. 1219-18)
( C) Compra 194,565 Ton a Servicios Maritimos Pesqueros CMP EIRL XV-II  (Res. 1220-18)
( C) Compra 194,565 Ton a Servicios Maritimos Pesqueros CMP EIRL XV-II  (Res. 1221-18)
( C) Compra 194,565 Ton a Servicios Maritimos Pesqueros CMP EIRL XV-II  (Res. 1222-18)
( C) Compra 194,565 Ton a Servicios Maritimos Pesqueros CMP EIRL XV-II  (Res. 1223-18)
( C) Compra 194,565 Ton a Servicios Maritimos Pesqueros CMP EIRL XV-II  (Res. 1224-18)
( C) Compra 194,565 Ton a Servicios Maritimos Pesqueros CMP EIRL XV-II  (Res. 1225-18)
( C) Compra 194,565 Ton a Servicios Maritimos Pesqueros CMP EIRL XV-II  (Res. 1226-18)</t>
        </r>
        <r>
          <rPr>
            <sz val="10"/>
            <color indexed="81"/>
            <rFont val="Tahoma"/>
            <family val="2"/>
          </rPr>
          <t xml:space="preserve">
( O) Otorga 311, 304 Ton LTP B sobre Jurel XV-II  (Res. 1603-18)
</t>
        </r>
        <r>
          <rPr>
            <sz val="10"/>
            <color indexed="12"/>
            <rFont val="Tahoma"/>
            <family val="2"/>
          </rPr>
          <t>( T) Traspaso 2412,606 Ton a Camanchaca Pesca Sur V-IX (Cert. N° 23-2018).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116,739 Ton a EGS Brama Australis Seafood S.A. (Res.1231-18)
( C) Compra 194,565 Ton a EGS Brama Australis Seafood S.A.(Res. 1232-18)
( C) Compra 194,565 Ton a EGS Brama Australis Seafood S.A.(Res. 1233-18)
( C) Compra 194,565 Ton a EGS Brama Australis Seafood S.A.(Res. 1234-18)
( C) Compra 194,565 Ton a EGS Brama Australis Seafood S.A.(Res. 1235-18)
( C) Compra 194,565 Ton a EGS Brama Australis Seafood S.A.(Res. 1236-18)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194,565 Ton a Alimentos Alsan Ltda.(Res. 1980-18)
( C) Compra 194,565 Ton a Alimentos Alsan Ltda.(Res. 1981-18)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 389,13 Ton a Foodcorp SA V-IX (Cert. N° 32-2018)
(T)  Traspaso de  1089,564 Ton a Foodcorp SA V-IX (Cert. N° 33-2018)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233,478 Ton LTP B sobre Jurel XV-II  (Res. 1598-18)
(O) Otorga 233,478 Ton LTP B sobre Jurel XV-II  (Res. 1600-18)
</t>
        </r>
        <r>
          <rPr>
            <sz val="10"/>
            <color indexed="12"/>
            <rFont val="Tahoma"/>
            <family val="2"/>
          </rPr>
          <t>( C) Compra de 233,478 Ton a  Aridos Coronel Ltda. XV-II (Res. 2384-18)
( C) Compra de 233,478 Ton a  Aridos Coronel Ltda. XV-II (Res. 2385-18)
( C) Compra de 311,304 Ton a  Aridos Coronel Ltda. XV-II (Res. 2386-18)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( T) Traspaso 466,956 Ton a Comercial y Conser. San Lazaro Ltda. V-IX (Cert. N° 51-2018).</t>
        </r>
        <r>
          <rPr>
            <sz val="10"/>
            <color indexed="81"/>
            <rFont val="Tahoma"/>
            <family val="2"/>
          </rPr>
          <t xml:space="preserve">
(T) Certificado 54-2018 deja sin efecto certificado 51-2018
</t>
        </r>
        <r>
          <rPr>
            <sz val="10"/>
            <color indexed="12"/>
            <rFont val="Tahoma"/>
            <family val="2"/>
          </rPr>
          <t>( V) Venta 233,478 Ton a Blumar S.A. XV-II (Res. 3053-18)
( V) Venta 233,478 Ton a Blumar S.A. XV-II (Res. 3054-18)
( V) Venta 311,304 Ton a Blumar S.A. XV-II (Res. 3055-18)
( V) Venta 233,478 Ton a Blumar S.A. XV-II (Res. 3363-18)
( V) Venta 233,478 Ton a Blumar S.A. XV-II (Res. 3364-18)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C) Compra de 233,478 Ton a   Comer. Y Conser. San Lazaro Ltda. XV-II (Res. 3053-18)
( C) Compra de 233,478 Ton a   Comer. Y Conser. San Lazaro Ltda. XV-II (Res. 3054-18)
( C) Compra de 311,304 Ton a   Comer. Y Conser. San Lazaro Ltda. XV-II (Res. 3055-18)
( C) Compra de 233,478 Ton a   Comer. Y Conser. San Lazaro Ltda. XV-II (Res. 3364-18)
( C) Compra de 233,478 Ton a   Comer. Y Conser. San Lazaro Ltda. XV-II (Res. 3363-18)
</t>
        </r>
        <r>
          <rPr>
            <sz val="10"/>
            <color indexed="81"/>
            <rFont val="Tahoma"/>
            <family val="2"/>
          </rPr>
          <t>( T) Traspaso 1245,216 Ton a Blumar S.A. V-IX (Cert. N° 56-2018).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C) Compra de 3000 Ton a   Corpesca S.A. XV-II (Res. 3998-18)
(T) Traspaso de  3000 Ton a Lota Protein S.A. V-IX (Cert. N° 60-2018).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233,478 Ton LTP B sobre Jurel XV-II  (Res. 1599-18)
(O) Otorga 233,478 Ton LTP B sobre Jurel XV-II  (Res. 1601-18)
(O) Otorga 311,304 Ton LTP B sobre Jurel XV-II  (Res. 1602-18)
</t>
        </r>
        <r>
          <rPr>
            <sz val="10"/>
            <color indexed="12"/>
            <rFont val="Tahoma"/>
            <family val="2"/>
          </rPr>
          <t>( V) Venta 233,478 Ton a Orizon S.A. Comercial y Conservera San Lazaro Ltda. XV-II (Res. 2384-18)
( V) Venta 233,478 Ton a Orizon S.A. Comercial y Conservera San Lazaro Ltda. XV-II (Res. 2385-18)
( V) Venta 311,304 Ton a Orizon S.A. Comercial y Conservera San Lazaro Ltda. XV-II (Res. 2386-18)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917 Ton a Alimentos Marinos  V-IX (Cert. N° 25-2018).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(C)  Cede 2000 ton a Armadores Artesanales III (Res.Ex. 2356-2018).
(M) </t>
        </r>
        <r>
          <rPr>
            <sz val="10"/>
            <color indexed="8"/>
            <rFont val="Tahoma"/>
            <family val="2"/>
          </rPr>
          <t xml:space="preserve"> Deja sin efecto Res. Ex. 2356-18 (Res. Ex. 3851-18)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350 Ton a Blumar S.A. V-IX (Cert. N° 47-2018).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C) Compra de 131,388 Ton a   Comer. Y Conser. San Lazaro Ltda. XV-II (Res. 3056-18)
( C) Compra de 131,388 Ton a   Comer. Y Conser. San Lazaro Ltda. XV-II (Res. 3057-18)
( C) Compra de 131,388 Ton a   Comer. Y Conser. San Lazaro Ltda. III-IV (Res. 3365-18)
( C) Compra de 131,388 Ton a   Comer. Y Conser. San Lazaro Ltda. III-IV (Res. 3366-18)
</t>
        </r>
        <r>
          <rPr>
            <sz val="10"/>
            <color indexed="8"/>
            <rFont val="Tahoma"/>
            <family val="2"/>
          </rPr>
          <t>( T) Traspaso 525,552 Ton a Blumar S.A. V-IX (Cert. N° 57-2018).
( T) Traspaso 2000 Ton a Blumar S.A. V-IX (Cert. N° 62-2018).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163,238 Ton a Camanchaca Pesca Sur S.A. V-IX (Cert. N° 26-2018).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49,271 Ton a EGS Brama Australis Seafood S.A. III-IV (Res. 1237-18)
( C) Compra 49,271 Ton a EGS Brama Australis Seafood S.A. III-IV (Res. 1258-18)
( C) Compra 65,694 Ton a EGS Brama Australis Seafood S.A. III-IV (Res. 1259-18)
( C) Compra 65,694 Ton a EGS Brama Australis Seafood S.A. III-IV (Res. 1260-18)
( C) Compra 65,694 Ton a EGS Brama Australis Seafood S.A. III-IV (Res. 1261-18)
( C) Compra 65,694 Ton a EGS Brama Australis Seafood S.A. III-IV (Res. 1262-18)
( C) Compra 98,541  Ton a EGS Brama Australis Seafood S.A.III-IV (Res. 1263-18)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459,858 Ton a Foodcorp SA V-IX (Cert. N° 34-2018).
( T) Traspaso 63 Ton a Foodcorp SA V-IX (Cert. N° 64-2018).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65,705 Ton a Armadores Artesanales III (Res.Ex. 836-2018).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344,894 Ton a Litoral SpA Pesquera. V-IX (Cert. N° 41-2018).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49,271 Ton a  Paola Poblete Novoa III-IV (Res. 2281-18)
( C) Compra de 65,694 Ton a  Paola Poblete Novoa III-IV (Res. 2282-18)
( C) Compra de 98,541 Ton a  Paola Poblete Novoa III-IV (Res. 2283-18)
( C) Compra de 131,388 Ton a Paola Poblete Novoa III-IV (Res. 2284-18)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68,005 Ton a  Landes S.A. V-IX (Cert. N° 45-2018).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3,708 Ton a Lota Protein S.A. V-IX (Cert. 50-2018)
(T) Traspaso de 3000 Ton desde  Lota Protein S.A. XV-II (Cert. 60-2018)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4000 Ton a Orizon V-IX  (Cert. N° 27-2018).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65,694 Ton a  Pesquera Genova Ltda. III-IV (Res. 2057-18)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49,271 Ton a  Pesquera B y B Ltda. III-IV (Res. 2124-18)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600,090 Ton a Camanchaca Pesca Sur V-IX  (Cert. N° 43-2018).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49,271 Ton a Orizon S.A. III-IV (Res. 2124-18)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49,271 Ton a Food Corp Chile S.A. III-IV (Res. 1237-18)
( V) Venta 49,271 Ton a Food Corp Chile S.A. III-IV (Res. 1258-18)
( V) Venta 65,694 Ton a Food Corp Chile S.A. III-IV (Res. 1259-18)
( V) Venta 65,694 Ton a Food Corp Chile S.A. III-IV (Res. 1260-18)
( V) Venta 65,694 Ton a Food Corp Chile S.A. III-IV (Res. 1261-18)
( V) Venta 65,694 Ton a Food Corp Chile S.A. III-IV (Res. 1262-18)
( V) Venta 98,541 Ton a Food Corp Chile S.A. III-IV (Res. 1263-18)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49,271 Ton a  Pesquera Litoral SPA. III-IV (Res.2281-18)
( V) Venta 65,694 Ton a  Pesquera Litoral SPA. III-IV (Res.2282-18)
( V) Venta 98,541 Ton a  Pesquera Litoral SPA. III-IV (Res.2283-18)
( V) Venta 131,388 Ton a Pesquera Litoral SPA. III-IV (Res.2284-18)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65 ton a Armadores Artesanales VIII (Res.Ex. 2262-2018).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65,694 Ton a Orizon S.A. III-IV (Res. 2057-18)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10"/>
            <color indexed="12"/>
            <rFont val="Tahoma"/>
            <family val="2"/>
          </rPr>
          <t>( C) Compra de 131,388 Ton a Aridos Coronel Ltda. III-IV (Res. 2387-18)</t>
        </r>
        <r>
          <rPr>
            <sz val="10"/>
            <color indexed="81"/>
            <rFont val="Tahoma"/>
            <family val="2"/>
          </rPr>
          <t xml:space="preserve">
( T) Traspaso 262,776 Ton a Comercial y Conser. San Lazaro Ltda. V-IX (Cert. N° 51-2018).
(T) Certificado 54-2018 deja sin efecto certificado 51-2018
</t>
        </r>
        <r>
          <rPr>
            <sz val="10"/>
            <color indexed="12"/>
            <rFont val="Tahoma"/>
            <family val="2"/>
          </rPr>
          <t>( V) Venta 131,388 Ton a Blumar S.A. XV-II (Res. 3056-18)
( V) Venta 131,388 Ton a Blumar S.A. XV-II (Res. 3057-18)
( V) Venta 131,388 Ton a Blumar S.A. III-IV (Res. 3365-18)
( V) Venta 131,388 Ton a Blumar S.A. III-IV (Res. 3366-18)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131,388 Ton a Comercial y Conservera San Lazaro Ltda. III-IV (Res. 2387-18)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Falta Incorporar los Coef. Res 4348-4351-4430 Cuota de 20674,533 a 2554,728 Ton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Recibe 2900 ton desde Armadores Artesanales del Puerto de San Antonio Asociacion Gremial R.A.G 2510 V (Res. N° 1205-18).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(CV) Recibe 704,64 ton desde David Allende Escobar V-IX (Res N° 1584-18)
(CV) Recibe 704,64 ton desde David Allende Escobar V-IX (Res N° 1582-18)
(CV) Recibe 704,64 ton desde David Allende Escobar V-IX (Res N° 1583-18)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1627,061 Ton a Pesquera Curaco V-IX (Res 4348-17)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2755,729 Ton a Pesquera  Mar Profundo S.A. V-IX (Res 4351-17)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589,432 Ton a Pesquera  San Antonio S.A. V-IX (Res 4430-17)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917 Ton desde Alimentos Marinos III-IV (Cert. N° 25-2018).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Falta Incorporar los Coef. Res 4348-4351-4430 Cuota de 421,966 a 52,142 Ton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1000 ton a Armadores Artesanales III (Res.Ex. 2356-2018).
(M)  Deja sin efecto Res. Ex. 2356-18 (Res. Ex. 3851-18)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1800 Ton desde Blumar S.A. XIV-X (Cert. N° 40-2018).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desde  Fidel Benavides Vallejos V-IX (Res. 2441-18)
( C) Compra 704,640 Ton desde  Fidel Benavides Vallejos V-IX (Res. 2440-18)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350 Ton desde Blumar S.A. III-IV (Cert. N° 47-2018).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(C)  Cede 3000 ton a Armadores Artesanales III (Res.Ex. 2968-2018).
Res. 3163-18 Deja sin efecto Res.2968-18 por 3000 ton
</t>
        </r>
        <r>
          <rPr>
            <sz val="10"/>
            <color indexed="8"/>
            <rFont val="Tahoma"/>
            <family val="2"/>
          </rPr>
          <t>(T) Traspaso 1245,216 Ton desde Blumar S.A. XV-II (Cert. N° 56-2018).
(T) Traspaso 525,552 Ton desde Blumar S.A. III-IV (Cert. N° 57-2018).
(T) Traspaso 2000 Ton desde Blumar S.A. III-IV (Cert. N° 62-2018).
(C)  Cede 2000 ton a Armadores Artesanales III (Res.Ex. 4287-2018).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2412,606 Ton desde Camanchaca Pesca Sur  XV-II (Cert. N° 23-18).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a  Servicios Maritimos Pesqueros CMP EIRL V-IX (Res. 1581-18)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Traspaso de 2499,117 Ton a Camanchaca Pesca Sur XIV-X (Cert. N° 17-2018).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877,89 Ton desde Camanchaca Pesca Sur III-IV, V-IX, XIV-X (Cert. N° 26-18).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Traspaso de 3500,097 Ton desde Camanchaca S.A. CIA. Pesq.  XV-II (Cert. N° 36-2018).
( T)  Traspaso de 2000,130 Ton desde Camanchaca S.A. CIA Pesq.  XV-II (Cert. N° 48-2018).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600,090 Ton desde Camanchaca Pesca Sur  III-IV (Cert. N° 43-18).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1000,2916  Ton desde Camanchaca Pesca Sur XIV-X (Cert. N° 44-18).
( T) Traspaso de 1200,077 Ton desde Camanchaca Pesca Sur  XV-II (Cert. N° 69-18). 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 T) Traspaso 555,891 Ton a Camanchaca Pesca Sur S.A. V-IX (Cert. N° 26-2018).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435,233 Ton a Armadores Artesanales III (Res.Ex. 836-2018)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692,896 Ton a Paola Poblete Novoa V-IX (Res. 2279-18)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344,894 Ton desde Litoral SpA Pesquera. III-IV (Cert. N° 41-2018).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588,762Ton desde Pesquera Litoral SpA. XIV-X (Cert. N° 42-2018).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10"/>
            <color indexed="12"/>
            <rFont val="Tahoma"/>
            <family val="2"/>
          </rPr>
          <t>( C) Compra 427,482 Ton a EGC Brama Australis (Res. 1526-18)
( C) Compra 352,320 Ton a EGC Brama Australis (Res. 1525-18)
( C) Compra 352,320 Ton a EGC Brama Australis (Res. 1524-18)
( C) Compra 352,320 Ton a EGC Brama Australis (Res. 1523-18)
( C) Compra 277,158 Ton a EGC Brama Australis (Res. 1937-18)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a Inv. Pesq. Pedro Irigoyen Ltda. (Res. 1415-18)
( C) Compra 704,640 Ton a Inv. Pesq. Pedro Irigoyen Ltda. (Res. 1416-18)
( C) Compra 704,640 Ton a Inv. Pesq. Pedro Irigoyen Ltda. (Res. 1417-18)
( C) Compra 704,640 Ton a Inv. Pesq. Pedro Irigoyen Ltda. (Res. 1418-18)
( C) Compra 305,344 Ton a Inv. Pesq. Pedro Irigoyen Ltda. (Res. 1419-18)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 389,13 Ton desde Foodcorp SA XV-II (Cert. N° 32-2018)
(T)  Traspaso de  1089,564 Ton desde Foodcorp SA XV-II (Cert. N° 33-2018)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459,858 Ton desde Foodcorp SA III-IV (Cert. N° 34-2018).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 Ton desde Foodcorp SA XIV-X (Cert. N° 35-2018).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399,296 Ton a Inv. Pesq. Pedro Irigoyen Ltda. V-IX (Res. 2676-18)
( T) Traspaso 63 Ton desde Foodcorp SA III-IV (Cert. N° 64-2018).
( T) Traspaso 113 Ton desde Foodcorp SA XIV-X (Cert. N° 65-2018).</t>
        </r>
      </text>
    </comment>
    <comment ref="F91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311,304 Ton desde Landes XV-II (Cert. N° 11-2018).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Recibe 3031 Ton desde AGARMAR. RAG 156-10 X (Res. N° 927-2018).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de 1501,1 Ton a  Landes S.A. XIV-X (Cert. 19-2018)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352,320 Ton a Pesquera Lepe Limitada (Res 1805-18)
( C) Compra 352,320 Ton a Pesquera Lepe Limitada (Res 1806-18)
( C) Compra 704,640 Ton a Pesquera Lepe Limitada (Res 1808-18)
( C) Compra 352,320 Ton a Pesquera Lepe Limitada (Res 1807-18)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a Ramon Rojas Lopez Pesca Artesanal EIRL (Res 1938-18)
( C) Compra 704,640 Ton a Ramon Rojas Lopez Pesca Artesanal EIRL (Res 1939-18)
( C) Compra 704,640 Ton a Ramon Rojas Lopez Pesca Artesanal EIRL (Res 1940-18)
( C) Compra 704,640 Ton a Ramon Rojas Lopez Pesca Artesanal EIRL (Res 1941-18)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Modifica Cert. N°19  de 1501,1 a 298,321 Ton a  Landes S.A. XIV-X (Cert. 30-2018)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68,005 Ton desde Landes III-IV (Cert. N°45-2018).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1056,960 Ton a Comercial y Conservera San Lazaro Ltda. (Res 2846-18)
( C) Compra 1056,960 Ton a Comercial y Conservera San Lazaro Ltda. (Res 2849-18)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de 194,565 Ton desde Landes XV-II (Cert. N° 53-2018). 
( T) Traspaso de 700,037 Ton desde  Landes S.A. XIV-X (Cert. 59-2018)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91,739 Ton desde Lota Protein S.A. XIV-X (Cert. N° 49-2018).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3,708 Ton desde Lota Protein S.A. III-IV (Cert. N° 50-2018). 
( T) Traspaso de 3000 Ton desde Lota Protein S.A. XV-II (Cert. N° 60-2018). 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 V) Venta 2755,729 Ton a Alimentos Marinos S.A. V-IX (Res. 4351-17)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a Orizon XIV-X (Cert N° 22-2018).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5500 Ton desde Orizon XV-II  (Cert. N° 10-2018).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a Orizon XIV-X (Cert. N° 15-2018).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desde Orizon XV-II  (Cert N° 18-2018)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4000 Ton desde Orizon III-IV  (Cert.N° 27-2018)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895 Ton desde Orizon XV-II (Cert.N° 28-2018)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Recibe 2500 ton desde CERCOPESCA IV  (Res.N° 2511-18)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2650 Ton de Jurel desde XIV-X Orizon S.A. (Cert. 39-2018)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176,160 Ton a Orion Ltda. V-IX (Res. 2411-18)
(C) Compra 176,160 Ton a Orion Ltda. V-IX (Res. 2412-18)
(C) Compra 352,320 Ton a Orion Ltda. V-IX (Res. 2413-18)
(C) Compra 352,320 Ton a Orion Ltda. V-IX (Res. 2414-18)
(C) Compra 352,320 Ton a Orion Ltda. V-IX (Res. 2415-18)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176,160 Ton a Pesq. Genova Ltda. V-IX (Res. 2339-18)
(C) Compra 176,160 Ton a Pesq. Genova Ltda. V-IX (Res. 2340-18)
(C) Compra 176,160 Ton a Pesq. Genova Ltda. V-IX (Res. 2341-18)
(C) Compra 176,160 Ton a Pesq. Genova Ltda. V-IX (Res. 2342-18)
(C) Compra 176,160 Ton a Pesq. Genova Ltda. V-IX (Res. 2343-18)
(C) Compra 176,160 Ton a Pesq. Genova Ltda. V-IX (Res. 2344-18)
(C) Compra 176,160 Ton a Pesq. Genova Ltda. V-IX (Res. 2345-18)
(C) Compra 176,160 Ton a Pesq. Genova Ltda. V-IX (Res. 2346-18)
(C) Compra 176,160 Ton a Pesq. Genova Ltda. V-IX (Res. 2347-18)
(C) Compra 176,160 Ton a Pesq. Genova Ltda. V-IX (Res. 2348-18)
(C) Compra 176,160 Ton a Pesq. Genova Ltda. V-IX (Res. 2350-18)
(C) Compra 176,160 Ton a Pesq. Genova Ltda. V-IX (Res. 2351-18)
(C) Compra 176,160 Ton a Pesq. Genova Ltda. V-IX (Res. 2352-18)
(C) Compra 176,160 Ton a Pesq. Genova Ltda. V-IX (Res. 2353-18)
(C) Compra 352,320 Ton a Pesq. Genova Ltda. V-IX (Res. 2354-18)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48"/>
            <rFont val="Tahoma"/>
            <family val="2"/>
          </rPr>
          <t>(C) Compra 704,640 Ton a Pesq. B Y B Ltda. (Res. 2416-18)
(C) Compra 704,640 Ton a Pesq. B Y B Ltda. (Res. 2417-18)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176,160 Ton a Pesq. Genova Ltda. V-IX (Res. 2349-18)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589,432 Ton a Alimentos Marinos S.A. V-IX (Res. 4430-17)</t>
        </r>
      </text>
    </comment>
    <comment ref="F10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(CV) Cede 704,64 ton a Alimentos Marinos V-IX(Res 1584-18). 
(CV) Cede 704,64 ton a Alimentos Marinos V-IX(Res 1582-18). 
(CV) Cede 704,64 ton a Alimentos Marinos V-IX(Res 1583-18).</t>
        </r>
        <r>
          <rPr>
            <sz val="9"/>
            <color indexed="10"/>
            <rFont val="Tahoma"/>
            <family val="2"/>
          </rPr>
          <t xml:space="preserve"> 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427,482 Ton a Foodcorp Chile S.A. V-IX (Res. 1526-18)
( V) Venta 352,320 Ton a Foodcorp Chile S.A. V-IX (Res. 1525-18)
( V) Venta 352,320 Ton a Foodcorp Chile S.A. V-IX (Res. 1524-18)
( V) Venta 352,320 Ton a Foodcorp Chile S.A. V-IX (Res. 1523-18)
( V) Venta 277,158 Ton a Foodcorp Chile S.A. V-IX (Res. 1937-18)</t>
        </r>
      </text>
    </comment>
    <comment ref="F109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Venta 704,640 Ton a Blumar S.A. V-IX (Res. 2441-18)
(V) Venta 704,640 Ton a Blumar S.A. V-IX (Res. 2440-18</t>
        </r>
        <r>
          <rPr>
            <sz val="10"/>
            <color indexed="10"/>
            <rFont val="Tahoma"/>
            <family val="2"/>
          </rPr>
          <t>)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 Res. Ex. 1420-18 Modifica Res. 966-18  de 3452,73 a 3222,548 Ton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704,640 Ton a  Foodcorp Chile S.A. V-IX (Res. 1415-18)
( V) Venta 704,640 Ton a  Foodcorp Chile S.A. V-IX (Res. 1416-18)
( V) Venta 704,640 Ton a Foodcorp Chile S.A. V-IX (Res. 1417-18)
( V) Venta 704,640 Ton a  Foodcorp Chile S.A. V-IX (Res. 1418-18)
( V) Venta 305,344 Ton a Foodcorp Chile S.A. V-IX (Res. 1419-18)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399,296 Ton a Foodcorp Chile S.A. V-IX (Res. 2676-18)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 Res. Ex. 1420-18 Modifica Res. 966-18  de 70,47 a 65,772 Ton</t>
        </r>
      </text>
    </comment>
    <comment ref="F113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Venta 176,160 Ton a Orizon S.A. V-IX (Res. 2411-18)
(V) Venta 176,160 Ton a Orizon S.A. V-IX (Res. 2412-18)
(V) Venta 352,320 Ton a Orizon S.A. V-IX (Res. 2413-18)
(V) Venta 352,320 Ton a Orizon S.A. V-IX (Res. 2414-18)
(V) Venta 352,320 Ton a Orizon S.A. V-IX (Res. 2415-18)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176,160 Ton a Armadores Artesanales VIII (Res. 3211-2018).
(C)  Cede 176,160 Ton a Armadores Artesanales VIII (Res. 4092-2018).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692,896 Ton a Pesquera Litoral Spa V-IX (Res. 2279-18)</t>
        </r>
      </text>
    </comment>
    <comment ref="F117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704,640 Ton a Orizon S.A (Res. 2416-18)
(V) Vende 704,640 Ton a Orizon S.A (Res. 2417-18)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176 ton a Armadores Artesanales VIII (Res.Ex. 2262-2018).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176,160 Ton a Orizon S.A V-IX (Res. 2339-18)
(V) Vende 176,160 Ton a Orizon S.A V-IX (Res. 2340-18)
(V) Vende 176,160 Ton a Orizon S.A V-IX(Res. 2341-18)
(V) Vende 176,160 Ton a Orizon S.A V-IX(Res. 2342-18)
(V) Vende 176,160 Ton a Orizon S.A V-IX(Res. 2343-18)
(V) Vende 176,160 Ton a Orizon S.A V-IX(Res. 2344-18)
(V) Vende 176,160 Ton a Orizon S.A V-IX(Res. 2345-18)
(V) Vende 176,160 Ton a Orizon S.A V-IX(Res. 2346-18)
(V) Vende 176,160 Ton a Orizon S.A V-IX(Res. 2347-18)
(V) Vende 176,160 Ton a Orizon S.A V-IX(Res. 2348-18)
(V) Vende 176,160 Ton a Orizon S.A V-IX(Res. 2349-18)
(V) Vende 176,160 Ton a Orizon S.A V-IX (Res. 2350-18)
(V) Vende 176,160 Ton a Orizon S.A V-IX(Res. 2351-18)
(V) Vende 176,160 Ton a Orizon S.A V-IX(Res. 2352-18)
(V) Vende 176,160 Ton a Orizon S.A V-IX(Res. 2353-18)
(V) Vende 352,320 Ton a Orizon S.A V-IX(Res. 2354-18)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352,320 Ton a Landes S.A.Soc. Pesq. (Res. 1805-18)
(V) Vende 352,320 Ton a Landes S.A.Soc. Pesq. (Res. 1806-18)
(V) Vende 704,640 Ton a Landes S.A.Soc. Pesq. (Res. 1808-18)
(V) Vende 352,320 Ton a Landes S.A.Soc. Pesq. (Res. 1807-18)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704,640 Ton a Landes S.A.Soc. Pesq. (Res. 1938-18)
(V) Vende 704,640 Ton a Landes S.A.Soc. Pesq. (Res. 1939-18)
(V) Vende 704,640 Ton a Landes S.A.Soc. Pesq. (Res. 1940-18)
(V) Vende 704,640 Ton a Landes S.A.Soc. Pesq. (Res. 1941-18)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704,640 Ton a Camanchaca Pesca Sur S.A. V-IX  (Res. 1581-18)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1627,061 Ton a Alimentos Marinos S.A. V-IX (Res. 4348-17)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(T) Traspaso de 729,732  Ton de Jurel XV-II_III-IV de Com.y Conser. San Lazaro Ltda. (Cert. 51-2018)
(T) Certificado 54-2018 deja sin efecto certificado 51-2018
</t>
        </r>
        <r>
          <rPr>
            <sz val="10"/>
            <color indexed="12"/>
            <rFont val="Tahoma"/>
            <family val="2"/>
          </rPr>
          <t>(C) Compra 1056,960 Ton a  Aridos Coronel Ltda. V-IX (Res. 2388-18)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1056,960 Ton a Pesquera Landes S.A. V-IX (Res. 2846-18)
( V) Venta 1056,960 Ton a Pesquera Landes S.A. V-IX (Res. 2849-18)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1056,960 Ton a Comercial y Conservera San Lazaro Ltda. V-IX (Res. 2388-18)</t>
        </r>
      </text>
    </comment>
    <comment ref="F133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Recibe 1628,627 ton desde ASOGPESCA ANCUD X Región (Res N° 773-18).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Recibe 459,38 ton desde STI PECERCAL RSU 10.01.0948  X Región (Res N° 1030-18).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61,525 Ton a  San Antonio S.A. Pesq. XIV-X  (Res. 4431-187_ Fusión)</t>
        </r>
      </text>
    </comment>
    <comment ref="F137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Recibe 550 Ton desde AG Pesca Austral  X Región (Res N° 695-18).
(C ) Recibe 200 Ton desde AG Asogfer X Región (Res N° 695-18).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196,254 Ton a Servicios Maritimos Pesqueros CMP EIRL XIV-X  (Res. 1296-18)
( C) Compra 196,254 Ton a Servicios Maritimos Pesqueros CMP EIRL XIV-X  (Res. 1297-18)
( C) Compra 196,254 Ton a Servicios Maritimos Pesqueros CMP EIRL XIV-X  (Res. 1298-18)
( C) Compra 196,254 Ton a Servicios Maritimos Pesqueros CMP EIRL XIV-X  (Res. 1299-18)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(T) Recibe 2499,117 Ton desde Camanchaca Pesca Sur V-IX (Cert. N° 17-18).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1000,29  Ton a Camanchaca Pesca Sur S.A. V-IX (Cert. N° 44-2018).</t>
        </r>
      </text>
    </comment>
    <comment ref="F141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1800 Ton a Blumar S.A. V-IX (Cert. N° 40-2018)</t>
        </r>
        <r>
          <rPr>
            <sz val="10"/>
            <color indexed="81"/>
            <rFont val="Tahoma"/>
            <family val="2"/>
          </rPr>
          <t>.</t>
        </r>
      </text>
    </comment>
    <comment ref="F145" authorId="0" shapeId="0">
      <text>
        <r>
          <rPr>
            <b/>
            <sz val="10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158,759 Ton a Camanchaca Pesca Sur S.A. V-IX (Cert. N° 26-2018).</t>
        </r>
      </text>
    </comment>
    <comment ref="F147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196,254 Ton a Paola Poblete Novoa XIV-X (Res. 2277-18)
(C) Compra 196,254 Ton a Paola Poblete Novoa XIV-X (Res. 2278-18)
(C) Compra 196,254 Ton a Paola Poblete Novoa XIV-X (Res. 2276-18)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 Ton a Pesquera Litoral SpA. V-IX (Cert. N° 42-2018).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196,254 Ton a EGS Brama Australis Seafood S.A. XIV-X (Res. 1238-18)
( C) Compra 196,254 Ton a EGS Brama Australis Seafood S.A. XIV-X (Res. 1239-18)
( C) Compra 196,254 Ton a EGS Brama Australis Seafood S.A. XIV-X (Res. 1240-18)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 Ton a Foodcorp S.A. V-IX (Cert. N° 35-2018).
( T) Traspaso 113 Ton a Foodcorp S.A. V-IX (Cert. N° 65-2018).</t>
        </r>
      </text>
    </comment>
    <comment ref="F151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196,254 Ton a Pesquera Litoral Spa (Res. 2277-18)
(V) Vende 196,254 Ton a Pesquera Litoral Spa (Res. 2278-18)
(V) Vende 196,254 Ton a Pesquera Litoral Spa (Res. 2276-18)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1501,1 ton desde Landes S.A. Soc. Pesq. V-IX (Cert. 19-2018)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Modifica Cert. N°19  de 1501,1 a 298,321 Ton desde  Landes S.A. V-IX (Cert. 30-2018)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245,318 Ton a Comercial y Conservera San Lazaro Ltda. XIV-X (Res. 2847-18)
( C) Compra de 294,381 Ton a Comercial y Conservera San Lazaro Ltda. XIV-X (Res. 2848-18)
( C) Compra de 294,381 Ton a Comercial y Conservera San Lazaro Ltda. XIV-X (Res. 2850-18)
(T) Traspaso de 700,037 ton a Landes S.A. Soc. Pesq. V-IX (Cert. 59-2018)</t>
        </r>
        <r>
          <rPr>
            <sz val="10"/>
            <color indexed="81"/>
            <rFont val="Tahoma"/>
            <family val="2"/>
          </rPr>
          <t xml:space="preserve">
(C)  Cede 45 Ton a Armadores Artesanales X (Res. 4547-18).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91,739 Ton a Lota Protein S.A. V-IX (Cert. 49-2018)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1245 Ton de Jurel XV-II de Orizon S.A. (Cert. 21-2018)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de Jurel V-IX de Orizon S.A. (Cert. 22-2018)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de Jurel V-IX de Orizon S.A. (Cert. 15-2018)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49,064 Ton a  Pesquera Genova Ltda. XIV-X (Res. 2058-18)
( C) Compra de 98,127 Ton a  Pesquera Genova Ltda. XIV-X (Res. 2059-18)
( C) Compra de 98,127 Ton a  Pesquera Genova Ltda. XIV-X (Res. 2060-18)
( C) Compra de 98,127 Ton a  Pesquera Genova Ltda. XIV-X (Res. 2061-18)
( C) Compra de 98,127 Ton a  Pesquera Genova Ltda. XIV-X (Res. 2062-18)
( C) Compra de 98,127 Ton a  Pesquera Genova Ltda. XIV-X (Res. 2063-18)
( C) Compra de 49,064 Ton a  Pesquera Genova Ltda. XIV-X (Res. 2113-18)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98,127 Ton a  Soc. Pesq. Orion Ltda. XIV-X (Res. 2121-18)
( C) Compra de 98,127 Ton a  Soc. Pesq. Orion Ltda. XIV-X (Res. 2122-18)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49,064 Ton a  Pesquera B y B Ltda. XIV-X (Res. 2125-18)
( C) Compra de 49,064 Ton a  Pesquera B y B Ltda. XIV-X (Res. 2126-18)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2650 Ton de Jurel a V-IX Orizon S.A. (Cert. 39-2018)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 V) Venta 61,525 Ton a Alimentos Marinos  S.A. XIV-X (Res. 4431-17_ Fusion)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10"/>
            <color indexed="12"/>
            <rFont val="Tahoma"/>
            <family val="2"/>
          </rPr>
          <t>( V) Venta 49,064 Ton a Orizon S.A. XIV-X (Res. 2125-18)</t>
        </r>
        <r>
          <rPr>
            <sz val="9"/>
            <color indexed="12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49,064 Ton a Orizon S.A. XIV-X (Res. 2126-18)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49,064 Ton a Orizon S.A. XIV-X (Res. 2058-18)
( V) Venta 98,127 Ton a Orizon S.A. XIV-X (Res. 2059-18)
( V) Venta 98,127 Ton a Orizon S.A. XIV-X (Res. 2060-18)
( V) Venta 98,127 Ton a Orizon S.A. XIV-X (Res. 2061-18)
( V) Venta 98,127 Ton a Orizon S.A. XIV-X (Res. 2062-18)
( V) Venta 98,127 Ton a Orizon S.A. XIV-X (Res. 2063-18)
( V) Venta 49,064 Ton a Orizon S.A. XIV-X (Res. 2113-18)</t>
        </r>
      </text>
    </comment>
    <comment ref="F1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98,127 Ton a Orizon S.A. XIV-X (Res. 2121-18)
( V) Venta 98,127 Ton a Orizon S.A. XIV-X (Res. 2122-18)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98,100 Ton a Armadores Artesanales VIII (Res. 3211-18).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196,254 Ton a Camanchaca Pesca Sur S.A. XIV-X (Res. 1296-18)
( V) Venta 196,254 Ton a Camanchaca Pesca Sur S.A. XIV-X (Res. 1297-18)
( V) Venta 196,254 Ton a Camanchaca Pesca Sur S.A. XIV-X (Res. 1298-18)
( V) Venta 196,254 Ton a Camanchaca Pesca Sur S.A. XIV-X (Res. 1299-18)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(O) Otorga 294,381 Ton LTP B sobre Jurel XIV-X  (Res. 1612-18)
(O) Otorga 245,318 Ton LTP B sobre Jurel XIV-X  (Res. 1610-18)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294,381 Ton a Aridos Coronel Ltda XIV-X (Res. 2389-18)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245,318 Ton a Soc. Pesq. Landes  XIV-X (Res. 2847-18)
( V) Venta 294,381 Ton a Soc. Pesq. Landes  XIV-X (Res. 2848-18)
( V) Venta 294,381 Ton a Soc. Pesq. Landes  XIV-X (Res. 2850-18)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(O) Otorga 294,381 Ton LTP B sobre Jurel XIV-X  (Res. 1611-18)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294,381 Ton a Comercial y Conservera San Lazaro Ltda. XIV-X (Res. 2389-18)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196,254 Ton a Food Corp Chile S.A. XIV-X (Res. 1238-18)
( V) Venta 196,254 Ton a Food Corp Chile S.A. XIV-X (Res. 1239-18)
( V) Venta 196,254 Ton a Food Corp Chile S.A. XIV-X (Res. 1240-18)</t>
        </r>
      </text>
    </comment>
  </commentList>
</comments>
</file>

<file path=xl/comments4.xml><?xml version="1.0" encoding="utf-8"?>
<comments xmlns="http://schemas.openxmlformats.org/spreadsheetml/2006/main">
  <authors>
    <author>CEA TELLO, MARIO ANDRES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(M)  Deja sin efecto Res. Ex. 2356-18 (Res. Ex. 3851-18)</t>
        </r>
      </text>
    </comment>
  </commentList>
</comments>
</file>

<file path=xl/sharedStrings.xml><?xml version="1.0" encoding="utf-8"?>
<sst xmlns="http://schemas.openxmlformats.org/spreadsheetml/2006/main" count="3869" uniqueCount="370">
  <si>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</si>
  <si>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</si>
  <si>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</si>
  <si>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</si>
  <si>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</si>
  <si>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</si>
  <si>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</si>
  <si>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</si>
  <si>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</si>
  <si>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</si>
  <si>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</si>
  <si>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</si>
  <si>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</si>
  <si>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 xml:space="preserve">EGC BRAMA AUSTRALIS SEAFOODS S.A. </t>
  </si>
  <si>
    <t>SERVICIOS MARITIMOS PESQUEROS E.I.R.L.</t>
  </si>
  <si>
    <t>PESQUERA GENOVA LTDA.</t>
  </si>
  <si>
    <t>PESQUERA B Y B</t>
  </si>
  <si>
    <t>ALIMENTOS ALSAN LTDA</t>
  </si>
  <si>
    <t xml:space="preserve">FROZEN SEA S.A. 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</si>
  <si>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</si>
  <si>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</si>
  <si>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</si>
  <si>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</si>
  <si>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</si>
  <si>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</si>
  <si>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</si>
  <si>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</si>
  <si>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</si>
  <si>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PESQUERA B Y B </t>
  </si>
  <si>
    <t>EGC BRAMA AUSTRALIS SEAFOODS S.A.</t>
  </si>
  <si>
    <t>PAOLA POBLETE</t>
  </si>
  <si>
    <t xml:space="preserve">ALIMENTOS MARINOS S.A.    </t>
  </si>
  <si>
    <t>PESCA FINA</t>
  </si>
  <si>
    <t xml:space="preserve">LITORAL SpA PESQ   </t>
  </si>
  <si>
    <t>ISLA QUIHUA S.A. PESQ.</t>
  </si>
  <si>
    <t>MAR PROFUNDO S.A. SOC. PESQ.</t>
  </si>
  <si>
    <t>SAN ANTONIO S.A. PESQ.</t>
  </si>
  <si>
    <t>SUR AUSTRAL S.A. PESQ.</t>
  </si>
  <si>
    <t>Jurel III-IV</t>
  </si>
  <si>
    <t>PAOLA POBLETE NOVA</t>
  </si>
  <si>
    <t>ORION LTDA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</si>
  <si>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</si>
  <si>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</si>
  <si>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</si>
  <si>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</si>
  <si>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</si>
  <si>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</si>
  <si>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</si>
  <si>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</si>
  <si>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</si>
  <si>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</si>
  <si>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>Regional</t>
  </si>
  <si>
    <t>Cesiones Cuotas Individuales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</si>
  <si>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</si>
  <si>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</si>
  <si>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</si>
  <si>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</si>
  <si>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MUELLE SUD AMERICANA. RSU 05.01.0462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</si>
  <si>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</si>
  <si>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</si>
  <si>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</si>
  <si>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</si>
  <si>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</si>
  <si>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</si>
  <si>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</si>
  <si>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</si>
  <si>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</si>
  <si>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AQUEPESCA. AG 270-10</t>
  </si>
  <si>
    <t>STI ESTRELLA SUR DE CALBUCO. RSU 10.01.0571</t>
  </si>
  <si>
    <t xml:space="preserve">STI PECERCAL RSU 10.01.0948 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</si>
  <si>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</si>
  <si>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</si>
  <si>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</si>
  <si>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</si>
  <si>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</si>
  <si>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</si>
  <si>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</si>
  <si>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</si>
  <si>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</si>
  <si>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</si>
  <si>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</si>
  <si>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</si>
  <si>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</si>
  <si>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</si>
  <si>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</si>
  <si>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</si>
  <si>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</si>
  <si>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</si>
  <si>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</si>
  <si>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</si>
  <si>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</si>
  <si>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</si>
  <si>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</si>
  <si>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</si>
  <si>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</si>
  <si>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</si>
  <si>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</si>
  <si>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</si>
  <si>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</si>
  <si>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</si>
  <si>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</si>
  <si>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</si>
  <si>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</si>
  <si>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</si>
  <si>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</si>
  <si>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</si>
  <si>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DAVID ALLENDE ESCOBAR</t>
  </si>
  <si>
    <t>EGC BRAMA AUTRALIS SEAFOODS S.A.</t>
  </si>
  <si>
    <t>FIDEL BENAVIDES VALLEJO</t>
  </si>
  <si>
    <t>IRIPESCA LTDA.</t>
  </si>
  <si>
    <t>ORION LTDA.</t>
  </si>
  <si>
    <t>PAOLA POBLETE NOVOA</t>
  </si>
  <si>
    <t>PESQ. B Y B</t>
  </si>
  <si>
    <t>PESQ. GENOVA LTDA.</t>
  </si>
  <si>
    <t>PESQ. LEPE LTDA.</t>
  </si>
  <si>
    <t>RAMON LOPEZ PESCA ARTESANAL I.R.L.</t>
  </si>
  <si>
    <t>SERVICIOS MARITIMOS PESQUEROS CMP E.I.R.L.</t>
  </si>
  <si>
    <t xml:space="preserve"> Pesquería</t>
  </si>
  <si>
    <t xml:space="preserve"> R. Ex N°/Fecha</t>
  </si>
  <si>
    <t xml:space="preserve">Cuota Tranferida (ORP-PS) </t>
  </si>
  <si>
    <t>Embarcaciones Autorizadas</t>
  </si>
  <si>
    <t>Saldo total (t)</t>
  </si>
  <si>
    <t>Jurel</t>
  </si>
  <si>
    <t>DON TITO</t>
  </si>
  <si>
    <t>DON BORIS</t>
  </si>
  <si>
    <t>CORAL I</t>
  </si>
  <si>
    <t xml:space="preserve"> CONTROL CUOTAS ORP-PS 2018</t>
  </si>
  <si>
    <t>843-2018</t>
  </si>
  <si>
    <t xml:space="preserve">LANDES S.A. SOC. PESQ.     </t>
  </si>
  <si>
    <t xml:space="preserve">Titular de Cuota 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</si>
  <si>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</si>
  <si>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</si>
  <si>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</si>
  <si>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</si>
  <si>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</si>
  <si>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</si>
  <si>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</si>
  <si>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</si>
  <si>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</si>
  <si>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</si>
  <si>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</si>
  <si>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</si>
  <si>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</si>
  <si>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</si>
  <si>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</si>
  <si>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</si>
  <si>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Desembarque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</si>
  <si>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</si>
  <si>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</si>
  <si>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</si>
  <si>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</si>
  <si>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</si>
  <si>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</si>
  <si>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</si>
  <si>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</si>
  <si>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</si>
  <si>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</si>
  <si>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</si>
  <si>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</si>
  <si>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ARTESANALES XV-I</t>
  </si>
  <si>
    <t>REGION</t>
  </si>
  <si>
    <t>ARTESANAL II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</si>
  <si>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</si>
  <si>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</si>
  <si>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</si>
  <si>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</si>
  <si>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PESQ GENOVA LTDA</t>
  </si>
  <si>
    <t>JUREL V-IX</t>
  </si>
  <si>
    <t>PESCA FINA SPA</t>
  </si>
  <si>
    <t xml:space="preserve">CURACO S.A. PESQ </t>
  </si>
  <si>
    <t>JUREL XIV-X</t>
  </si>
  <si>
    <t>882-2018</t>
  </si>
  <si>
    <t>BLUMAR S.A.</t>
  </si>
  <si>
    <t>DON ALFONSO</t>
  </si>
  <si>
    <t>DON EDMUNDO</t>
  </si>
  <si>
    <t>COBRA</t>
  </si>
  <si>
    <t>RAPANUI</t>
  </si>
  <si>
    <t>YELCHO</t>
  </si>
  <si>
    <t>CONGELADOS  PACIFICO SPA</t>
  </si>
  <si>
    <t xml:space="preserve"> XV-I</t>
  </si>
  <si>
    <t>CESIONARIO</t>
  </si>
  <si>
    <t>MARZO</t>
  </si>
  <si>
    <t>ARTESANAL III</t>
  </si>
  <si>
    <t xml:space="preserve">IV  </t>
  </si>
  <si>
    <t xml:space="preserve">III </t>
  </si>
  <si>
    <t>COOPERATIVA DE ARMADORES CERQUEROS IV REGION CERCOPESCA ROL 4276</t>
  </si>
  <si>
    <t xml:space="preserve">V  </t>
  </si>
  <si>
    <t>STI PESCADORES MUELLE SUD AMERICANA RSU N° 5010462</t>
  </si>
  <si>
    <t>SINDICATO PESCADORES ARTESANALES INDEPENDIENTES CALETA EMBARCADERO DE QUINTERO RSU 05060125</t>
  </si>
  <si>
    <t xml:space="preserve"> VI </t>
  </si>
  <si>
    <t>ARTESANAL VI</t>
  </si>
  <si>
    <t>ARTESANAL VII</t>
  </si>
  <si>
    <t>VIII</t>
  </si>
  <si>
    <t>ARTESANAL VIII</t>
  </si>
  <si>
    <t>ARTESANAL IX</t>
  </si>
  <si>
    <t>ARTESANAL XIV</t>
  </si>
  <si>
    <t>ARMADORES ARTESANALES DE CALBUCO ARMAR AG RAG 320-10</t>
  </si>
  <si>
    <t>STI ARMADORES ARTESANALES DEMERSALES Y RAMOS AFINES ESTRELLA DEL SUR DE CALBUCO RSU 10010571</t>
  </si>
  <si>
    <t>STI DE PESCADORES ARTESANALES ARMADORES ARTESANALES Y RAMOS AFINES DE LA COMUNA DE CALBUCO PERCECAL RSU 10010948</t>
  </si>
  <si>
    <t>% consumido 2018</t>
  </si>
  <si>
    <t>BOLSON RESIDUAL</t>
  </si>
  <si>
    <t>STI PESCADORES ARTESANALES, RECOLECTORES DE ORILLA, BOLINCHEROS Y RAMOS SIMILARES PROVEEDORES MARITIMOS DE QUILLAIPE RSU 10.01.0835</t>
  </si>
  <si>
    <t>TOTAL LTP</t>
  </si>
  <si>
    <t>TOTAL ASIGNATARIOS LTP</t>
  </si>
  <si>
    <t>TOTAL ASIGNATARIOS REGION</t>
  </si>
  <si>
    <t>881-2018</t>
  </si>
  <si>
    <t>CAZADOR</t>
  </si>
  <si>
    <t>DON MANUEL</t>
  </si>
  <si>
    <t>931-2018</t>
  </si>
  <si>
    <t>-</t>
  </si>
  <si>
    <t>ORGANIZACION</t>
  </si>
  <si>
    <t>TOTAL REGION</t>
  </si>
  <si>
    <t>ARICA SEAFOOD PRODUCER SA</t>
  </si>
  <si>
    <t>CAMANCHACA SA CIA PESQ</t>
  </si>
  <si>
    <t>CORPESCA SA</t>
  </si>
  <si>
    <t>ORIZON SA</t>
  </si>
  <si>
    <t>EGC BRAMA AUSTRALIS SEAFOODS SA</t>
  </si>
  <si>
    <t>SERVICIOS MARITIMOS PESQUEROS CMP EIRL</t>
  </si>
  <si>
    <t>PESQUERA GENOVA LTDA</t>
  </si>
  <si>
    <t xml:space="preserve">FROZEN SEA SA </t>
  </si>
  <si>
    <t xml:space="preserve">LANDES SA SOC PESQ  </t>
  </si>
  <si>
    <t xml:space="preserve">ALIMENTOS MARINOS SA    </t>
  </si>
  <si>
    <t>BAHIA CALDERA SA PESQ</t>
  </si>
  <si>
    <t xml:space="preserve">BLUMAR SA             </t>
  </si>
  <si>
    <t xml:space="preserve">FOODCORP CHILE SA   </t>
  </si>
  <si>
    <t xml:space="preserve">ISLADAMAS SA PESQ        </t>
  </si>
  <si>
    <t xml:space="preserve">LOTA PROTEIN SA  </t>
  </si>
  <si>
    <t>CAMANCHACA PESCA SUR SA</t>
  </si>
  <si>
    <t>ISLA QUIHUA SA PESQ</t>
  </si>
  <si>
    <t>MAR PROFUNDO SA SOC PESQ</t>
  </si>
  <si>
    <t>SAN ANTONIO SA PESQ</t>
  </si>
  <si>
    <t>SUR AUSTRAL SA PESQ</t>
  </si>
  <si>
    <t>CONGELADOS PACIFICO SPA</t>
  </si>
  <si>
    <t>IRIPESCA LTDA</t>
  </si>
  <si>
    <t>PESQ LEPE LTDA</t>
  </si>
  <si>
    <t>RAMON LOPEZ PESCA ARTESANAL IRL</t>
  </si>
  <si>
    <t xml:space="preserve">CURACO SA PESQ </t>
  </si>
  <si>
    <t>AG DE PESCADORES ARTESANALES Y BUZOS MARISCADORES DE COQUIMBO-IV REGION REGISTRO DE ASOCIACIONES GREMIALES 55-4</t>
  </si>
  <si>
    <t>AG DE ARMADORES ARTESANALES ASOGFER AG ASOGFER AG RAG 310-10</t>
  </si>
  <si>
    <t>AG DE ARMADORES ARTESANALES DE LA DECIMA REGION RAG 156-10</t>
  </si>
  <si>
    <t>AG DE ARMADORES ARTESANALES PESCA AUSTRAL AG PESCA AUSTRAL AG RAG N°326-10</t>
  </si>
  <si>
    <t>AG DE ARMADORES Y PESCADORES CERQUEROS ARTESANALES DE ANCUD ASOGPESCA ANCUD AG RAG 4266</t>
  </si>
  <si>
    <t>STI PESCADORES ARTESANALES RECOLECTORES DE ORILLA BOLINCHEROS Y RAMOS SIMILARES PROVEEDORES MARITIMOS DE QUELLAIPE RSU 10010835</t>
  </si>
  <si>
    <t>STI PESCADORES ARTESANALES RECOLECTORES DE ORILLA BOLINCHEROS Y RAMOS SIMILARES PROVEEDORES MARITIMOS DE QUELLAIPE RSU 10010836</t>
  </si>
  <si>
    <t>STI PESCADORES ARTESANALES RECOLECTORES DE ORILLA BOLINCHEROS Y RAMOS SIMILARES PROVEEDORES MARITIMOS DE QUELLAIPE RSU 10010837</t>
  </si>
  <si>
    <t>ARMADORES ARTESANALES DEL PUERTO DE SAN ANTONIO AG RAG  2510</t>
  </si>
  <si>
    <t>AG DE PRODUCTORES PELAGICOS  ARMADORES ARTESANALES DE LA CALETA DE QUELLON DECIMA REGIÓN- AQUEPESCA AG RAG 270-10</t>
  </si>
  <si>
    <t>1942-2018</t>
  </si>
  <si>
    <t>CAMANCHACA  PESCA SUR S.A.</t>
  </si>
  <si>
    <t>BUCANERO I</t>
  </si>
  <si>
    <t>CORSARIO I</t>
  </si>
  <si>
    <t>MARIA JOSE</t>
  </si>
  <si>
    <t>PELICANO</t>
  </si>
  <si>
    <t>PEHUENCO</t>
  </si>
  <si>
    <t>ARIDOS CORONEL LIMITADA</t>
  </si>
  <si>
    <t>COMERCIAL Y CONSERVERA SAN LAZARO LIMITADA</t>
  </si>
  <si>
    <t>LOTA PROTEIN</t>
  </si>
  <si>
    <t>SANTA MARIA II</t>
  </si>
  <si>
    <t>1890-2018</t>
  </si>
  <si>
    <t>1917-2018</t>
  </si>
  <si>
    <t>YELCHO I</t>
  </si>
  <si>
    <t>2079-2018</t>
  </si>
  <si>
    <t>LONCO</t>
  </si>
  <si>
    <t>DON JULIO</t>
  </si>
  <si>
    <t>SAN JOSE</t>
  </si>
  <si>
    <t>ORIZON S.A.</t>
  </si>
  <si>
    <t>N° Resolución</t>
  </si>
  <si>
    <t>RPA</t>
  </si>
  <si>
    <t>Captura</t>
  </si>
  <si>
    <t>55T</t>
  </si>
  <si>
    <t>KALI</t>
  </si>
  <si>
    <t>MAIMAU</t>
  </si>
  <si>
    <t>Region</t>
  </si>
  <si>
    <t>2145-2018</t>
  </si>
  <si>
    <t>2176-2018</t>
  </si>
  <si>
    <t>2144-2018</t>
  </si>
  <si>
    <t>2147-2018</t>
  </si>
  <si>
    <t>2146-2018</t>
  </si>
  <si>
    <t>2120-2018</t>
  </si>
  <si>
    <t>FORTUNA IV</t>
  </si>
  <si>
    <t>TRINIDAD</t>
  </si>
  <si>
    <t>EL CID</t>
  </si>
  <si>
    <t>XOLOT</t>
  </si>
  <si>
    <t>FORTUNA V</t>
  </si>
  <si>
    <t>JUNIO</t>
  </si>
  <si>
    <t>1936-2018</t>
  </si>
  <si>
    <t>DON BENITO II</t>
  </si>
  <si>
    <t>PUNTA PICHICUY</t>
  </si>
  <si>
    <t>GUILLERMO I</t>
  </si>
  <si>
    <t>DON PANCRACIO</t>
  </si>
  <si>
    <t>PIONERO</t>
  </si>
  <si>
    <t>CANDELARIA II</t>
  </si>
  <si>
    <t>CHUBASCO I</t>
  </si>
  <si>
    <t>VIRGO</t>
  </si>
  <si>
    <t>ESTRELLA III</t>
  </si>
  <si>
    <t>DON ATILIO</t>
  </si>
  <si>
    <t>DON JOSE MIGUEL</t>
  </si>
  <si>
    <t>LONQUIMAY 2</t>
  </si>
  <si>
    <t>RAQUEL I</t>
  </si>
  <si>
    <t>DON JOSE EDGARDO</t>
  </si>
  <si>
    <t>SOFIA MAGDALENA</t>
  </si>
  <si>
    <t>YULIANA ANTONELLA</t>
  </si>
  <si>
    <t>Ene-Oct</t>
  </si>
  <si>
    <t>Nov-Dic</t>
  </si>
  <si>
    <t>2516-2018</t>
  </si>
  <si>
    <t>CONGELADOS PACIFICO SPA. HOY PACIFICBLU SPA</t>
  </si>
  <si>
    <t xml:space="preserve">Recurso </t>
  </si>
  <si>
    <t>Cuota asignada (t)</t>
  </si>
  <si>
    <t>Consumo %</t>
  </si>
  <si>
    <t>Empresa</t>
  </si>
  <si>
    <t>Especie</t>
  </si>
  <si>
    <t>INCOMAR</t>
  </si>
  <si>
    <t>LOTA SEAFOOD</t>
  </si>
  <si>
    <t>CONTROL CUOTA CESIONES INDIVIDUALES 2018</t>
  </si>
  <si>
    <t>Tipo</t>
  </si>
  <si>
    <t>Consumo</t>
  </si>
  <si>
    <t>2514-2018</t>
  </si>
  <si>
    <t>2515-2018</t>
  </si>
  <si>
    <t>2517-2018</t>
  </si>
  <si>
    <t>Captura(t)</t>
  </si>
  <si>
    <t>Saldo(t)</t>
  </si>
  <si>
    <t>Saldos(t)</t>
  </si>
  <si>
    <t>CONTROL CUOTA  CONSUMO HUMANO 2018</t>
  </si>
  <si>
    <t>Actualizado al:</t>
  </si>
  <si>
    <t>Embarcaciónes</t>
  </si>
  <si>
    <t>Ton Asignadas (t)</t>
  </si>
  <si>
    <t>CONTROL CUOTA CONSUMO HUMANO 2018</t>
  </si>
  <si>
    <t>2814-2018</t>
  </si>
  <si>
    <t>LA VICTORIA</t>
  </si>
  <si>
    <t>HURACAN I</t>
  </si>
  <si>
    <t>SION</t>
  </si>
  <si>
    <t>JUANITA</t>
  </si>
  <si>
    <t>SANTA CATALINA II</t>
  </si>
  <si>
    <t>ESTRELLA II</t>
  </si>
  <si>
    <t>RAQUEL</t>
  </si>
  <si>
    <t>FORTUNA III</t>
  </si>
  <si>
    <t>AGOSTO</t>
  </si>
  <si>
    <t>2813-2018</t>
  </si>
  <si>
    <t>RES 836-18 GRUPO DE EMBARCACIONES</t>
  </si>
  <si>
    <t>RES 2299-18 GRUPO DE EMBARCACIONES</t>
  </si>
  <si>
    <t>RES 2356-18 GRUPO DE EMBARCACIONES</t>
  </si>
  <si>
    <t>RES 2262-18 GRUPO DE EMBARCACIONES</t>
  </si>
  <si>
    <t>RES 2968-18 GRUPO DE EMBARCACIONES</t>
  </si>
  <si>
    <t>3196-2018</t>
  </si>
  <si>
    <t>ANTARES V</t>
  </si>
  <si>
    <t>ACHERNAR</t>
  </si>
  <si>
    <t>3167-2018</t>
  </si>
  <si>
    <t>3284-2018</t>
  </si>
  <si>
    <t>55N</t>
  </si>
  <si>
    <t>JORGE ANDRES</t>
  </si>
  <si>
    <t>3285-2018</t>
  </si>
  <si>
    <t>PEDRO L</t>
  </si>
  <si>
    <t>3581-2018</t>
  </si>
  <si>
    <t>3197-2018</t>
  </si>
  <si>
    <t>3161-2018</t>
  </si>
  <si>
    <t>3166-2018</t>
  </si>
  <si>
    <t>3164-2018</t>
  </si>
  <si>
    <t>MAMA EDITH</t>
  </si>
  <si>
    <t>DON BASILIO</t>
  </si>
  <si>
    <t>SANDY III</t>
  </si>
  <si>
    <t>3212-2018</t>
  </si>
  <si>
    <t>2177-2018</t>
  </si>
  <si>
    <t>LIDER</t>
  </si>
  <si>
    <t>VENTISQUERO</t>
  </si>
  <si>
    <t>3464-2018</t>
  </si>
  <si>
    <t>3945-2018</t>
  </si>
  <si>
    <r>
      <rPr>
        <b/>
        <sz val="12"/>
        <color theme="0"/>
        <rFont val="Calibri"/>
        <family val="2"/>
        <scheme val="minor"/>
      </rPr>
      <t xml:space="preserve">CONTROL CUOTA GLOBAL JUREL AÑO 2018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0"/>
        <color theme="0"/>
        <rFont val="Calibri"/>
        <family val="2"/>
        <scheme val="minor"/>
      </rPr>
      <t>Actualizado con desembarques al 31 de Diciembre de 2018</t>
    </r>
  </si>
  <si>
    <r>
      <rPr>
        <b/>
        <sz val="14"/>
        <color theme="0"/>
        <rFont val="Calibri"/>
        <family val="2"/>
        <scheme val="minor"/>
      </rPr>
      <t xml:space="preserve">CONTROL CUOTA JUREL FRACCIÓN ARTESANAL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Actualizado con desembarques al 31 de Diciembre de 2018</t>
    </r>
  </si>
  <si>
    <r>
      <t xml:space="preserve">CONTROL CUOTA JUREL FRACCION INDUSTRIAL      
    </t>
    </r>
    <r>
      <rPr>
        <b/>
        <sz val="11"/>
        <color theme="0"/>
        <rFont val="Calibri"/>
        <family val="2"/>
        <scheme val="minor"/>
      </rPr>
      <t xml:space="preserve">Actualizado con desembarques al 31 de Diciembre de 2018   </t>
    </r>
    <r>
      <rPr>
        <b/>
        <sz val="12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</si>
  <si>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3165-2018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</si>
</sst>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#,##0.000"/>
    <numFmt numFmtId="169" formatCode="0.0%"/>
    <numFmt numFmtId="170" formatCode="0.000"/>
    <numFmt numFmtId="171" formatCode="yyyy/mm/dd;@"/>
    <numFmt numFmtId="172" formatCode="[$-F800]dddd\,\ mmmm\ dd\,\ yyyy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Tahoma"/>
      <family val="2"/>
    </font>
    <font>
      <sz val="9"/>
      <color indexed="10"/>
      <name val="Tahoma"/>
      <family val="2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sz val="9"/>
      <color indexed="12"/>
      <name val="Tahoma"/>
      <family val="2"/>
    </font>
    <font>
      <sz val="10"/>
      <color indexed="48"/>
      <name val="Tahoma"/>
      <family val="2"/>
    </font>
    <font>
      <sz val="10"/>
      <color indexed="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AF7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1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49" fillId="0" borderId="0"/>
    <xf numFmtId="10" fontId="1" fillId="0" borderId="11" applyBorder="0">
      <alignment horizontal="center" vertical="center"/>
    </xf>
    <xf numFmtId="0" fontId="55" fillId="0" borderId="0"/>
  </cellStyleXfs>
  <cellXfs count="510">
    <xf numFmtId="0" fontId="0" fillId="0" borderId="0" xfId="0"/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8" fontId="48" fillId="58" borderId="39" xfId="0" applyNumberFormat="1" applyFont="1" applyFill="1" applyBorder="1" applyAlignment="1">
      <alignment horizontal="left" vertical="center"/>
    </xf>
    <xf numFmtId="0" fontId="23" fillId="0" borderId="10" xfId="42111" applyFont="1" applyFill="1" applyBorder="1" applyAlignment="1">
      <alignment horizontal="left" wrapText="1"/>
    </xf>
    <xf numFmtId="0" fontId="23" fillId="0" borderId="42" xfId="42111" applyFont="1" applyFill="1" applyBorder="1" applyAlignment="1">
      <alignment horizontal="left" wrapText="1"/>
    </xf>
    <xf numFmtId="168" fontId="16" fillId="56" borderId="34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59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59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7" borderId="39" xfId="0" applyFill="1" applyBorder="1" applyAlignment="1">
      <alignment horizontal="left" vertical="center"/>
    </xf>
    <xf numFmtId="0" fontId="0" fillId="57" borderId="10" xfId="0" applyFill="1" applyBorder="1" applyAlignment="1">
      <alignment horizontal="left" vertical="center"/>
    </xf>
    <xf numFmtId="0" fontId="0" fillId="57" borderId="42" xfId="0" applyFill="1" applyBorder="1" applyAlignment="1">
      <alignment horizontal="left" vertical="center"/>
    </xf>
    <xf numFmtId="0" fontId="0" fillId="59" borderId="54" xfId="0" applyFill="1" applyBorder="1" applyAlignment="1">
      <alignment horizontal="left" vertical="center" wrapText="1"/>
    </xf>
    <xf numFmtId="0" fontId="0" fillId="59" borderId="37" xfId="0" applyFill="1" applyBorder="1" applyAlignment="1">
      <alignment horizontal="left" vertical="center"/>
    </xf>
    <xf numFmtId="169" fontId="0" fillId="0" borderId="11" xfId="1" applyNumberFormat="1" applyFont="1" applyBorder="1" applyAlignment="1">
      <alignment horizontal="center" vertical="center"/>
    </xf>
    <xf numFmtId="169" fontId="0" fillId="0" borderId="55" xfId="1" applyNumberFormat="1" applyFont="1" applyBorder="1" applyAlignment="1">
      <alignment horizontal="center" vertical="center"/>
    </xf>
    <xf numFmtId="169" fontId="0" fillId="0" borderId="48" xfId="1" applyNumberFormat="1" applyFont="1" applyBorder="1" applyAlignment="1">
      <alignment horizontal="center" vertical="center"/>
    </xf>
    <xf numFmtId="169" fontId="0" fillId="0" borderId="50" xfId="1" applyNumberFormat="1" applyFont="1" applyBorder="1" applyAlignment="1">
      <alignment horizontal="center" vertical="center"/>
    </xf>
    <xf numFmtId="169" fontId="0" fillId="0" borderId="37" xfId="1" applyNumberFormat="1" applyFont="1" applyBorder="1" applyAlignment="1">
      <alignment horizontal="center" vertical="center"/>
    </xf>
    <xf numFmtId="169" fontId="0" fillId="0" borderId="49" xfId="1" applyNumberFormat="1" applyFont="1" applyBorder="1" applyAlignment="1">
      <alignment horizontal="center" vertical="center"/>
    </xf>
    <xf numFmtId="169" fontId="0" fillId="0" borderId="37" xfId="1" applyNumberFormat="1" applyFont="1" applyFill="1" applyBorder="1" applyAlignment="1">
      <alignment horizontal="center" vertical="center"/>
    </xf>
    <xf numFmtId="0" fontId="0" fillId="64" borderId="58" xfId="0" applyFill="1" applyBorder="1" applyAlignment="1">
      <alignment horizontal="center" vertical="center"/>
    </xf>
    <xf numFmtId="0" fontId="0" fillId="64" borderId="36" xfId="0" applyFill="1" applyBorder="1" applyAlignment="1">
      <alignment horizontal="center" vertical="center"/>
    </xf>
    <xf numFmtId="10" fontId="0" fillId="64" borderId="37" xfId="1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7" borderId="0" xfId="0" applyFill="1"/>
    <xf numFmtId="0" fontId="0" fillId="57" borderId="0" xfId="0" applyFont="1" applyFill="1"/>
    <xf numFmtId="0" fontId="0" fillId="57" borderId="0" xfId="0" applyFont="1" applyFill="1" applyAlignment="1">
      <alignment horizontal="center"/>
    </xf>
    <xf numFmtId="0" fontId="13" fillId="65" borderId="35" xfId="0" applyFont="1" applyFill="1" applyBorder="1" applyAlignment="1">
      <alignment horizontal="center" vertical="center"/>
    </xf>
    <xf numFmtId="0" fontId="13" fillId="65" borderId="36" xfId="0" applyFont="1" applyFill="1" applyBorder="1" applyAlignment="1">
      <alignment horizontal="center" vertical="center"/>
    </xf>
    <xf numFmtId="0" fontId="13" fillId="65" borderId="36" xfId="0" applyFont="1" applyFill="1" applyBorder="1" applyAlignment="1">
      <alignment horizontal="center" vertical="center" wrapText="1"/>
    </xf>
    <xf numFmtId="0" fontId="13" fillId="65" borderId="37" xfId="0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16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0" fillId="57" borderId="0" xfId="0" applyFill="1" applyBorder="1" applyAlignment="1">
      <alignment horizontal="center" vertical="center"/>
    </xf>
    <xf numFmtId="169" fontId="0" fillId="57" borderId="0" xfId="1" applyNumberFormat="1" applyFont="1" applyFill="1" applyBorder="1" applyAlignment="1">
      <alignment horizontal="center" vertical="center"/>
    </xf>
    <xf numFmtId="10" fontId="0" fillId="57" borderId="0" xfId="1" applyNumberFormat="1" applyFont="1" applyFill="1" applyAlignment="1">
      <alignment horizontal="center" vertical="center"/>
    </xf>
    <xf numFmtId="0" fontId="16" fillId="57" borderId="0" xfId="0" applyFont="1" applyFill="1" applyBorder="1" applyAlignment="1">
      <alignment horizontal="center" vertical="center" wrapText="1"/>
    </xf>
    <xf numFmtId="0" fontId="0" fillId="57" borderId="0" xfId="0" applyFill="1" applyAlignment="1">
      <alignment horizontal="left" vertical="center"/>
    </xf>
    <xf numFmtId="169" fontId="0" fillId="57" borderId="0" xfId="1" applyNumberFormat="1" applyFont="1" applyFill="1" applyAlignment="1">
      <alignment horizontal="center" vertical="center"/>
    </xf>
    <xf numFmtId="0" fontId="50" fillId="65" borderId="35" xfId="0" applyFont="1" applyFill="1" applyBorder="1" applyAlignment="1">
      <alignment horizontal="center" vertical="center" wrapText="1"/>
    </xf>
    <xf numFmtId="0" fontId="50" fillId="65" borderId="54" xfId="0" applyFont="1" applyFill="1" applyBorder="1" applyAlignment="1">
      <alignment horizontal="center" vertical="center" wrapText="1"/>
    </xf>
    <xf numFmtId="0" fontId="50" fillId="65" borderId="36" xfId="0" applyFont="1" applyFill="1" applyBorder="1" applyAlignment="1">
      <alignment horizontal="center" vertical="center" wrapText="1"/>
    </xf>
    <xf numFmtId="0" fontId="50" fillId="65" borderId="58" xfId="0" applyFont="1" applyFill="1" applyBorder="1" applyAlignment="1">
      <alignment horizontal="center" vertical="center" wrapText="1"/>
    </xf>
    <xf numFmtId="0" fontId="0" fillId="57" borderId="0" xfId="0" applyFill="1" applyAlignment="1">
      <alignment vertical="center"/>
    </xf>
    <xf numFmtId="0" fontId="50" fillId="65" borderId="37" xfId="0" applyFont="1" applyFill="1" applyBorder="1" applyAlignment="1">
      <alignment horizontal="center" vertical="center" wrapText="1"/>
    </xf>
    <xf numFmtId="0" fontId="0" fillId="57" borderId="39" xfId="0" applyFill="1" applyBorder="1" applyAlignment="1">
      <alignment horizontal="center" vertical="center"/>
    </xf>
    <xf numFmtId="0" fontId="0" fillId="57" borderId="10" xfId="0" applyFill="1" applyBorder="1" applyAlignment="1">
      <alignment horizontal="center" vertical="center"/>
    </xf>
    <xf numFmtId="0" fontId="0" fillId="57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3" fontId="13" fillId="65" borderId="35" xfId="0" applyNumberFormat="1" applyFont="1" applyFill="1" applyBorder="1" applyAlignment="1">
      <alignment horizontal="center" vertical="center" wrapText="1"/>
    </xf>
    <xf numFmtId="0" fontId="53" fillId="65" borderId="36" xfId="888" applyFont="1" applyFill="1" applyBorder="1" applyAlignment="1">
      <alignment horizontal="center" vertical="center" wrapText="1"/>
    </xf>
    <xf numFmtId="3" fontId="13" fillId="65" borderId="36" xfId="0" applyNumberFormat="1" applyFont="1" applyFill="1" applyBorder="1" applyAlignment="1">
      <alignment horizontal="center" vertical="center" wrapText="1"/>
    </xf>
    <xf numFmtId="0" fontId="13" fillId="65" borderId="36" xfId="0" applyNumberFormat="1" applyFont="1" applyFill="1" applyBorder="1" applyAlignment="1">
      <alignment horizontal="center" vertical="center" wrapText="1"/>
    </xf>
    <xf numFmtId="3" fontId="13" fillId="65" borderId="36" xfId="0" applyNumberFormat="1" applyFont="1" applyFill="1" applyBorder="1" applyAlignment="1">
      <alignment horizontal="center" vertical="center"/>
    </xf>
    <xf numFmtId="3" fontId="13" fillId="65" borderId="37" xfId="0" applyNumberFormat="1" applyFont="1" applyFill="1" applyBorder="1" applyAlignment="1">
      <alignment horizontal="center" vertical="center" wrapText="1"/>
    </xf>
    <xf numFmtId="0" fontId="48" fillId="57" borderId="0" xfId="0" applyFont="1" applyFill="1"/>
    <xf numFmtId="0" fontId="0" fillId="57" borderId="0" xfId="0" applyFill="1" applyBorder="1"/>
    <xf numFmtId="0" fontId="45" fillId="57" borderId="0" xfId="0" applyFont="1" applyFill="1" applyBorder="1" applyAlignment="1">
      <alignment horizontal="center"/>
    </xf>
    <xf numFmtId="0" fontId="0" fillId="57" borderId="71" xfId="0" applyFill="1" applyBorder="1" applyAlignment="1">
      <alignment horizontal="center" vertical="center"/>
    </xf>
    <xf numFmtId="0" fontId="0" fillId="57" borderId="13" xfId="0" applyFill="1" applyBorder="1" applyAlignment="1">
      <alignment horizontal="left" vertical="center"/>
    </xf>
    <xf numFmtId="9" fontId="0" fillId="57" borderId="0" xfId="1" applyFont="1" applyFill="1"/>
    <xf numFmtId="9" fontId="0" fillId="56" borderId="48" xfId="1" applyFont="1" applyFill="1" applyBorder="1" applyAlignment="1">
      <alignment horizontal="center"/>
    </xf>
    <xf numFmtId="9" fontId="0" fillId="56" borderId="49" xfId="1" applyFont="1" applyFill="1" applyBorder="1" applyAlignment="1">
      <alignment horizontal="center"/>
    </xf>
    <xf numFmtId="9" fontId="0" fillId="56" borderId="50" xfId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8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9" fontId="0" fillId="0" borderId="10" xfId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8" fillId="68" borderId="10" xfId="0" applyFont="1" applyFill="1" applyBorder="1" applyAlignment="1">
      <alignment horizontal="center" vertical="center"/>
    </xf>
    <xf numFmtId="9" fontId="58" fillId="68" borderId="10" xfId="1" applyFont="1" applyFill="1" applyBorder="1" applyAlignment="1">
      <alignment horizontal="center" vertical="center"/>
    </xf>
    <xf numFmtId="0" fontId="45" fillId="68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57" borderId="13" xfId="0" applyFill="1" applyBorder="1" applyAlignment="1">
      <alignment horizontal="center" vertical="center"/>
    </xf>
    <xf numFmtId="0" fontId="0" fillId="0" borderId="28" xfId="0" applyBorder="1"/>
    <xf numFmtId="14" fontId="0" fillId="0" borderId="10" xfId="1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58" fillId="68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64" borderId="61" xfId="0" applyNumberFormat="1" applyFill="1" applyBorder="1" applyAlignment="1">
      <alignment horizontal="center"/>
    </xf>
    <xf numFmtId="14" fontId="0" fillId="64" borderId="62" xfId="0" applyNumberFormat="1" applyFill="1" applyBorder="1" applyAlignment="1">
      <alignment horizontal="center"/>
    </xf>
    <xf numFmtId="0" fontId="0" fillId="64" borderId="60" xfId="0" applyFill="1" applyBorder="1" applyAlignment="1">
      <alignment horizontal="center"/>
    </xf>
    <xf numFmtId="0" fontId="0" fillId="64" borderId="62" xfId="0" applyFill="1" applyBorder="1" applyAlignment="1">
      <alignment horizontal="center"/>
    </xf>
    <xf numFmtId="0" fontId="0" fillId="64" borderId="43" xfId="0" applyFill="1" applyBorder="1" applyAlignment="1">
      <alignment horizontal="center"/>
    </xf>
    <xf numFmtId="0" fontId="0" fillId="64" borderId="61" xfId="0" applyFill="1" applyBorder="1" applyAlignment="1">
      <alignment horizontal="center"/>
    </xf>
    <xf numFmtId="14" fontId="16" fillId="67" borderId="60" xfId="0" applyNumberFormat="1" applyFont="1" applyFill="1" applyBorder="1" applyAlignment="1">
      <alignment horizontal="center"/>
    </xf>
    <xf numFmtId="14" fontId="16" fillId="67" borderId="6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0" applyNumberFormat="1" applyFont="1" applyBorder="1" applyAlignment="1">
      <alignment horizontal="center" vertical="center"/>
    </xf>
    <xf numFmtId="168" fontId="16" fillId="57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0" fillId="0" borderId="25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0" fillId="0" borderId="49" xfId="1" applyNumberFormat="1" applyFont="1" applyFill="1" applyBorder="1" applyAlignment="1">
      <alignment horizontal="center" vertical="center"/>
    </xf>
    <xf numFmtId="0" fontId="0" fillId="57" borderId="71" xfId="0" applyFill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169" fontId="0" fillId="0" borderId="73" xfId="1" applyNumberFormat="1" applyFont="1" applyBorder="1" applyAlignment="1">
      <alignment horizontal="center" vertical="center"/>
    </xf>
    <xf numFmtId="169" fontId="0" fillId="0" borderId="75" xfId="1" applyNumberFormat="1" applyFont="1" applyBorder="1" applyAlignment="1">
      <alignment horizontal="center" vertical="center"/>
    </xf>
    <xf numFmtId="169" fontId="0" fillId="0" borderId="74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68" fontId="48" fillId="58" borderId="13" xfId="0" applyNumberFormat="1" applyFont="1" applyFill="1" applyBorder="1" applyAlignment="1">
      <alignment horizontal="left" vertical="center"/>
    </xf>
    <xf numFmtId="0" fontId="45" fillId="60" borderId="35" xfId="0" applyFont="1" applyFill="1" applyBorder="1" applyAlignment="1">
      <alignment horizontal="center" vertical="center"/>
    </xf>
    <xf numFmtId="3" fontId="48" fillId="60" borderId="36" xfId="0" applyNumberFormat="1" applyFont="1" applyFill="1" applyBorder="1" applyAlignment="1">
      <alignment horizontal="center" vertical="center"/>
    </xf>
    <xf numFmtId="0" fontId="48" fillId="60" borderId="36" xfId="841" applyFont="1" applyFill="1" applyBorder="1" applyAlignment="1">
      <alignment horizontal="center" vertical="center"/>
    </xf>
    <xf numFmtId="0" fontId="48" fillId="58" borderId="36" xfId="0" applyNumberFormat="1" applyFont="1" applyFill="1" applyBorder="1" applyAlignment="1">
      <alignment horizontal="center" vertical="center"/>
    </xf>
    <xf numFmtId="168" fontId="48" fillId="58" borderId="36" xfId="0" applyNumberFormat="1" applyFont="1" applyFill="1" applyBorder="1" applyAlignment="1">
      <alignment horizontal="center" vertical="center"/>
    </xf>
    <xf numFmtId="168" fontId="16" fillId="56" borderId="34" xfId="0" applyNumberFormat="1" applyFont="1" applyFill="1" applyBorder="1" applyAlignment="1">
      <alignment horizontal="center" vertical="center"/>
    </xf>
    <xf numFmtId="0" fontId="16" fillId="56" borderId="34" xfId="0" applyNumberFormat="1" applyFont="1" applyFill="1" applyBorder="1" applyAlignment="1">
      <alignment horizontal="center"/>
    </xf>
    <xf numFmtId="168" fontId="48" fillId="58" borderId="10" xfId="0" applyNumberFormat="1" applyFont="1" applyFill="1" applyBorder="1" applyAlignment="1">
      <alignment horizontal="left" vertical="center"/>
    </xf>
    <xf numFmtId="0" fontId="0" fillId="0" borderId="42" xfId="0" applyBorder="1"/>
    <xf numFmtId="0" fontId="23" fillId="0" borderId="10" xfId="42113" applyFont="1" applyFill="1" applyBorder="1" applyAlignment="1">
      <alignment horizontal="left" vertical="center"/>
    </xf>
    <xf numFmtId="9" fontId="0" fillId="0" borderId="10" xfId="1" applyFont="1" applyFill="1" applyBorder="1" applyAlignment="1">
      <alignment horizontal="center" vertical="center"/>
    </xf>
    <xf numFmtId="0" fontId="45" fillId="57" borderId="0" xfId="0" applyFont="1" applyFill="1" applyBorder="1" applyAlignment="1">
      <alignment horizontal="center" vertical="center"/>
    </xf>
    <xf numFmtId="3" fontId="48" fillId="57" borderId="0" xfId="0" applyNumberFormat="1" applyFont="1" applyFill="1" applyBorder="1" applyAlignment="1">
      <alignment horizontal="center" vertical="center"/>
    </xf>
    <xf numFmtId="0" fontId="48" fillId="57" borderId="0" xfId="841" applyFont="1" applyFill="1" applyBorder="1" applyAlignment="1">
      <alignment horizontal="center" vertical="center"/>
    </xf>
    <xf numFmtId="0" fontId="48" fillId="57" borderId="0" xfId="0" applyNumberFormat="1" applyFont="1" applyFill="1" applyBorder="1" applyAlignment="1">
      <alignment horizontal="center" vertical="center"/>
    </xf>
    <xf numFmtId="0" fontId="23" fillId="57" borderId="0" xfId="42111" applyFont="1" applyFill="1" applyBorder="1" applyAlignment="1">
      <alignment horizontal="left" wrapText="1"/>
    </xf>
    <xf numFmtId="9" fontId="45" fillId="57" borderId="0" xfId="1" applyNumberFormat="1" applyFont="1" applyFill="1" applyBorder="1" applyAlignment="1">
      <alignment horizontal="center" vertical="center"/>
    </xf>
    <xf numFmtId="0" fontId="13" fillId="65" borderId="54" xfId="0" applyNumberFormat="1" applyFont="1" applyFill="1" applyBorder="1" applyAlignment="1">
      <alignment horizontal="center" vertical="center" wrapText="1"/>
    </xf>
    <xf numFmtId="3" fontId="13" fillId="65" borderId="58" xfId="0" applyNumberFormat="1" applyFont="1" applyFill="1" applyBorder="1" applyAlignment="1">
      <alignment horizontal="center" vertical="center"/>
    </xf>
    <xf numFmtId="3" fontId="13" fillId="65" borderId="43" xfId="0" applyNumberFormat="1" applyFont="1" applyFill="1" applyBorder="1" applyAlignment="1">
      <alignment horizontal="center" vertical="center" wrapText="1"/>
    </xf>
    <xf numFmtId="168" fontId="16" fillId="56" borderId="43" xfId="0" applyNumberFormat="1" applyFont="1" applyFill="1" applyBorder="1" applyAlignment="1">
      <alignment horizontal="center"/>
    </xf>
    <xf numFmtId="9" fontId="16" fillId="69" borderId="37" xfId="1" applyFont="1" applyFill="1" applyBorder="1" applyAlignment="1">
      <alignment horizontal="center" vertical="center"/>
    </xf>
    <xf numFmtId="0" fontId="16" fillId="57" borderId="0" xfId="0" applyNumberFormat="1" applyFont="1" applyFill="1" applyBorder="1" applyAlignment="1">
      <alignment horizontal="center"/>
    </xf>
    <xf numFmtId="9" fontId="16" fillId="0" borderId="37" xfId="1" applyFont="1" applyFill="1" applyBorder="1" applyAlignment="1">
      <alignment horizontal="center" vertical="center"/>
    </xf>
    <xf numFmtId="9" fontId="0" fillId="57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57" borderId="0" xfId="0" applyFont="1" applyFill="1" applyBorder="1" applyAlignment="1">
      <alignment horizontal="center" vertical="center"/>
    </xf>
    <xf numFmtId="0" fontId="16" fillId="57" borderId="0" xfId="0" applyFont="1" applyFill="1" applyBorder="1" applyAlignment="1">
      <alignment horizontal="center" vertical="top"/>
    </xf>
    <xf numFmtId="0" fontId="16" fillId="0" borderId="5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9" fontId="0" fillId="0" borderId="50" xfId="0" applyNumberFormat="1" applyBorder="1" applyAlignment="1">
      <alignment horizontal="center" vertical="center"/>
    </xf>
    <xf numFmtId="0" fontId="16" fillId="72" borderId="35" xfId="0" applyFont="1" applyFill="1" applyBorder="1" applyAlignment="1">
      <alignment horizontal="center" vertical="center"/>
    </xf>
    <xf numFmtId="0" fontId="16" fillId="72" borderId="36" xfId="0" applyFont="1" applyFill="1" applyBorder="1" applyAlignment="1">
      <alignment horizontal="center" vertical="center"/>
    </xf>
    <xf numFmtId="0" fontId="16" fillId="72" borderId="3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48" fillId="0" borderId="42" xfId="0" applyNumberFormat="1" applyFont="1" applyFill="1" applyBorder="1" applyAlignment="1">
      <alignment horizontal="center" vertical="center"/>
    </xf>
    <xf numFmtId="168" fontId="48" fillId="0" borderId="39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horizontal="center" vertical="center"/>
    </xf>
    <xf numFmtId="168" fontId="48" fillId="0" borderId="42" xfId="0" applyNumberFormat="1" applyFont="1" applyFill="1" applyBorder="1" applyAlignment="1">
      <alignment horizontal="center" vertical="center"/>
    </xf>
    <xf numFmtId="0" fontId="48" fillId="0" borderId="39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8" fillId="0" borderId="4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16" fillId="56" borderId="34" xfId="0" applyNumberFormat="1" applyFont="1" applyFill="1" applyBorder="1" applyAlignment="1">
      <alignment horizontal="center"/>
    </xf>
    <xf numFmtId="3" fontId="16" fillId="56" borderId="3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6" fillId="71" borderId="35" xfId="0" applyFont="1" applyFill="1" applyBorder="1" applyAlignment="1">
      <alignment horizontal="center" vertical="center"/>
    </xf>
    <xf numFmtId="0" fontId="16" fillId="71" borderId="36" xfId="0" applyFont="1" applyFill="1" applyBorder="1" applyAlignment="1">
      <alignment horizontal="center" vertical="center"/>
    </xf>
    <xf numFmtId="0" fontId="16" fillId="71" borderId="3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16" fillId="67" borderId="78" xfId="0" applyNumberFormat="1" applyFont="1" applyFill="1" applyBorder="1" applyAlignment="1">
      <alignment horizontal="center"/>
    </xf>
    <xf numFmtId="14" fontId="16" fillId="67" borderId="79" xfId="0" applyNumberFormat="1" applyFont="1" applyFill="1" applyBorder="1" applyAlignment="1">
      <alignment horizontal="center"/>
    </xf>
    <xf numFmtId="0" fontId="0" fillId="64" borderId="79" xfId="0" applyFill="1" applyBorder="1" applyAlignment="1">
      <alignment horizontal="center"/>
    </xf>
    <xf numFmtId="0" fontId="0" fillId="64" borderId="80" xfId="0" applyFill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3" fillId="0" borderId="13" xfId="42113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73" borderId="38" xfId="0" applyFill="1" applyBorder="1" applyAlignment="1">
      <alignment horizontal="center" vertical="center"/>
    </xf>
    <xf numFmtId="0" fontId="0" fillId="73" borderId="41" xfId="0" applyFill="1" applyBorder="1" applyAlignment="1">
      <alignment horizontal="center" vertical="center"/>
    </xf>
    <xf numFmtId="0" fontId="0" fillId="73" borderId="40" xfId="0" applyFill="1" applyBorder="1" applyAlignment="1">
      <alignment horizontal="center" vertical="center"/>
    </xf>
    <xf numFmtId="0" fontId="0" fillId="73" borderId="39" xfId="0" applyFont="1" applyFill="1" applyBorder="1" applyAlignment="1">
      <alignment horizontal="center" vertical="center"/>
    </xf>
    <xf numFmtId="0" fontId="0" fillId="73" borderId="10" xfId="0" applyFont="1" applyFill="1" applyBorder="1" applyAlignment="1">
      <alignment horizontal="center" vertical="center"/>
    </xf>
    <xf numFmtId="0" fontId="0" fillId="73" borderId="42" xfId="0" applyFont="1" applyFill="1" applyBorder="1" applyAlignment="1">
      <alignment horizontal="center" vertical="center"/>
    </xf>
    <xf numFmtId="0" fontId="0" fillId="73" borderId="53" xfId="0" applyFill="1" applyBorder="1" applyAlignment="1">
      <alignment horizontal="center" vertical="center"/>
    </xf>
    <xf numFmtId="0" fontId="0" fillId="73" borderId="13" xfId="0" applyFont="1" applyFill="1" applyBorder="1" applyAlignment="1">
      <alignment horizontal="center" vertical="center"/>
    </xf>
    <xf numFmtId="0" fontId="0" fillId="73" borderId="72" xfId="0" applyFill="1" applyBorder="1" applyAlignment="1">
      <alignment horizontal="center" vertical="center"/>
    </xf>
    <xf numFmtId="0" fontId="0" fillId="73" borderId="71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73" borderId="35" xfId="0" applyFill="1" applyBorder="1" applyAlignment="1">
      <alignment horizontal="center" vertical="center"/>
    </xf>
    <xf numFmtId="0" fontId="0" fillId="73" borderId="36" xfId="0" applyFill="1" applyBorder="1" applyAlignment="1">
      <alignment horizontal="center" vertical="center"/>
    </xf>
    <xf numFmtId="9" fontId="0" fillId="0" borderId="37" xfId="1" applyFont="1" applyFill="1" applyBorder="1" applyAlignment="1">
      <alignment horizontal="center"/>
    </xf>
    <xf numFmtId="0" fontId="0" fillId="70" borderId="61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74" borderId="39" xfId="0" applyFill="1" applyBorder="1" applyAlignment="1">
      <alignment horizontal="center" vertical="center"/>
    </xf>
    <xf numFmtId="0" fontId="0" fillId="74" borderId="10" xfId="0" applyFill="1" applyBorder="1" applyAlignment="1">
      <alignment horizontal="center" vertical="center"/>
    </xf>
    <xf numFmtId="0" fontId="0" fillId="74" borderId="42" xfId="0" applyFill="1" applyBorder="1" applyAlignment="1">
      <alignment horizontal="center" vertical="center"/>
    </xf>
    <xf numFmtId="0" fontId="0" fillId="73" borderId="45" xfId="0" applyFill="1" applyBorder="1" applyAlignment="1">
      <alignment horizontal="center" vertical="center"/>
    </xf>
    <xf numFmtId="0" fontId="0" fillId="73" borderId="44" xfId="0" applyFill="1" applyBorder="1" applyAlignment="1">
      <alignment horizontal="center" vertical="center"/>
    </xf>
    <xf numFmtId="9" fontId="0" fillId="0" borderId="65" xfId="1" applyFont="1" applyFill="1" applyBorder="1" applyAlignment="1">
      <alignment horizontal="center"/>
    </xf>
    <xf numFmtId="169" fontId="0" fillId="0" borderId="66" xfId="0" applyNumberFormat="1" applyBorder="1" applyAlignment="1">
      <alignment horizontal="center" vertical="center"/>
    </xf>
    <xf numFmtId="169" fontId="16" fillId="69" borderId="50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73" borderId="39" xfId="0" applyFill="1" applyBorder="1" applyAlignment="1">
      <alignment horizontal="center" vertical="center"/>
    </xf>
    <xf numFmtId="0" fontId="0" fillId="73" borderId="10" xfId="0" applyFill="1" applyBorder="1" applyAlignment="1">
      <alignment horizontal="center" vertical="center"/>
    </xf>
    <xf numFmtId="0" fontId="0" fillId="73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73" borderId="13" xfId="0" applyFill="1" applyBorder="1" applyAlignment="1">
      <alignment horizontal="center" vertical="center"/>
    </xf>
    <xf numFmtId="0" fontId="0" fillId="73" borderId="7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9" fontId="0" fillId="0" borderId="64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74" borderId="71" xfId="0" applyFill="1" applyBorder="1" applyAlignment="1">
      <alignment horizontal="center" vertical="center"/>
    </xf>
    <xf numFmtId="0" fontId="0" fillId="74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6" fillId="59" borderId="32" xfId="0" applyFont="1" applyFill="1" applyBorder="1" applyAlignment="1">
      <alignment horizontal="center" vertical="center"/>
    </xf>
    <xf numFmtId="0" fontId="16" fillId="59" borderId="33" xfId="0" applyFont="1" applyFill="1" applyBorder="1" applyAlignment="1">
      <alignment horizontal="center" vertical="center"/>
    </xf>
    <xf numFmtId="0" fontId="16" fillId="59" borderId="34" xfId="0" applyFont="1" applyFill="1" applyBorder="1" applyAlignment="1">
      <alignment horizontal="center" vertical="center"/>
    </xf>
    <xf numFmtId="0" fontId="16" fillId="61" borderId="60" xfId="0" applyFont="1" applyFill="1" applyBorder="1" applyAlignment="1">
      <alignment horizontal="center" vertical="center"/>
    </xf>
    <xf numFmtId="0" fontId="16" fillId="61" borderId="61" xfId="0" applyFont="1" applyFill="1" applyBorder="1" applyAlignment="1">
      <alignment horizontal="center" vertical="center"/>
    </xf>
    <xf numFmtId="0" fontId="16" fillId="61" borderId="62" xfId="0" applyFont="1" applyFill="1" applyBorder="1" applyAlignment="1">
      <alignment horizontal="center" vertical="center"/>
    </xf>
    <xf numFmtId="0" fontId="13" fillId="65" borderId="67" xfId="0" applyFont="1" applyFill="1" applyBorder="1" applyAlignment="1">
      <alignment horizontal="center" wrapText="1"/>
    </xf>
    <xf numFmtId="0" fontId="13" fillId="65" borderId="68" xfId="0" applyFont="1" applyFill="1" applyBorder="1" applyAlignment="1">
      <alignment horizontal="center" wrapText="1"/>
    </xf>
    <xf numFmtId="0" fontId="13" fillId="65" borderId="69" xfId="0" applyFont="1" applyFill="1" applyBorder="1" applyAlignment="1">
      <alignment horizontal="center" wrapText="1"/>
    </xf>
    <xf numFmtId="10" fontId="0" fillId="64" borderId="25" xfId="1" applyNumberFormat="1" applyFont="1" applyFill="1" applyBorder="1" applyAlignment="1">
      <alignment horizontal="center" vertical="center"/>
    </xf>
    <xf numFmtId="10" fontId="0" fillId="64" borderId="55" xfId="1" applyNumberFormat="1" applyFont="1" applyFill="1" applyBorder="1" applyAlignment="1">
      <alignment horizontal="center" vertical="center"/>
    </xf>
    <xf numFmtId="0" fontId="0" fillId="64" borderId="51" xfId="0" applyFill="1" applyBorder="1" applyAlignment="1">
      <alignment horizontal="center" vertical="center"/>
    </xf>
    <xf numFmtId="0" fontId="0" fillId="64" borderId="24" xfId="0" applyFill="1" applyBorder="1" applyAlignment="1">
      <alignment horizontal="center" vertical="center"/>
    </xf>
    <xf numFmtId="0" fontId="0" fillId="64" borderId="39" xfId="0" applyFill="1" applyBorder="1" applyAlignment="1">
      <alignment horizontal="center" vertical="center"/>
    </xf>
    <xf numFmtId="0" fontId="0" fillId="64" borderId="10" xfId="0" applyFill="1" applyBorder="1" applyAlignment="1">
      <alignment horizontal="center" vertical="center"/>
    </xf>
    <xf numFmtId="0" fontId="0" fillId="64" borderId="42" xfId="0" applyFill="1" applyBorder="1" applyAlignment="1">
      <alignment horizontal="center" vertical="center"/>
    </xf>
    <xf numFmtId="0" fontId="0" fillId="64" borderId="52" xfId="0" applyFill="1" applyBorder="1" applyAlignment="1">
      <alignment horizontal="center" vertical="center"/>
    </xf>
    <xf numFmtId="0" fontId="0" fillId="59" borderId="49" xfId="0" applyFill="1" applyBorder="1" applyAlignment="1">
      <alignment horizontal="left" vertical="center" wrapText="1"/>
    </xf>
    <xf numFmtId="10" fontId="0" fillId="64" borderId="57" xfId="1" applyNumberFormat="1" applyFont="1" applyFill="1" applyBorder="1" applyAlignment="1">
      <alignment horizontal="center" vertical="center"/>
    </xf>
    <xf numFmtId="10" fontId="0" fillId="64" borderId="49" xfId="1" applyNumberFormat="1" applyFont="1" applyFill="1" applyBorder="1" applyAlignment="1">
      <alignment horizontal="center" vertical="center"/>
    </xf>
    <xf numFmtId="0" fontId="13" fillId="65" borderId="67" xfId="0" applyFont="1" applyFill="1" applyBorder="1" applyAlignment="1">
      <alignment horizontal="center" vertical="center" wrapText="1"/>
    </xf>
    <xf numFmtId="0" fontId="13" fillId="65" borderId="68" xfId="0" applyFont="1" applyFill="1" applyBorder="1" applyAlignment="1">
      <alignment horizontal="center" vertical="center" wrapText="1"/>
    </xf>
    <xf numFmtId="0" fontId="13" fillId="65" borderId="69" xfId="0" applyFont="1" applyFill="1" applyBorder="1" applyAlignment="1">
      <alignment horizontal="center" vertical="center" wrapText="1"/>
    </xf>
    <xf numFmtId="0" fontId="13" fillId="65" borderId="45" xfId="0" applyFont="1" applyFill="1" applyBorder="1" applyAlignment="1">
      <alignment horizontal="center" vertical="center"/>
    </xf>
    <xf numFmtId="0" fontId="13" fillId="65" borderId="44" xfId="0" applyFont="1" applyFill="1" applyBorder="1" applyAlignment="1">
      <alignment horizontal="center" vertical="center"/>
    </xf>
    <xf numFmtId="0" fontId="13" fillId="65" borderId="56" xfId="0" applyFont="1" applyFill="1" applyBorder="1" applyAlignment="1">
      <alignment horizontal="center" vertical="center"/>
    </xf>
    <xf numFmtId="10" fontId="0" fillId="64" borderId="48" xfId="1" applyNumberFormat="1" applyFont="1" applyFill="1" applyBorder="1" applyAlignment="1">
      <alignment horizontal="center" vertical="center"/>
    </xf>
    <xf numFmtId="0" fontId="0" fillId="64" borderId="38" xfId="0" applyFill="1" applyBorder="1" applyAlignment="1">
      <alignment horizontal="center" vertical="center"/>
    </xf>
    <xf numFmtId="0" fontId="0" fillId="64" borderId="40" xfId="0" applyFill="1" applyBorder="1" applyAlignment="1">
      <alignment horizontal="center" vertical="center"/>
    </xf>
    <xf numFmtId="10" fontId="0" fillId="64" borderId="50" xfId="1" applyNumberFormat="1" applyFont="1" applyFill="1" applyBorder="1" applyAlignment="1">
      <alignment horizontal="center" vertical="center"/>
    </xf>
    <xf numFmtId="10" fontId="0" fillId="70" borderId="57" xfId="1" applyNumberFormat="1" applyFont="1" applyFill="1" applyBorder="1" applyAlignment="1">
      <alignment horizontal="center" vertical="center"/>
    </xf>
    <xf numFmtId="10" fontId="0" fillId="70" borderId="25" xfId="1" applyNumberFormat="1" applyFont="1" applyFill="1" applyBorder="1" applyAlignment="1">
      <alignment horizontal="center" vertical="center"/>
    </xf>
    <xf numFmtId="0" fontId="16" fillId="59" borderId="38" xfId="0" applyFont="1" applyFill="1" applyBorder="1" applyAlignment="1">
      <alignment horizontal="center" vertical="center" wrapText="1"/>
    </xf>
    <xf numFmtId="0" fontId="16" fillId="59" borderId="41" xfId="0" applyFont="1" applyFill="1" applyBorder="1" applyAlignment="1">
      <alignment horizontal="center" vertical="center" wrapText="1"/>
    </xf>
    <xf numFmtId="0" fontId="16" fillId="59" borderId="40" xfId="0" applyFont="1" applyFill="1" applyBorder="1" applyAlignment="1">
      <alignment horizontal="center" vertical="center" wrapText="1"/>
    </xf>
    <xf numFmtId="0" fontId="0" fillId="59" borderId="48" xfId="0" applyFill="1" applyBorder="1" applyAlignment="1">
      <alignment horizontal="left" vertical="center"/>
    </xf>
    <xf numFmtId="0" fontId="0" fillId="59" borderId="50" xfId="0" applyFill="1" applyBorder="1" applyAlignment="1">
      <alignment horizontal="left" vertical="center"/>
    </xf>
    <xf numFmtId="0" fontId="0" fillId="59" borderId="49" xfId="0" applyFill="1" applyBorder="1" applyAlignment="1">
      <alignment horizontal="left" vertical="center"/>
    </xf>
    <xf numFmtId="0" fontId="0" fillId="59" borderId="50" xfId="0" applyFill="1" applyBorder="1" applyAlignment="1">
      <alignment horizontal="left" vertical="center" wrapText="1"/>
    </xf>
    <xf numFmtId="0" fontId="0" fillId="59" borderId="48" xfId="0" applyFill="1" applyBorder="1" applyAlignment="1">
      <alignment horizontal="left" vertical="center" wrapText="1"/>
    </xf>
    <xf numFmtId="0" fontId="0" fillId="59" borderId="73" xfId="0" applyFill="1" applyBorder="1" applyAlignment="1">
      <alignment horizontal="left" vertical="center" wrapText="1"/>
    </xf>
    <xf numFmtId="0" fontId="0" fillId="59" borderId="74" xfId="0" applyFill="1" applyBorder="1" applyAlignment="1">
      <alignment horizontal="left" vertical="center" wrapText="1"/>
    </xf>
    <xf numFmtId="0" fontId="16" fillId="59" borderId="26" xfId="0" applyFont="1" applyFill="1" applyBorder="1" applyAlignment="1">
      <alignment horizontal="center" vertical="center" wrapText="1"/>
    </xf>
    <xf numFmtId="0" fontId="16" fillId="59" borderId="0" xfId="0" applyFont="1" applyFill="1" applyBorder="1" applyAlignment="1">
      <alignment horizontal="center" vertical="center" wrapText="1"/>
    </xf>
    <xf numFmtId="0" fontId="0" fillId="64" borderId="41" xfId="0" applyFill="1" applyBorder="1" applyAlignment="1">
      <alignment horizontal="center" vertical="center"/>
    </xf>
    <xf numFmtId="0" fontId="50" fillId="65" borderId="32" xfId="0" applyFont="1" applyFill="1" applyBorder="1" applyAlignment="1">
      <alignment horizontal="center" vertical="center" wrapText="1"/>
    </xf>
    <xf numFmtId="0" fontId="50" fillId="65" borderId="34" xfId="0" applyFont="1" applyFill="1" applyBorder="1" applyAlignment="1">
      <alignment horizontal="center" vertical="center" wrapText="1"/>
    </xf>
    <xf numFmtId="0" fontId="0" fillId="64" borderId="53" xfId="0" applyFill="1" applyBorder="1" applyAlignment="1">
      <alignment horizontal="center" vertical="center"/>
    </xf>
    <xf numFmtId="0" fontId="0" fillId="64" borderId="13" xfId="0" applyFill="1" applyBorder="1" applyAlignment="1">
      <alignment horizontal="center" vertical="center"/>
    </xf>
    <xf numFmtId="10" fontId="0" fillId="64" borderId="11" xfId="1" applyNumberFormat="1" applyFont="1" applyFill="1" applyBorder="1" applyAlignment="1">
      <alignment horizontal="center" vertical="center"/>
    </xf>
    <xf numFmtId="0" fontId="50" fillId="65" borderId="48" xfId="0" applyFont="1" applyFill="1" applyBorder="1" applyAlignment="1">
      <alignment horizontal="center" vertical="center" wrapText="1"/>
    </xf>
    <xf numFmtId="0" fontId="50" fillId="65" borderId="50" xfId="0" applyFont="1" applyFill="1" applyBorder="1" applyAlignment="1">
      <alignment horizontal="center" vertical="center" wrapText="1"/>
    </xf>
    <xf numFmtId="0" fontId="50" fillId="65" borderId="38" xfId="0" applyFont="1" applyFill="1" applyBorder="1" applyAlignment="1">
      <alignment horizontal="center" vertical="center" wrapText="1"/>
    </xf>
    <xf numFmtId="0" fontId="50" fillId="65" borderId="41" xfId="0" applyFont="1" applyFill="1" applyBorder="1" applyAlignment="1">
      <alignment horizontal="center" vertical="center" wrapText="1"/>
    </xf>
    <xf numFmtId="0" fontId="16" fillId="59" borderId="46" xfId="0" applyFont="1" applyFill="1" applyBorder="1" applyAlignment="1">
      <alignment horizontal="center" vertical="center" wrapText="1"/>
    </xf>
    <xf numFmtId="0" fontId="16" fillId="59" borderId="47" xfId="0" applyFont="1" applyFill="1" applyBorder="1" applyAlignment="1">
      <alignment horizontal="center" vertical="center" wrapText="1"/>
    </xf>
    <xf numFmtId="0" fontId="0" fillId="59" borderId="12" xfId="0" applyFill="1" applyBorder="1" applyAlignment="1">
      <alignment horizontal="left" vertical="center" wrapText="1"/>
    </xf>
    <xf numFmtId="0" fontId="0" fillId="59" borderId="59" xfId="0" applyFill="1" applyBorder="1" applyAlignment="1">
      <alignment horizontal="left" vertical="center" wrapText="1"/>
    </xf>
    <xf numFmtId="0" fontId="0" fillId="59" borderId="57" xfId="0" applyFill="1" applyBorder="1" applyAlignment="1">
      <alignment horizontal="left" vertical="center" wrapText="1"/>
    </xf>
    <xf numFmtId="0" fontId="0" fillId="59" borderId="55" xfId="0" applyFill="1" applyBorder="1" applyAlignment="1">
      <alignment horizontal="left" vertical="center" wrapText="1"/>
    </xf>
    <xf numFmtId="0" fontId="13" fillId="65" borderId="70" xfId="0" applyFont="1" applyFill="1" applyBorder="1" applyAlignment="1">
      <alignment horizontal="center" vertical="center"/>
    </xf>
    <xf numFmtId="0" fontId="18" fillId="63" borderId="45" xfId="0" applyFont="1" applyFill="1" applyBorder="1" applyAlignment="1">
      <alignment horizontal="center" vertical="center"/>
    </xf>
    <xf numFmtId="0" fontId="18" fillId="63" borderId="46" xfId="0" applyFont="1" applyFill="1" applyBorder="1" applyAlignment="1">
      <alignment horizontal="center" vertical="center"/>
    </xf>
    <xf numFmtId="0" fontId="18" fillId="63" borderId="47" xfId="0" applyFont="1" applyFill="1" applyBorder="1" applyAlignment="1">
      <alignment horizontal="center" vertical="center"/>
    </xf>
    <xf numFmtId="0" fontId="0" fillId="55" borderId="10" xfId="0" applyFill="1" applyBorder="1" applyAlignment="1">
      <alignment horizontal="center" vertical="center"/>
    </xf>
    <xf numFmtId="0" fontId="0" fillId="55" borderId="71" xfId="0" applyFill="1" applyBorder="1" applyAlignment="1">
      <alignment horizontal="center" vertical="center"/>
    </xf>
    <xf numFmtId="0" fontId="0" fillId="55" borderId="40" xfId="0" applyFill="1" applyBorder="1" applyAlignment="1">
      <alignment horizontal="center" vertical="center"/>
    </xf>
    <xf numFmtId="0" fontId="0" fillId="55" borderId="72" xfId="0" applyFill="1" applyBorder="1" applyAlignment="1">
      <alignment horizontal="center" vertical="center"/>
    </xf>
    <xf numFmtId="0" fontId="0" fillId="63" borderId="13" xfId="0" applyFill="1" applyBorder="1" applyAlignment="1">
      <alignment horizontal="center" vertical="center" wrapText="1"/>
    </xf>
    <xf numFmtId="0" fontId="0" fillId="63" borderId="10" xfId="0" applyFill="1" applyBorder="1" applyAlignment="1">
      <alignment horizontal="center" vertical="center" wrapText="1"/>
    </xf>
    <xf numFmtId="9" fontId="0" fillId="69" borderId="49" xfId="1" applyFont="1" applyFill="1" applyBorder="1" applyAlignment="1">
      <alignment horizontal="center" vertical="center"/>
    </xf>
    <xf numFmtId="9" fontId="0" fillId="70" borderId="49" xfId="1" applyFont="1" applyFill="1" applyBorder="1" applyAlignment="1">
      <alignment horizontal="center" vertical="center"/>
    </xf>
    <xf numFmtId="9" fontId="0" fillId="70" borderId="73" xfId="1" applyFont="1" applyFill="1" applyBorder="1" applyAlignment="1">
      <alignment horizontal="center" vertical="center"/>
    </xf>
    <xf numFmtId="0" fontId="0" fillId="63" borderId="71" xfId="0" applyFill="1" applyBorder="1" applyAlignment="1">
      <alignment horizontal="center" vertical="center" wrapText="1"/>
    </xf>
    <xf numFmtId="1" fontId="0" fillId="55" borderId="13" xfId="0" applyNumberFormat="1" applyFill="1" applyBorder="1" applyAlignment="1">
      <alignment horizontal="center" vertical="center"/>
    </xf>
    <xf numFmtId="1" fontId="0" fillId="55" borderId="10" xfId="0" applyNumberFormat="1" applyFill="1" applyBorder="1" applyAlignment="1">
      <alignment horizontal="center" vertical="center"/>
    </xf>
    <xf numFmtId="0" fontId="0" fillId="55" borderId="13" xfId="0" applyFill="1" applyBorder="1" applyAlignment="1">
      <alignment horizontal="center" vertical="center"/>
    </xf>
    <xf numFmtId="9" fontId="0" fillId="69" borderId="74" xfId="1" applyFont="1" applyFill="1" applyBorder="1" applyAlignment="1">
      <alignment horizontal="center" vertical="center"/>
    </xf>
    <xf numFmtId="9" fontId="0" fillId="70" borderId="74" xfId="1" applyFont="1" applyFill="1" applyBorder="1" applyAlignment="1">
      <alignment horizontal="center" vertical="center"/>
    </xf>
    <xf numFmtId="0" fontId="18" fillId="61" borderId="45" xfId="0" applyFont="1" applyFill="1" applyBorder="1" applyAlignment="1">
      <alignment horizontal="center" vertical="center"/>
    </xf>
    <xf numFmtId="0" fontId="18" fillId="61" borderId="46" xfId="0" applyFont="1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 wrapText="1"/>
    </xf>
    <xf numFmtId="0" fontId="0" fillId="62" borderId="42" xfId="0" applyFill="1" applyBorder="1" applyAlignment="1">
      <alignment horizontal="center" vertical="center" wrapText="1"/>
    </xf>
    <xf numFmtId="0" fontId="18" fillId="62" borderId="38" xfId="0" applyFont="1" applyFill="1" applyBorder="1" applyAlignment="1">
      <alignment horizontal="center" vertical="center"/>
    </xf>
    <xf numFmtId="0" fontId="18" fillId="62" borderId="40" xfId="0" applyFont="1" applyFill="1" applyBorder="1" applyAlignment="1">
      <alignment horizontal="center" vertical="center"/>
    </xf>
    <xf numFmtId="0" fontId="18" fillId="62" borderId="41" xfId="0" applyFont="1" applyFill="1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0" fillId="55" borderId="52" xfId="0" applyFill="1" applyBorder="1" applyAlignment="1">
      <alignment horizontal="center" vertical="center"/>
    </xf>
    <xf numFmtId="0" fontId="0" fillId="55" borderId="42" xfId="0" applyFill="1" applyBorder="1" applyAlignment="1">
      <alignment horizontal="center" vertical="center"/>
    </xf>
    <xf numFmtId="9" fontId="0" fillId="69" borderId="73" xfId="1" applyFont="1" applyFill="1" applyBorder="1" applyAlignment="1">
      <alignment horizontal="center" vertical="center"/>
    </xf>
    <xf numFmtId="9" fontId="0" fillId="69" borderId="50" xfId="1" applyFont="1" applyFill="1" applyBorder="1" applyAlignment="1">
      <alignment horizontal="center" vertical="center"/>
    </xf>
    <xf numFmtId="0" fontId="0" fillId="61" borderId="10" xfId="0" applyFill="1" applyBorder="1" applyAlignment="1">
      <alignment horizontal="center" vertical="center" wrapText="1"/>
    </xf>
    <xf numFmtId="0" fontId="0" fillId="61" borderId="71" xfId="0" applyFill="1" applyBorder="1" applyAlignment="1">
      <alignment horizontal="center" vertical="center" wrapText="1"/>
    </xf>
    <xf numFmtId="0" fontId="0" fillId="55" borderId="53" xfId="0" applyFill="1" applyBorder="1" applyAlignment="1">
      <alignment horizontal="center" vertical="center"/>
    </xf>
    <xf numFmtId="9" fontId="0" fillId="55" borderId="74" xfId="1" applyFont="1" applyFill="1" applyBorder="1" applyAlignment="1">
      <alignment horizontal="center" vertical="center"/>
    </xf>
    <xf numFmtId="9" fontId="0" fillId="55" borderId="49" xfId="1" applyFont="1" applyFill="1" applyBorder="1" applyAlignment="1">
      <alignment horizontal="center" vertical="center"/>
    </xf>
    <xf numFmtId="0" fontId="0" fillId="61" borderId="13" xfId="0" applyFill="1" applyBorder="1" applyAlignment="1">
      <alignment horizontal="center" vertical="center" wrapText="1"/>
    </xf>
    <xf numFmtId="0" fontId="0" fillId="62" borderId="39" xfId="0" applyFill="1" applyBorder="1" applyAlignment="1">
      <alignment horizontal="center" vertical="center" wrapText="1"/>
    </xf>
    <xf numFmtId="0" fontId="0" fillId="66" borderId="39" xfId="0" applyFill="1" applyBorder="1" applyAlignment="1">
      <alignment horizontal="center" vertical="center" wrapText="1"/>
    </xf>
    <xf numFmtId="0" fontId="0" fillId="66" borderId="10" xfId="0" applyFill="1" applyBorder="1" applyAlignment="1">
      <alignment horizontal="center" vertical="center" wrapText="1"/>
    </xf>
    <xf numFmtId="0" fontId="0" fillId="66" borderId="42" xfId="0" applyFill="1" applyBorder="1" applyAlignment="1">
      <alignment horizontal="center" vertical="center" wrapText="1"/>
    </xf>
    <xf numFmtId="0" fontId="0" fillId="66" borderId="71" xfId="0" applyFill="1" applyBorder="1" applyAlignment="1">
      <alignment horizontal="center" vertical="center" wrapText="1"/>
    </xf>
    <xf numFmtId="0" fontId="0" fillId="66" borderId="13" xfId="0" applyFill="1" applyBorder="1" applyAlignment="1">
      <alignment horizontal="center" vertical="center" wrapText="1"/>
    </xf>
    <xf numFmtId="9" fontId="0" fillId="55" borderId="48" xfId="1" applyFont="1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0" fillId="55" borderId="39" xfId="0" applyFill="1" applyBorder="1" applyAlignment="1">
      <alignment horizontal="center" vertical="center"/>
    </xf>
    <xf numFmtId="9" fontId="1" fillId="69" borderId="49" xfId="1" applyFont="1" applyFill="1" applyBorder="1" applyAlignment="1">
      <alignment horizontal="center" vertical="center"/>
    </xf>
    <xf numFmtId="10" fontId="54" fillId="55" borderId="74" xfId="1" applyNumberFormat="1" applyFont="1" applyFill="1" applyBorder="1" applyAlignment="1">
      <alignment horizontal="center" vertical="center"/>
    </xf>
    <xf numFmtId="10" fontId="54" fillId="55" borderId="49" xfId="1" applyNumberFormat="1" applyFont="1" applyFill="1" applyBorder="1" applyAlignment="1">
      <alignment horizontal="center" vertical="center"/>
    </xf>
    <xf numFmtId="170" fontId="0" fillId="55" borderId="10" xfId="0" applyNumberFormat="1" applyFill="1" applyBorder="1" applyAlignment="1">
      <alignment horizontal="center" vertical="center"/>
    </xf>
    <xf numFmtId="169" fontId="0" fillId="55" borderId="49" xfId="1" applyNumberFormat="1" applyFont="1" applyFill="1" applyBorder="1" applyAlignment="1">
      <alignment horizontal="center" vertical="center"/>
    </xf>
    <xf numFmtId="169" fontId="16" fillId="55" borderId="49" xfId="1" applyNumberFormat="1" applyFont="1" applyFill="1" applyBorder="1" applyAlignment="1">
      <alignment horizontal="center" vertical="center"/>
    </xf>
    <xf numFmtId="9" fontId="16" fillId="67" borderId="49" xfId="1" applyFont="1" applyFill="1" applyBorder="1" applyAlignment="1">
      <alignment horizontal="center" vertical="center"/>
    </xf>
    <xf numFmtId="0" fontId="0" fillId="67" borderId="40" xfId="0" applyFill="1" applyBorder="1" applyAlignment="1">
      <alignment horizontal="center" vertical="center"/>
    </xf>
    <xf numFmtId="0" fontId="0" fillId="67" borderId="10" xfId="0" applyFill="1" applyBorder="1" applyAlignment="1">
      <alignment horizontal="center" vertical="center"/>
    </xf>
    <xf numFmtId="169" fontId="0" fillId="55" borderId="48" xfId="1" applyNumberFormat="1" applyFont="1" applyFill="1" applyBorder="1" applyAlignment="1">
      <alignment horizontal="center" vertical="center"/>
    </xf>
    <xf numFmtId="9" fontId="0" fillId="0" borderId="49" xfId="1" applyFont="1" applyFill="1" applyBorder="1" applyAlignment="1">
      <alignment horizontal="center" vertical="center"/>
    </xf>
    <xf numFmtId="0" fontId="50" fillId="65" borderId="67" xfId="0" applyFont="1" applyFill="1" applyBorder="1" applyAlignment="1">
      <alignment horizontal="center" vertical="center" wrapText="1"/>
    </xf>
    <xf numFmtId="0" fontId="50" fillId="65" borderId="68" xfId="0" applyFont="1" applyFill="1" applyBorder="1" applyAlignment="1">
      <alignment horizontal="center" vertical="center" wrapText="1"/>
    </xf>
    <xf numFmtId="0" fontId="50" fillId="65" borderId="69" xfId="0" applyFont="1" applyFill="1" applyBorder="1" applyAlignment="1">
      <alignment horizontal="center" vertical="center" wrapText="1"/>
    </xf>
    <xf numFmtId="0" fontId="18" fillId="66" borderId="38" xfId="0" applyFont="1" applyFill="1" applyBorder="1" applyAlignment="1">
      <alignment horizontal="center" vertical="center"/>
    </xf>
    <xf numFmtId="0" fontId="18" fillId="66" borderId="40" xfId="0" applyFont="1" applyFill="1" applyBorder="1" applyAlignment="1">
      <alignment horizontal="center" vertical="center"/>
    </xf>
    <xf numFmtId="0" fontId="18" fillId="66" borderId="41" xfId="0" applyFont="1" applyFill="1" applyBorder="1" applyAlignment="1">
      <alignment horizontal="center" vertical="center"/>
    </xf>
    <xf numFmtId="9" fontId="45" fillId="70" borderId="48" xfId="1" applyFont="1" applyFill="1" applyBorder="1" applyAlignment="1">
      <alignment horizontal="center" vertical="center"/>
    </xf>
    <xf numFmtId="9" fontId="45" fillId="70" borderId="49" xfId="1" applyFont="1" applyFill="1" applyBorder="1" applyAlignment="1">
      <alignment horizontal="center" vertical="center"/>
    </xf>
    <xf numFmtId="9" fontId="45" fillId="70" borderId="50" xfId="1" applyFont="1" applyFill="1" applyBorder="1" applyAlignment="1">
      <alignment horizontal="center" vertical="center"/>
    </xf>
    <xf numFmtId="3" fontId="48" fillId="58" borderId="39" xfId="0" applyNumberFormat="1" applyFont="1" applyFill="1" applyBorder="1" applyAlignment="1">
      <alignment horizontal="center" vertical="center"/>
    </xf>
    <xf numFmtId="3" fontId="48" fillId="58" borderId="10" xfId="0" applyNumberFormat="1" applyFont="1" applyFill="1" applyBorder="1" applyAlignment="1">
      <alignment horizontal="center" vertical="center"/>
    </xf>
    <xf numFmtId="3" fontId="48" fillId="58" borderId="42" xfId="0" applyNumberFormat="1" applyFont="1" applyFill="1" applyBorder="1" applyAlignment="1">
      <alignment horizontal="center" vertical="center"/>
    </xf>
    <xf numFmtId="9" fontId="16" fillId="70" borderId="48" xfId="1" applyFont="1" applyFill="1" applyBorder="1" applyAlignment="1">
      <alignment horizontal="center" vertical="center"/>
    </xf>
    <xf numFmtId="9" fontId="16" fillId="70" borderId="49" xfId="1" applyFont="1" applyFill="1" applyBorder="1" applyAlignment="1">
      <alignment horizontal="center" vertical="center"/>
    </xf>
    <xf numFmtId="9" fontId="16" fillId="70" borderId="50" xfId="1" applyFont="1" applyFill="1" applyBorder="1" applyAlignment="1">
      <alignment horizontal="center" vertical="center"/>
    </xf>
    <xf numFmtId="9" fontId="45" fillId="69" borderId="65" xfId="1" applyFont="1" applyFill="1" applyBorder="1" applyAlignment="1">
      <alignment horizontal="center" vertical="center"/>
    </xf>
    <xf numFmtId="9" fontId="45" fillId="69" borderId="64" xfId="1" applyFont="1" applyFill="1" applyBorder="1" applyAlignment="1">
      <alignment horizontal="center" vertical="center"/>
    </xf>
    <xf numFmtId="9" fontId="45" fillId="70" borderId="65" xfId="1" applyFont="1" applyFill="1" applyBorder="1" applyAlignment="1">
      <alignment horizontal="center" vertical="center"/>
    </xf>
    <xf numFmtId="9" fontId="45" fillId="70" borderId="64" xfId="1" applyFont="1" applyFill="1" applyBorder="1" applyAlignment="1">
      <alignment horizontal="center" vertical="center"/>
    </xf>
    <xf numFmtId="0" fontId="48" fillId="58" borderId="39" xfId="0" applyNumberFormat="1" applyFont="1" applyFill="1" applyBorder="1" applyAlignment="1">
      <alignment horizontal="center" vertical="center"/>
    </xf>
    <xf numFmtId="0" fontId="48" fillId="58" borderId="42" xfId="0" applyNumberFormat="1" applyFont="1" applyFill="1" applyBorder="1" applyAlignment="1">
      <alignment horizontal="center" vertical="center"/>
    </xf>
    <xf numFmtId="0" fontId="48" fillId="58" borderId="44" xfId="0" applyNumberFormat="1" applyFont="1" applyFill="1" applyBorder="1" applyAlignment="1">
      <alignment horizontal="center" vertical="center"/>
    </xf>
    <xf numFmtId="0" fontId="48" fillId="58" borderId="63" xfId="0" applyNumberFormat="1" applyFont="1" applyFill="1" applyBorder="1" applyAlignment="1">
      <alignment horizontal="center" vertical="center"/>
    </xf>
    <xf numFmtId="0" fontId="45" fillId="60" borderId="45" xfId="0" applyFont="1" applyFill="1" applyBorder="1" applyAlignment="1">
      <alignment horizontal="center" vertical="center"/>
    </xf>
    <xf numFmtId="0" fontId="45" fillId="60" borderId="46" xfId="0" applyFont="1" applyFill="1" applyBorder="1" applyAlignment="1">
      <alignment horizontal="center" vertical="center"/>
    </xf>
    <xf numFmtId="0" fontId="45" fillId="60" borderId="47" xfId="0" applyFont="1" applyFill="1" applyBorder="1" applyAlignment="1">
      <alignment horizontal="center" vertical="center"/>
    </xf>
    <xf numFmtId="3" fontId="48" fillId="60" borderId="44" xfId="0" applyNumberFormat="1" applyFont="1" applyFill="1" applyBorder="1" applyAlignment="1">
      <alignment horizontal="center" vertical="center"/>
    </xf>
    <xf numFmtId="3" fontId="48" fillId="60" borderId="14" xfId="0" applyNumberFormat="1" applyFont="1" applyFill="1" applyBorder="1" applyAlignment="1">
      <alignment horizontal="center" vertical="center"/>
    </xf>
    <xf numFmtId="3" fontId="48" fillId="60" borderId="63" xfId="0" applyNumberFormat="1" applyFont="1" applyFill="1" applyBorder="1" applyAlignment="1">
      <alignment horizontal="center" vertical="center"/>
    </xf>
    <xf numFmtId="0" fontId="48" fillId="60" borderId="44" xfId="841" applyFont="1" applyFill="1" applyBorder="1" applyAlignment="1">
      <alignment horizontal="center" vertical="center"/>
    </xf>
    <xf numFmtId="0" fontId="48" fillId="60" borderId="14" xfId="841" applyFont="1" applyFill="1" applyBorder="1" applyAlignment="1">
      <alignment horizontal="center" vertical="center"/>
    </xf>
    <xf numFmtId="0" fontId="48" fillId="60" borderId="63" xfId="841" applyFont="1" applyFill="1" applyBorder="1" applyAlignment="1">
      <alignment horizontal="center" vertical="center"/>
    </xf>
    <xf numFmtId="0" fontId="48" fillId="58" borderId="10" xfId="0" applyNumberFormat="1" applyFont="1" applyFill="1" applyBorder="1" applyAlignment="1">
      <alignment horizontal="center" vertical="center"/>
    </xf>
    <xf numFmtId="9" fontId="16" fillId="0" borderId="48" xfId="1" applyFont="1" applyFill="1" applyBorder="1" applyAlignment="1">
      <alignment horizontal="center" vertical="center"/>
    </xf>
    <xf numFmtId="9" fontId="16" fillId="0" borderId="49" xfId="1" applyFont="1" applyFill="1" applyBorder="1" applyAlignment="1">
      <alignment horizontal="center" vertical="center"/>
    </xf>
    <xf numFmtId="9" fontId="16" fillId="0" borderId="50" xfId="1" applyFont="1" applyFill="1" applyBorder="1" applyAlignment="1">
      <alignment horizontal="center" vertical="center"/>
    </xf>
    <xf numFmtId="9" fontId="16" fillId="69" borderId="48" xfId="1" applyFont="1" applyFill="1" applyBorder="1" applyAlignment="1">
      <alignment horizontal="center" vertical="center"/>
    </xf>
    <xf numFmtId="9" fontId="16" fillId="69" borderId="49" xfId="1" applyFont="1" applyFill="1" applyBorder="1" applyAlignment="1">
      <alignment horizontal="center" vertical="center"/>
    </xf>
    <xf numFmtId="9" fontId="16" fillId="69" borderId="50" xfId="1" applyFont="1" applyFill="1" applyBorder="1" applyAlignment="1">
      <alignment horizontal="center" vertical="center"/>
    </xf>
    <xf numFmtId="9" fontId="45" fillId="69" borderId="48" xfId="1" applyFont="1" applyFill="1" applyBorder="1" applyAlignment="1">
      <alignment horizontal="center" vertical="center"/>
    </xf>
    <xf numFmtId="9" fontId="45" fillId="69" borderId="49" xfId="1" applyFont="1" applyFill="1" applyBorder="1" applyAlignment="1">
      <alignment horizontal="center" vertical="center"/>
    </xf>
    <xf numFmtId="9" fontId="45" fillId="69" borderId="50" xfId="1" applyFont="1" applyFill="1" applyBorder="1" applyAlignment="1">
      <alignment horizontal="center" vertical="center"/>
    </xf>
    <xf numFmtId="0" fontId="45" fillId="60" borderId="38" xfId="0" applyFont="1" applyFill="1" applyBorder="1" applyAlignment="1">
      <alignment horizontal="center" vertical="center"/>
    </xf>
    <xf numFmtId="0" fontId="45" fillId="60" borderId="40" xfId="0" applyFont="1" applyFill="1" applyBorder="1" applyAlignment="1">
      <alignment horizontal="center" vertical="center"/>
    </xf>
    <xf numFmtId="0" fontId="45" fillId="60" borderId="41" xfId="0" applyFont="1" applyFill="1" applyBorder="1" applyAlignment="1">
      <alignment horizontal="center" vertical="center"/>
    </xf>
    <xf numFmtId="9" fontId="45" fillId="69" borderId="48" xfId="1" applyNumberFormat="1" applyFont="1" applyFill="1" applyBorder="1" applyAlignment="1">
      <alignment horizontal="center" vertical="center"/>
    </xf>
    <xf numFmtId="9" fontId="45" fillId="69" borderId="49" xfId="1" applyNumberFormat="1" applyFont="1" applyFill="1" applyBorder="1" applyAlignment="1">
      <alignment horizontal="center" vertical="center"/>
    </xf>
    <xf numFmtId="9" fontId="45" fillId="69" borderId="50" xfId="1" applyNumberFormat="1" applyFont="1" applyFill="1" applyBorder="1" applyAlignment="1">
      <alignment horizontal="center" vertical="center"/>
    </xf>
    <xf numFmtId="0" fontId="48" fillId="60" borderId="39" xfId="841" applyFont="1" applyFill="1" applyBorder="1" applyAlignment="1">
      <alignment horizontal="center" vertical="center"/>
    </xf>
    <xf numFmtId="0" fontId="48" fillId="60" borderId="10" xfId="841" applyFont="1" applyFill="1" applyBorder="1" applyAlignment="1">
      <alignment horizontal="center" vertical="center"/>
    </xf>
    <xf numFmtId="0" fontId="48" fillId="60" borderId="42" xfId="841" applyFont="1" applyFill="1" applyBorder="1" applyAlignment="1">
      <alignment horizontal="center" vertical="center"/>
    </xf>
    <xf numFmtId="0" fontId="48" fillId="58" borderId="13" xfId="0" applyNumberFormat="1" applyFont="1" applyFill="1" applyBorder="1" applyAlignment="1">
      <alignment horizontal="center" vertical="center"/>
    </xf>
    <xf numFmtId="9" fontId="16" fillId="70" borderId="66" xfId="1" applyFont="1" applyFill="1" applyBorder="1" applyAlignment="1">
      <alignment horizontal="center" vertical="center"/>
    </xf>
    <xf numFmtId="9" fontId="16" fillId="70" borderId="64" xfId="1" applyFont="1" applyFill="1" applyBorder="1" applyAlignment="1">
      <alignment horizontal="center" vertical="center"/>
    </xf>
    <xf numFmtId="3" fontId="48" fillId="60" borderId="39" xfId="0" applyNumberFormat="1" applyFont="1" applyFill="1" applyBorder="1" applyAlignment="1">
      <alignment horizontal="center" vertical="center"/>
    </xf>
    <xf numFmtId="3" fontId="48" fillId="60" borderId="10" xfId="0" applyNumberFormat="1" applyFont="1" applyFill="1" applyBorder="1" applyAlignment="1">
      <alignment horizontal="center" vertical="center"/>
    </xf>
    <xf numFmtId="3" fontId="48" fillId="60" borderId="42" xfId="0" applyNumberFormat="1" applyFont="1" applyFill="1" applyBorder="1" applyAlignment="1">
      <alignment horizontal="center" vertical="center"/>
    </xf>
    <xf numFmtId="0" fontId="48" fillId="58" borderId="14" xfId="0" applyNumberFormat="1" applyFont="1" applyFill="1" applyBorder="1" applyAlignment="1">
      <alignment horizontal="center" vertical="center"/>
    </xf>
    <xf numFmtId="167" fontId="50" fillId="65" borderId="29" xfId="0" applyNumberFormat="1" applyFont="1" applyFill="1" applyBorder="1" applyAlignment="1">
      <alignment horizontal="center"/>
    </xf>
    <xf numFmtId="167" fontId="50" fillId="65" borderId="26" xfId="0" applyNumberFormat="1" applyFont="1" applyFill="1" applyBorder="1" applyAlignment="1">
      <alignment horizontal="center"/>
    </xf>
    <xf numFmtId="167" fontId="50" fillId="65" borderId="27" xfId="0" applyNumberFormat="1" applyFont="1" applyFill="1" applyBorder="1" applyAlignment="1">
      <alignment horizontal="center"/>
    </xf>
    <xf numFmtId="172" fontId="13" fillId="65" borderId="30" xfId="0" applyNumberFormat="1" applyFont="1" applyFill="1" applyBorder="1" applyAlignment="1">
      <alignment horizontal="center"/>
    </xf>
    <xf numFmtId="172" fontId="13" fillId="65" borderId="28" xfId="0" applyNumberFormat="1" applyFont="1" applyFill="1" applyBorder="1" applyAlignment="1">
      <alignment horizontal="center"/>
    </xf>
    <xf numFmtId="172" fontId="13" fillId="65" borderId="31" xfId="0" applyNumberFormat="1" applyFont="1" applyFill="1" applyBorder="1" applyAlignment="1">
      <alignment horizontal="center"/>
    </xf>
    <xf numFmtId="9" fontId="16" fillId="70" borderId="48" xfId="1" applyNumberFormat="1" applyFont="1" applyFill="1" applyBorder="1" applyAlignment="1">
      <alignment horizontal="center" vertical="center"/>
    </xf>
    <xf numFmtId="9" fontId="16" fillId="70" borderId="49" xfId="1" applyNumberFormat="1" applyFont="1" applyFill="1" applyBorder="1" applyAlignment="1">
      <alignment horizontal="center" vertical="center"/>
    </xf>
    <xf numFmtId="9" fontId="16" fillId="70" borderId="50" xfId="1" applyNumberFormat="1" applyFont="1" applyFill="1" applyBorder="1" applyAlignment="1">
      <alignment horizontal="center" vertical="center"/>
    </xf>
    <xf numFmtId="9" fontId="45" fillId="70" borderId="48" xfId="1" applyNumberFormat="1" applyFont="1" applyFill="1" applyBorder="1" applyAlignment="1">
      <alignment horizontal="center" vertical="center"/>
    </xf>
    <xf numFmtId="9" fontId="45" fillId="70" borderId="49" xfId="1" applyNumberFormat="1" applyFont="1" applyFill="1" applyBorder="1" applyAlignment="1">
      <alignment horizontal="center" vertical="center"/>
    </xf>
    <xf numFmtId="9" fontId="45" fillId="70" borderId="50" xfId="1" applyNumberFormat="1" applyFont="1" applyFill="1" applyBorder="1" applyAlignment="1">
      <alignment horizontal="center" vertical="center"/>
    </xf>
    <xf numFmtId="0" fontId="45" fillId="60" borderId="53" xfId="0" applyFont="1" applyFill="1" applyBorder="1" applyAlignment="1">
      <alignment horizontal="center" vertical="center"/>
    </xf>
    <xf numFmtId="3" fontId="48" fillId="60" borderId="13" xfId="0" applyNumberFormat="1" applyFont="1" applyFill="1" applyBorder="1" applyAlignment="1">
      <alignment horizontal="center" vertical="center"/>
    </xf>
    <xf numFmtId="0" fontId="48" fillId="60" borderId="13" xfId="841" applyFont="1" applyFill="1" applyBorder="1" applyAlignment="1">
      <alignment horizontal="center" vertical="center"/>
    </xf>
    <xf numFmtId="9" fontId="45" fillId="69" borderId="74" xfId="1" applyFont="1" applyFill="1" applyBorder="1" applyAlignment="1">
      <alignment horizontal="center" vertical="center"/>
    </xf>
    <xf numFmtId="9" fontId="45" fillId="58" borderId="74" xfId="1" applyFont="1" applyFill="1" applyBorder="1" applyAlignment="1">
      <alignment horizontal="center" vertical="center"/>
    </xf>
    <xf numFmtId="9" fontId="45" fillId="58" borderId="49" xfId="1" applyFont="1" applyFill="1" applyBorder="1" applyAlignment="1">
      <alignment horizontal="center" vertical="center"/>
    </xf>
    <xf numFmtId="9" fontId="45" fillId="58" borderId="50" xfId="1" applyFont="1" applyFill="1" applyBorder="1" applyAlignment="1">
      <alignment horizontal="center" vertical="center"/>
    </xf>
    <xf numFmtId="0" fontId="62" fillId="61" borderId="29" xfId="0" applyFont="1" applyFill="1" applyBorder="1" applyAlignment="1">
      <alignment horizontal="center" vertical="center"/>
    </xf>
    <xf numFmtId="0" fontId="62" fillId="61" borderId="26" xfId="0" applyFont="1" applyFill="1" applyBorder="1" applyAlignment="1">
      <alignment horizontal="center" vertical="center"/>
    </xf>
    <xf numFmtId="0" fontId="62" fillId="61" borderId="27" xfId="0" applyFont="1" applyFill="1" applyBorder="1" applyAlignment="1">
      <alignment horizontal="center" vertical="center"/>
    </xf>
    <xf numFmtId="172" fontId="61" fillId="61" borderId="30" xfId="0" applyNumberFormat="1" applyFont="1" applyFill="1" applyBorder="1" applyAlignment="1">
      <alignment horizontal="center" vertical="top"/>
    </xf>
    <xf numFmtId="172" fontId="61" fillId="61" borderId="28" xfId="0" applyNumberFormat="1" applyFont="1" applyFill="1" applyBorder="1" applyAlignment="1">
      <alignment horizontal="center" vertical="top"/>
    </xf>
    <xf numFmtId="172" fontId="61" fillId="61" borderId="31" xfId="0" applyNumberFormat="1" applyFont="1" applyFill="1" applyBorder="1" applyAlignment="1">
      <alignment horizontal="center" vertical="top"/>
    </xf>
    <xf numFmtId="0" fontId="0" fillId="73" borderId="39" xfId="0" applyFill="1" applyBorder="1" applyAlignment="1">
      <alignment horizontal="center" vertical="center"/>
    </xf>
    <xf numFmtId="0" fontId="0" fillId="73" borderId="4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7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61" borderId="76" xfId="0" applyFont="1" applyFill="1" applyBorder="1" applyAlignment="1">
      <alignment horizontal="center" vertical="center"/>
    </xf>
    <xf numFmtId="0" fontId="61" fillId="61" borderId="0" xfId="0" applyFont="1" applyFill="1" applyBorder="1" applyAlignment="1">
      <alignment horizontal="center" vertical="center"/>
    </xf>
    <xf numFmtId="0" fontId="61" fillId="61" borderId="77" xfId="0" applyFont="1" applyFill="1" applyBorder="1" applyAlignment="1">
      <alignment horizontal="center" vertical="center"/>
    </xf>
    <xf numFmtId="9" fontId="0" fillId="0" borderId="48" xfId="1" applyFont="1" applyFill="1" applyBorder="1" applyAlignment="1">
      <alignment horizontal="center" vertical="center"/>
    </xf>
    <xf numFmtId="9" fontId="0" fillId="0" borderId="50" xfId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9" fontId="0" fillId="0" borderId="65" xfId="1" applyFont="1" applyFill="1" applyBorder="1" applyAlignment="1">
      <alignment horizontal="center" vertical="center"/>
    </xf>
    <xf numFmtId="9" fontId="0" fillId="0" borderId="64" xfId="1" applyFont="1" applyFill="1" applyBorder="1" applyAlignment="1">
      <alignment horizontal="center" vertical="center"/>
    </xf>
    <xf numFmtId="0" fontId="0" fillId="73" borderId="13" xfId="0" applyFill="1" applyBorder="1" applyAlignment="1">
      <alignment horizontal="center" vertical="center"/>
    </xf>
    <xf numFmtId="0" fontId="0" fillId="73" borderId="7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9" fontId="0" fillId="0" borderId="74" xfId="1" applyFont="1" applyFill="1" applyBorder="1" applyAlignment="1">
      <alignment horizontal="center" vertical="center"/>
    </xf>
    <xf numFmtId="9" fontId="0" fillId="0" borderId="73" xfId="1" applyFont="1" applyFill="1" applyBorder="1" applyAlignment="1">
      <alignment horizontal="center" vertical="center"/>
    </xf>
    <xf numFmtId="0" fontId="0" fillId="73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9" fontId="0" fillId="0" borderId="66" xfId="1" applyFont="1" applyFill="1" applyBorder="1" applyAlignment="1">
      <alignment horizontal="center" vertical="center"/>
    </xf>
    <xf numFmtId="0" fontId="62" fillId="63" borderId="29" xfId="0" applyFont="1" applyFill="1" applyBorder="1" applyAlignment="1">
      <alignment horizontal="center" vertical="center"/>
    </xf>
    <xf numFmtId="0" fontId="62" fillId="63" borderId="26" xfId="0" applyFont="1" applyFill="1" applyBorder="1" applyAlignment="1">
      <alignment horizontal="center" vertical="center"/>
    </xf>
    <xf numFmtId="0" fontId="62" fillId="63" borderId="27" xfId="0" applyFont="1" applyFill="1" applyBorder="1" applyAlignment="1">
      <alignment horizontal="center" vertical="center"/>
    </xf>
    <xf numFmtId="0" fontId="61" fillId="63" borderId="76" xfId="0" applyFont="1" applyFill="1" applyBorder="1" applyAlignment="1">
      <alignment horizontal="center" vertical="center"/>
    </xf>
    <xf numFmtId="0" fontId="61" fillId="63" borderId="0" xfId="0" applyFont="1" applyFill="1" applyBorder="1" applyAlignment="1">
      <alignment horizontal="center" vertical="center"/>
    </xf>
    <xf numFmtId="0" fontId="61" fillId="63" borderId="77" xfId="0" applyFont="1" applyFill="1" applyBorder="1" applyAlignment="1">
      <alignment horizontal="center" vertical="center"/>
    </xf>
    <xf numFmtId="172" fontId="61" fillId="63" borderId="30" xfId="0" applyNumberFormat="1" applyFont="1" applyFill="1" applyBorder="1" applyAlignment="1">
      <alignment horizontal="center" vertical="center"/>
    </xf>
    <xf numFmtId="172" fontId="61" fillId="63" borderId="28" xfId="0" applyNumberFormat="1" applyFont="1" applyFill="1" applyBorder="1" applyAlignment="1">
      <alignment horizontal="center" vertical="center"/>
    </xf>
    <xf numFmtId="172" fontId="61" fillId="63" borderId="31" xfId="0" applyNumberFormat="1" applyFont="1" applyFill="1" applyBorder="1" applyAlignment="1">
      <alignment horizontal="center" vertical="center"/>
    </xf>
    <xf numFmtId="0" fontId="16" fillId="72" borderId="67" xfId="0" applyFont="1" applyFill="1" applyBorder="1" applyAlignment="1">
      <alignment horizontal="center" vertical="center"/>
    </xf>
    <xf numFmtId="0" fontId="16" fillId="72" borderId="68" xfId="0" applyFont="1" applyFill="1" applyBorder="1" applyAlignment="1">
      <alignment horizontal="center" vertical="center"/>
    </xf>
    <xf numFmtId="0" fontId="16" fillId="72" borderId="69" xfId="0" applyFont="1" applyFill="1" applyBorder="1" applyAlignment="1">
      <alignment horizontal="center" vertical="center"/>
    </xf>
  </cellXfs>
  <cellStyles count="42114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2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3"/>
    <cellStyle name="Normal_Jurel" xfId="42111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6"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7AF73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rgb="FFFF33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7AF735"/>
      <color rgb="FFD5E9F7"/>
      <color rgb="FFF4F7FA"/>
      <color rgb="FF9966FF"/>
      <color rgb="FF6699FF"/>
      <color rgb="FF6666FF"/>
      <color rgb="FF9900FF"/>
      <color rgb="FFCC00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B1:K33"/>
  <sheetViews>
    <sheetView showGridLines="0" zoomScaleNormal="100" workbookViewId="0">
      <selection activeCell="B4" sqref="B4"/>
    </sheetView>
  </sheetViews>
  <sheetFormatPr baseColWidth="10" defaultColWidth="11.42578125" defaultRowHeight="15"/>
  <cols>
    <col min="1" max="1" width="29.140625" style="45" customWidth="1"/>
    <col min="2" max="2" width="15.85546875" style="45" customWidth="1"/>
    <col min="3" max="3" width="19.28515625" style="45" customWidth="1"/>
    <col min="4" max="5" width="15.5703125" style="45" customWidth="1"/>
    <col min="6" max="6" width="18.140625" style="45" customWidth="1"/>
    <col min="7" max="7" width="14.28515625" style="45" customWidth="1"/>
    <col min="8" max="8" width="11.42578125" style="45"/>
    <col min="9" max="9" width="13" style="45" customWidth="1"/>
    <col min="10" max="11" width="11.42578125" style="45"/>
    <col min="12" max="12" width="95" style="45" customWidth="1"/>
    <col min="13" max="16384" width="11.42578125" style="45"/>
  </cols>
  <sheetData>
    <row r="1" spans="2:11" ht="28.5" customHeight="1" thickBot="1"/>
    <row r="2" spans="2:11" ht="35.1" customHeight="1" thickBot="1">
      <c r="B2" s="280" t="s">
        <v>366</v>
      </c>
      <c r="C2" s="281"/>
      <c r="D2" s="281"/>
      <c r="E2" s="281"/>
      <c r="F2" s="281"/>
      <c r="G2" s="281"/>
      <c r="H2" s="281"/>
      <c r="I2" s="282"/>
    </row>
    <row r="3" spans="2:11" ht="15.75" thickBot="1"/>
    <row r="4" spans="2:11" ht="30.75" thickBot="1">
      <c r="B4" s="48" t="s">
        <v>93</v>
      </c>
      <c r="C4" s="49" t="s">
        <v>92</v>
      </c>
      <c r="D4" s="50" t="s">
        <v>4</v>
      </c>
      <c r="E4" s="50" t="s">
        <v>3</v>
      </c>
      <c r="F4" s="50" t="s">
        <v>132</v>
      </c>
      <c r="G4" s="50" t="s">
        <v>133</v>
      </c>
      <c r="H4" s="50" t="s">
        <v>134</v>
      </c>
      <c r="I4" s="51" t="s">
        <v>135</v>
      </c>
      <c r="J4" s="46"/>
      <c r="K4" s="46"/>
    </row>
    <row r="5" spans="2:11">
      <c r="B5" s="274" t="s">
        <v>99</v>
      </c>
      <c r="C5" s="71" t="s">
        <v>47</v>
      </c>
      <c r="D5" s="8">
        <f>'Cuota Artesanal'!E6+'Cuota Artesanal'!E7</f>
        <v>1290.5</v>
      </c>
      <c r="E5" s="191">
        <f>'Cuota Artesanal'!F6+'Cuota Artesanal'!F7</f>
        <v>0</v>
      </c>
      <c r="F5" s="8">
        <f>D5+E5</f>
        <v>1290.5</v>
      </c>
      <c r="G5" s="8">
        <f>'Cuota Artesanal'!H6+'Cuota Artesanal'!H7</f>
        <v>96.127999999999986</v>
      </c>
      <c r="H5" s="8">
        <f>F5-G5</f>
        <v>1194.3720000000001</v>
      </c>
      <c r="I5" s="88">
        <f>G5/F5</f>
        <v>7.4488957768306843E-2</v>
      </c>
      <c r="J5" s="46"/>
      <c r="K5" s="46"/>
    </row>
    <row r="6" spans="2:11">
      <c r="B6" s="275"/>
      <c r="C6" s="72" t="s">
        <v>48</v>
      </c>
      <c r="D6" s="1">
        <f>'Cuota Artesanal'!E9+'Cuota Artesanal'!E10</f>
        <v>1290.5</v>
      </c>
      <c r="E6" s="192">
        <f>'Cuota Artesanal'!F9+'Cuota Artesanal'!F10</f>
        <v>0</v>
      </c>
      <c r="F6" s="1">
        <f t="shared" ref="F6:F24" si="0">D6+E6</f>
        <v>1290.5</v>
      </c>
      <c r="G6" s="1">
        <f>'Cuota Artesanal'!H9+'Cuota Artesanal'!H10</f>
        <v>142.41900000000001</v>
      </c>
      <c r="H6" s="1">
        <f t="shared" ref="H6:H24" si="1">F6-G6</f>
        <v>1148.0809999999999</v>
      </c>
      <c r="I6" s="89">
        <f t="shared" ref="I6:I24" si="2">G6/F6</f>
        <v>0.11035955056179776</v>
      </c>
      <c r="J6" s="46"/>
      <c r="K6" s="46"/>
    </row>
    <row r="7" spans="2:11">
      <c r="B7" s="275"/>
      <c r="C7" s="73" t="s">
        <v>97</v>
      </c>
      <c r="D7" s="1">
        <f>'Cuota Artesanal'!E12</f>
        <v>150</v>
      </c>
      <c r="E7" s="192">
        <f>'Cuota Artesanal'!F12</f>
        <v>0</v>
      </c>
      <c r="F7" s="1">
        <f t="shared" si="0"/>
        <v>150</v>
      </c>
      <c r="G7" s="1">
        <f>'Cuota Artesanal'!H12</f>
        <v>30.349</v>
      </c>
      <c r="H7" s="1">
        <f t="shared" si="1"/>
        <v>119.651</v>
      </c>
      <c r="I7" s="89">
        <f t="shared" si="2"/>
        <v>0.20232666666666665</v>
      </c>
      <c r="J7" s="46"/>
      <c r="K7" s="46"/>
    </row>
    <row r="8" spans="2:11">
      <c r="B8" s="275"/>
      <c r="C8" s="72" t="s">
        <v>49</v>
      </c>
      <c r="D8" s="1">
        <f>'Cuota Artesanal'!E14+'Cuota Artesanal'!E15+'Cuota Artesanal'!E16+'Cuota Artesanal'!E25</f>
        <v>3476</v>
      </c>
      <c r="E8" s="192">
        <f>'Cuota Artesanal'!F14+'Cuota Artesanal'!F15+'Cuota Artesanal'!F16+'Cuota Artesanal'!F17+'Cuota Artesanal'!F18+'Cuota Artesanal'!F19+'Cuota Artesanal'!F24+'Cuota Artesanal'!F25</f>
        <v>2359.9380000000001</v>
      </c>
      <c r="F8" s="1">
        <f t="shared" si="0"/>
        <v>5835.9380000000001</v>
      </c>
      <c r="G8" s="1">
        <f>'Cuota Artesanal'!H14+'Cuota Artesanal'!H15+'Cuota Artesanal'!H16+'Cuota Artesanal'!H25</f>
        <v>5690.0509999999995</v>
      </c>
      <c r="H8" s="1">
        <f t="shared" si="1"/>
        <v>145.88700000000063</v>
      </c>
      <c r="I8" s="89">
        <f t="shared" si="2"/>
        <v>0.97500196198109013</v>
      </c>
      <c r="J8" s="46"/>
      <c r="K8" s="46"/>
    </row>
    <row r="9" spans="2:11">
      <c r="B9" s="275"/>
      <c r="C9" s="72" t="s">
        <v>89</v>
      </c>
      <c r="D9" s="1">
        <f>'Cuota Artesanal'!E27+'Cuota Artesanal'!E28+'Cuota Artesanal'!E29+'Cuota Artesanal'!E30+'Cuota Artesanal'!E31+'Cuota Artesanal'!E32+'Cuota Artesanal'!E33+'Cuota Artesanal'!E34</f>
        <v>7965</v>
      </c>
      <c r="E9" s="192">
        <f>'Cuota Artesanal'!F27+'Cuota Artesanal'!F28+'Cuota Artesanal'!F29+'Cuota Artesanal'!F30+'Cuota Artesanal'!F31+'Cuota Artesanal'!F32+'Cuota Artesanal'!F33+'Cuota Artesanal'!F34</f>
        <v>-2174.42</v>
      </c>
      <c r="F9" s="1">
        <f t="shared" si="0"/>
        <v>5790.58</v>
      </c>
      <c r="G9" s="1">
        <f>'Cuota Artesanal'!H27+'Cuota Artesanal'!H28+'Cuota Artesanal'!H29+'Cuota Artesanal'!H30+'Cuota Artesanal'!H31+'Cuota Artesanal'!H32+'Cuota Artesanal'!H33+'Cuota Artesanal'!H34</f>
        <v>4217.1459999999997</v>
      </c>
      <c r="H9" s="1">
        <f t="shared" si="1"/>
        <v>1573.4340000000002</v>
      </c>
      <c r="I9" s="89">
        <f t="shared" si="2"/>
        <v>0.72827696016633914</v>
      </c>
      <c r="J9" s="46"/>
      <c r="K9" s="46"/>
    </row>
    <row r="10" spans="2:11">
      <c r="B10" s="275"/>
      <c r="C10" s="72" t="s">
        <v>59</v>
      </c>
      <c r="D10" s="1">
        <f>'Cuota Artesanal'!E36+'Cuota Artesanal'!E37+'Cuota Artesanal'!E38+'Cuota Artesanal'!E39+'Cuota Artesanal'!E40+'Cuota Artesanal'!E41+'Cuota Artesanal'!E42+'Cuota Artesanal'!E43</f>
        <v>3720.0029999999997</v>
      </c>
      <c r="E10" s="192">
        <f>'Cuota Artesanal'!F36+'Cuota Artesanal'!F37+'Cuota Artesanal'!F38+'Cuota Artesanal'!F39+'Cuota Artesanal'!F40+'Cuota Artesanal'!F41+'Cuota Artesanal'!F42+'Cuota Artesanal'!F43</f>
        <v>-2900</v>
      </c>
      <c r="F10" s="1">
        <f t="shared" si="0"/>
        <v>820.0029999999997</v>
      </c>
      <c r="G10" s="1">
        <f>'Cuota Artesanal'!H36+'Cuota Artesanal'!H37+'Cuota Artesanal'!H38+'Cuota Artesanal'!H39+'Cuota Artesanal'!H40+'Cuota Artesanal'!H41+'Cuota Artesanal'!H42+'Cuota Artesanal'!H43</f>
        <v>90.189000000000007</v>
      </c>
      <c r="H10" s="1">
        <f t="shared" si="1"/>
        <v>729.81399999999974</v>
      </c>
      <c r="I10" s="89">
        <f t="shared" si="2"/>
        <v>0.1099861829773794</v>
      </c>
      <c r="J10" s="46"/>
      <c r="K10" s="46"/>
    </row>
    <row r="11" spans="2:11">
      <c r="B11" s="275"/>
      <c r="C11" s="72" t="s">
        <v>90</v>
      </c>
      <c r="D11" s="1">
        <f>'Cuota Artesanal'!E45+'Cuota Artesanal'!E46</f>
        <v>11</v>
      </c>
      <c r="E11" s="192">
        <f>'Cuota Artesanal'!F45+'Cuota Artesanal'!F46</f>
        <v>0</v>
      </c>
      <c r="F11" s="1">
        <f t="shared" si="0"/>
        <v>11</v>
      </c>
      <c r="G11" s="1">
        <f>'Cuota Artesanal'!H45+'Cuota Artesanal'!H46</f>
        <v>0.41</v>
      </c>
      <c r="H11" s="1">
        <f t="shared" si="1"/>
        <v>10.59</v>
      </c>
      <c r="I11" s="89">
        <f t="shared" si="2"/>
        <v>3.727272727272727E-2</v>
      </c>
      <c r="J11" s="46"/>
      <c r="K11" s="46"/>
    </row>
    <row r="12" spans="2:11">
      <c r="B12" s="275"/>
      <c r="C12" s="72" t="s">
        <v>103</v>
      </c>
      <c r="D12" s="1">
        <f>'Cuota Artesanal'!E48+'Cuota Artesanal'!E49</f>
        <v>125</v>
      </c>
      <c r="E12" s="192">
        <f>'Cuota Artesanal'!F48+'Cuota Artesanal'!F49</f>
        <v>0</v>
      </c>
      <c r="F12" s="1">
        <f t="shared" si="0"/>
        <v>125</v>
      </c>
      <c r="G12" s="1">
        <f>'Cuota Artesanal'!H48+'Cuota Artesanal'!H49</f>
        <v>99.401999999999987</v>
      </c>
      <c r="H12" s="1">
        <f t="shared" si="1"/>
        <v>25.598000000000013</v>
      </c>
      <c r="I12" s="89">
        <f t="shared" si="2"/>
        <v>0.79521599999999992</v>
      </c>
      <c r="J12" s="46"/>
      <c r="K12" s="46"/>
    </row>
    <row r="13" spans="2:11">
      <c r="B13" s="275"/>
      <c r="C13" s="72" t="s">
        <v>104</v>
      </c>
      <c r="D13" s="1">
        <f>'Cuota Artesanal'!E51+'Cuota Artesanal'!E52+'Cuota Artesanal'!E53+'Cuota Artesanal'!E64</f>
        <v>8136</v>
      </c>
      <c r="E13" s="192">
        <f>'Cuota Artesanal'!F51+'Cuota Artesanal'!F52+'Cuota Artesanal'!F53+'Cuota Artesanal'!F54+'Cuota Artesanal'!F63+'Cuota Artesanal'!F64</f>
        <v>515.26</v>
      </c>
      <c r="F13" s="1">
        <f t="shared" si="0"/>
        <v>8651.26</v>
      </c>
      <c r="G13" s="1">
        <f>'Cuota Artesanal'!H51+'Cuota Artesanal'!H52+'Cuota Artesanal'!H53+'Cuota Artesanal'!H64</f>
        <v>9256.9920000000002</v>
      </c>
      <c r="H13" s="1">
        <f t="shared" si="1"/>
        <v>-605.73199999999997</v>
      </c>
      <c r="I13" s="89">
        <f t="shared" si="2"/>
        <v>1.0700166218562384</v>
      </c>
      <c r="J13" s="46"/>
      <c r="K13" s="46"/>
    </row>
    <row r="14" spans="2:11">
      <c r="B14" s="275"/>
      <c r="C14" s="72" t="s">
        <v>60</v>
      </c>
      <c r="D14" s="1">
        <f>'Cuota Artesanal'!E66+'Cuota Artesanal'!E67</f>
        <v>42</v>
      </c>
      <c r="E14" s="192">
        <f>'Cuota Artesanal'!F66+'Cuota Artesanal'!F67</f>
        <v>0</v>
      </c>
      <c r="F14" s="1">
        <f t="shared" si="0"/>
        <v>42</v>
      </c>
      <c r="G14" s="1">
        <f>'Cuota Artesanal'!H66+'Cuota Artesanal'!H67</f>
        <v>0.96799999999999997</v>
      </c>
      <c r="H14" s="1">
        <f t="shared" si="1"/>
        <v>41.031999999999996</v>
      </c>
      <c r="I14" s="89">
        <f t="shared" si="2"/>
        <v>2.3047619047619046E-2</v>
      </c>
      <c r="J14" s="46"/>
      <c r="K14" s="46"/>
    </row>
    <row r="15" spans="2:11">
      <c r="B15" s="275"/>
      <c r="C15" s="72" t="s">
        <v>61</v>
      </c>
      <c r="D15" s="1">
        <f>'Cuota Artesanal'!E69+'Cuota Artesanal'!E70</f>
        <v>654</v>
      </c>
      <c r="E15" s="192">
        <f>'Cuota Artesanal'!F69+'Cuota Artesanal'!F70</f>
        <v>0</v>
      </c>
      <c r="F15" s="1">
        <f t="shared" si="0"/>
        <v>654</v>
      </c>
      <c r="G15" s="1">
        <f>'Cuota Artesanal'!H69+'Cuota Artesanal'!H70</f>
        <v>609.29499999999996</v>
      </c>
      <c r="H15" s="1">
        <f t="shared" si="1"/>
        <v>44.705000000000041</v>
      </c>
      <c r="I15" s="89">
        <f t="shared" si="2"/>
        <v>0.93164373088685004</v>
      </c>
      <c r="J15" s="46"/>
      <c r="K15" s="46"/>
    </row>
    <row r="16" spans="2:11">
      <c r="B16" s="275"/>
      <c r="C16" s="72" t="s">
        <v>91</v>
      </c>
      <c r="D16" s="1">
        <f>'Cuota Artesanal'!E72+'Cuota Artesanal'!E73+'Cuota Artesanal'!E74+'Cuota Artesanal'!E75+'Cuota Artesanal'!E76+'Cuota Artesanal'!E77+'Cuota Artesanal'!E78+'Cuota Artesanal'!E79+'Cuota Artesanal'!E80+'Cuota Artesanal'!E81+'Cuota Artesanal'!E82+'Cuota Artesanal'!E83+'Cuota Artesanal'!E84+'Cuota Artesanal'!E85+'Cuota Artesanal'!E88+'Cuota Artesanal'!E89+'Cuota Artesanal'!E90+'Cuota Artesanal'!E91</f>
        <v>6321.0649999999987</v>
      </c>
      <c r="E16" s="192">
        <f>'Cuota Artesanal'!F72+'Cuota Artesanal'!F73+'Cuota Artesanal'!F74+'Cuota Artesanal'!F75+'Cuota Artesanal'!F76+'Cuota Artesanal'!F77+'Cuota Artesanal'!F78+'Cuota Artesanal'!F79+'Cuota Artesanal'!F80+'Cuota Artesanal'!F81+'Cuota Artesanal'!F82+'Cuota Artesanal'!F83+'Cuota Artesanal'!F84+'Cuota Artesanal'!F85+'Cuota Artesanal'!F88+'Cuota Artesanal'!F89+'Cuota Artesanal'!F90+'Cuota Artesanal'!F91</f>
        <v>-6085.7650000000003</v>
      </c>
      <c r="F16" s="1">
        <f t="shared" si="0"/>
        <v>235.29999999999836</v>
      </c>
      <c r="G16" s="1">
        <f>'Cuota Artesanal'!H72+'Cuota Artesanal'!H73+'Cuota Artesanal'!H74+'Cuota Artesanal'!H75+'Cuota Artesanal'!H76+'Cuota Artesanal'!H77+'Cuota Artesanal'!H78+'Cuota Artesanal'!H79+'Cuota Artesanal'!H80+'Cuota Artesanal'!H81+'Cuota Artesanal'!H82+'Cuota Artesanal'!H83+'Cuota Artesanal'!H84+'Cuota Artesanal'!H85+'Cuota Artesanal'!H88+'Cuota Artesanal'!H89+'Cuota Artesanal'!H90+'Cuota Artesanal'!H91</f>
        <v>94.677999999999997</v>
      </c>
      <c r="H16" s="1">
        <f t="shared" si="1"/>
        <v>140.62199999999837</v>
      </c>
      <c r="I16" s="89">
        <f t="shared" si="2"/>
        <v>0.40237144071398495</v>
      </c>
      <c r="J16" s="46"/>
      <c r="K16" s="46"/>
    </row>
    <row r="17" spans="2:11">
      <c r="B17" s="275"/>
      <c r="C17" s="73" t="s">
        <v>98</v>
      </c>
      <c r="D17" s="1">
        <f>'Cuota Artesanal'!E95</f>
        <v>327</v>
      </c>
      <c r="E17" s="192">
        <f>'Cuota Artesanal'!F95</f>
        <v>0</v>
      </c>
      <c r="F17" s="1">
        <f t="shared" si="0"/>
        <v>327</v>
      </c>
      <c r="G17" s="1">
        <f>'Cuota Artesanal'!H95</f>
        <v>15.532999999999999</v>
      </c>
      <c r="H17" s="1">
        <f t="shared" si="1"/>
        <v>311.46699999999998</v>
      </c>
      <c r="I17" s="89">
        <f t="shared" si="2"/>
        <v>4.7501529051987769E-2</v>
      </c>
      <c r="J17" s="46"/>
      <c r="K17" s="46"/>
    </row>
    <row r="18" spans="2:11">
      <c r="B18" s="275"/>
      <c r="C18" s="73" t="s">
        <v>131</v>
      </c>
      <c r="D18" s="1">
        <f>'Cuota Artesanal'!E97</f>
        <v>149</v>
      </c>
      <c r="E18" s="192">
        <f>'Cuota Artesanal'!F97</f>
        <v>0</v>
      </c>
      <c r="F18" s="1">
        <f t="shared" si="0"/>
        <v>149</v>
      </c>
      <c r="G18" s="1">
        <f>'Cuota Artesanal'!H97</f>
        <v>33.488000000000007</v>
      </c>
      <c r="H18" s="1">
        <f t="shared" si="1"/>
        <v>115.512</v>
      </c>
      <c r="I18" s="89">
        <f t="shared" si="2"/>
        <v>0.22475167785234904</v>
      </c>
      <c r="J18" s="46"/>
      <c r="K18" s="46"/>
    </row>
    <row r="19" spans="2:11">
      <c r="B19" s="275"/>
      <c r="C19" s="73" t="s">
        <v>100</v>
      </c>
      <c r="D19" s="1">
        <v>3718</v>
      </c>
      <c r="E19" s="1">
        <f>'Cuota Artesanal'!F14</f>
        <v>1859</v>
      </c>
      <c r="F19" s="1">
        <f t="shared" si="0"/>
        <v>5577</v>
      </c>
      <c r="G19" s="1"/>
      <c r="H19" s="1">
        <f>F19-G19</f>
        <v>5577</v>
      </c>
      <c r="I19" s="89">
        <f t="shared" si="2"/>
        <v>0</v>
      </c>
      <c r="J19" s="46"/>
      <c r="K19" s="46"/>
    </row>
    <row r="20" spans="2:11" ht="15.75" thickBot="1">
      <c r="B20" s="276"/>
      <c r="C20" s="74" t="s">
        <v>101</v>
      </c>
      <c r="D20" s="9">
        <v>3718</v>
      </c>
      <c r="E20" s="9"/>
      <c r="F20" s="9">
        <f t="shared" si="0"/>
        <v>3718</v>
      </c>
      <c r="G20" s="9">
        <f>'Consumo Humano'!D8</f>
        <v>3794.73</v>
      </c>
      <c r="H20" s="9">
        <f t="shared" si="1"/>
        <v>-76.730000000000018</v>
      </c>
      <c r="I20" s="90">
        <f t="shared" si="2"/>
        <v>1.0206374394835933</v>
      </c>
      <c r="J20" s="46"/>
      <c r="K20" s="46"/>
    </row>
    <row r="21" spans="2:11">
      <c r="B21" s="277" t="s">
        <v>94</v>
      </c>
      <c r="C21" s="71" t="s">
        <v>79</v>
      </c>
      <c r="D21" s="10">
        <f>SUM('Cuota Industrial'!E5:E26)</f>
        <v>51884.028999999995</v>
      </c>
      <c r="E21" s="8">
        <f>SUM('Cuota Industrial'!F5:F38)</f>
        <v>-24426.168999999998</v>
      </c>
      <c r="F21" s="8">
        <f t="shared" si="0"/>
        <v>27457.859999999997</v>
      </c>
      <c r="G21" s="8">
        <f>SUM('Cuota Industrial'!H5:H24)</f>
        <v>9573.9549999999999</v>
      </c>
      <c r="H21" s="8">
        <f t="shared" si="1"/>
        <v>17883.904999999999</v>
      </c>
      <c r="I21" s="88">
        <f t="shared" si="2"/>
        <v>0.34867811985347735</v>
      </c>
      <c r="J21" s="46"/>
      <c r="K21" s="46"/>
    </row>
    <row r="22" spans="2:11">
      <c r="B22" s="278"/>
      <c r="C22" s="72" t="s">
        <v>95</v>
      </c>
      <c r="D22" s="2">
        <f>SUM('Cuota Industrial'!E39:E74)</f>
        <v>10949.001999999999</v>
      </c>
      <c r="E22" s="1">
        <f>SUM('Cuota Industrial'!F39:F74)</f>
        <v>-6626.05</v>
      </c>
      <c r="F22" s="1">
        <f t="shared" si="0"/>
        <v>4322.9519999999984</v>
      </c>
      <c r="G22" s="1">
        <f>SUM('Cuota Industrial'!H39:H70)</f>
        <v>748.61900000000003</v>
      </c>
      <c r="H22" s="1">
        <f t="shared" si="1"/>
        <v>3574.3329999999983</v>
      </c>
      <c r="I22" s="89">
        <f t="shared" si="2"/>
        <v>0.17317310023335913</v>
      </c>
      <c r="J22" s="46"/>
      <c r="K22" s="46"/>
    </row>
    <row r="23" spans="2:11">
      <c r="B23" s="278"/>
      <c r="C23" s="72" t="s">
        <v>96</v>
      </c>
      <c r="D23" s="1">
        <f>SUM('Cuota Industrial'!E75:E128)</f>
        <v>232766.128</v>
      </c>
      <c r="E23" s="1">
        <f>SUM('Cuota Industrial'!F75:F132)</f>
        <v>38594.382000000012</v>
      </c>
      <c r="F23" s="1">
        <f t="shared" si="0"/>
        <v>271360.51</v>
      </c>
      <c r="G23" s="1">
        <f>SUM('Cuota Industrial'!H75:H128)</f>
        <v>276006.78200000001</v>
      </c>
      <c r="H23" s="1">
        <f t="shared" si="1"/>
        <v>-4646.2719999999972</v>
      </c>
      <c r="I23" s="89">
        <f t="shared" si="2"/>
        <v>1.0171221376315958</v>
      </c>
      <c r="J23" s="46"/>
      <c r="K23" s="46"/>
    </row>
    <row r="24" spans="2:11" ht="15.75" thickBot="1">
      <c r="B24" s="279"/>
      <c r="C24" s="75" t="s">
        <v>102</v>
      </c>
      <c r="D24" s="11">
        <f>SUM('Cuota Industrial'!E133:E176)</f>
        <v>32708.995999999992</v>
      </c>
      <c r="E24" s="9">
        <f>SUM('Cuota Industrial'!F133:F176)</f>
        <v>5045.9960000000046</v>
      </c>
      <c r="F24" s="9">
        <f t="shared" si="0"/>
        <v>37754.991999999998</v>
      </c>
      <c r="G24" s="9">
        <f>SUM('Cuota Industrial'!H133:H176)</f>
        <v>36715.095000000001</v>
      </c>
      <c r="H24" s="9">
        <f t="shared" si="1"/>
        <v>1039.8969999999972</v>
      </c>
      <c r="I24" s="90">
        <f t="shared" si="2"/>
        <v>0.97245670188461442</v>
      </c>
      <c r="J24" s="46"/>
      <c r="K24" s="46"/>
    </row>
    <row r="25" spans="2:11" hidden="1">
      <c r="B25" s="46"/>
      <c r="C25" s="46"/>
      <c r="D25" s="47">
        <f>SUM(D5:D24)</f>
        <v>369401.22299999994</v>
      </c>
      <c r="E25" s="46">
        <f>SUM(E5:E24)</f>
        <v>6162.1720000000187</v>
      </c>
      <c r="F25" s="46"/>
      <c r="G25" s="46"/>
      <c r="H25" s="46"/>
      <c r="I25" s="87">
        <v>1</v>
      </c>
      <c r="J25" s="46"/>
      <c r="K25" s="46"/>
    </row>
    <row r="26" spans="2:11"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2:11">
      <c r="B27" s="46"/>
      <c r="C27" s="46"/>
      <c r="D27" s="47"/>
      <c r="E27" s="46"/>
      <c r="F27" s="46"/>
      <c r="G27" s="46"/>
      <c r="H27" s="46"/>
      <c r="I27" s="46"/>
      <c r="J27" s="46"/>
      <c r="K27" s="46"/>
    </row>
    <row r="33" ht="63" customHeight="1"/>
  </sheetData>
  <mergeCells count="3">
    <mergeCell ref="B5:B20"/>
    <mergeCell ref="B21:B24"/>
    <mergeCell ref="B2:I2"/>
  </mergeCells>
  <conditionalFormatting sqref="I5:I24">
    <cfRule type="cellIs" dxfId="5" priority="1" operator="greaterThan">
      <formula>0.9</formula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{7051DAA4-5794-45FD-8BE8-7805B7500F0C}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22:G23" formulaRange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1DAA4-5794-45FD-8BE8-7805B7500F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I5:I24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Q99"/>
  <sheetViews>
    <sheetView zoomScale="90" zoomScaleNormal="90" workbookViewId="0">
      <selection activeCell="H86" sqref="H86"/>
    </sheetView>
  </sheetViews>
  <sheetFormatPr baseColWidth="10" defaultColWidth="11.42578125" defaultRowHeight="15"/>
  <cols>
    <col min="1" max="1" width="11.42578125" style="52"/>
    <col min="2" max="2" width="30.28515625" style="52" customWidth="1"/>
    <col min="3" max="3" width="32.7109375" style="52" customWidth="1"/>
    <col min="4" max="5" width="11.42578125" style="52"/>
    <col min="6" max="6" width="25" style="52" customWidth="1"/>
    <col min="7" max="9" width="11.42578125" style="52"/>
    <col min="10" max="10" width="17" style="52" customWidth="1"/>
    <col min="11" max="11" width="13.140625" style="52" customWidth="1"/>
    <col min="12" max="12" width="14.85546875" style="52" customWidth="1"/>
    <col min="13" max="13" width="12.85546875" style="52" customWidth="1"/>
    <col min="14" max="15" width="11.42578125" style="52"/>
    <col min="16" max="16" width="16.5703125" style="52" customWidth="1"/>
    <col min="17" max="17" width="16.42578125" style="52" bestFit="1" customWidth="1"/>
    <col min="18" max="18" width="36.85546875" style="52" customWidth="1"/>
    <col min="19" max="16384" width="11.42578125" style="52"/>
  </cols>
  <sheetData>
    <row r="1" spans="2:17" ht="15.75" thickBot="1"/>
    <row r="2" spans="2:17" ht="35.1" customHeight="1" thickBot="1">
      <c r="B2" s="294" t="s">
        <v>367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6"/>
    </row>
    <row r="3" spans="2:17" ht="42" customHeight="1" thickBot="1"/>
    <row r="4" spans="2:17" ht="16.5" customHeight="1" thickBot="1">
      <c r="B4" s="326" t="s">
        <v>45</v>
      </c>
      <c r="C4" s="324" t="s">
        <v>50</v>
      </c>
      <c r="D4" s="334" t="s">
        <v>105</v>
      </c>
      <c r="E4" s="298"/>
      <c r="F4" s="298"/>
      <c r="G4" s="298"/>
      <c r="H4" s="298"/>
      <c r="I4" s="298"/>
      <c r="J4" s="299"/>
      <c r="K4" s="297" t="s">
        <v>86</v>
      </c>
      <c r="L4" s="298"/>
      <c r="M4" s="298"/>
      <c r="N4" s="298"/>
      <c r="O4" s="298"/>
      <c r="P4" s="299"/>
      <c r="Q4" s="319" t="s">
        <v>130</v>
      </c>
    </row>
    <row r="5" spans="2:17" ht="48" thickBot="1">
      <c r="B5" s="327"/>
      <c r="C5" s="325"/>
      <c r="D5" s="64" t="s">
        <v>6</v>
      </c>
      <c r="E5" s="63" t="s">
        <v>4</v>
      </c>
      <c r="F5" s="63" t="s">
        <v>3</v>
      </c>
      <c r="G5" s="63" t="s">
        <v>2</v>
      </c>
      <c r="H5" s="63" t="s">
        <v>1</v>
      </c>
      <c r="I5" s="63" t="s">
        <v>0</v>
      </c>
      <c r="J5" s="62" t="s">
        <v>5</v>
      </c>
      <c r="K5" s="61" t="s">
        <v>4</v>
      </c>
      <c r="L5" s="63" t="s">
        <v>3</v>
      </c>
      <c r="M5" s="63" t="s">
        <v>2</v>
      </c>
      <c r="N5" s="63" t="s">
        <v>1</v>
      </c>
      <c r="O5" s="63" t="s">
        <v>0</v>
      </c>
      <c r="P5" s="62" t="s">
        <v>5</v>
      </c>
      <c r="Q5" s="320"/>
    </row>
    <row r="6" spans="2:17" ht="27.75" customHeight="1">
      <c r="B6" s="328" t="s">
        <v>78</v>
      </c>
      <c r="C6" s="330" t="s">
        <v>46</v>
      </c>
      <c r="D6" s="15" t="s">
        <v>7</v>
      </c>
      <c r="E6" s="44">
        <v>1225.5</v>
      </c>
      <c r="F6" s="16">
        <v>0</v>
      </c>
      <c r="G6" s="17">
        <f>E6+F6</f>
        <v>1225.5</v>
      </c>
      <c r="H6" s="270">
        <v>87.706999999999994</v>
      </c>
      <c r="I6" s="16">
        <f>G6-H6</f>
        <v>1137.7930000000001</v>
      </c>
      <c r="J6" s="33">
        <f>H6/G6</f>
        <v>7.1568339453284363E-2</v>
      </c>
      <c r="K6" s="321">
        <f>E6+E7</f>
        <v>1290.5</v>
      </c>
      <c r="L6" s="322">
        <f>F6+F7</f>
        <v>0</v>
      </c>
      <c r="M6" s="322">
        <f>K6+L6</f>
        <v>1290.5</v>
      </c>
      <c r="N6" s="322">
        <f>H6+H7</f>
        <v>96.127999999999986</v>
      </c>
      <c r="O6" s="322">
        <f>M6-N6</f>
        <v>1194.3720000000001</v>
      </c>
      <c r="P6" s="323">
        <f>N6/M6</f>
        <v>7.4488957768306843E-2</v>
      </c>
      <c r="Q6" s="113" t="s">
        <v>209</v>
      </c>
    </row>
    <row r="7" spans="2:17" ht="29.25" customHeight="1" thickBot="1">
      <c r="B7" s="329"/>
      <c r="C7" s="331"/>
      <c r="D7" s="13" t="s">
        <v>8</v>
      </c>
      <c r="E7" s="70">
        <v>65</v>
      </c>
      <c r="F7" s="14"/>
      <c r="G7" s="14">
        <f>E7+F7+I6</f>
        <v>1202.7930000000001</v>
      </c>
      <c r="H7" s="268">
        <v>8.4209999999999994</v>
      </c>
      <c r="I7" s="14">
        <f t="shared" ref="I7:I91" si="0">G7-H7</f>
        <v>1194.3720000000001</v>
      </c>
      <c r="J7" s="34">
        <f>H7/G7</f>
        <v>7.0012046960698958E-3</v>
      </c>
      <c r="K7" s="318"/>
      <c r="L7" s="289"/>
      <c r="M7" s="289"/>
      <c r="N7" s="289"/>
      <c r="O7" s="289"/>
      <c r="P7" s="284"/>
      <c r="Q7" s="114" t="s">
        <v>209</v>
      </c>
    </row>
    <row r="8" spans="2:17" ht="15.95" customHeight="1" thickBot="1">
      <c r="B8" s="53"/>
      <c r="C8" s="54"/>
      <c r="D8" s="55"/>
      <c r="E8" s="55"/>
      <c r="F8" s="55"/>
      <c r="G8" s="55"/>
      <c r="H8" s="55"/>
      <c r="I8" s="55"/>
      <c r="J8" s="56"/>
      <c r="K8" s="55"/>
      <c r="P8" s="57"/>
      <c r="Q8" s="94"/>
    </row>
    <row r="9" spans="2:17">
      <c r="B9" s="306" t="s">
        <v>77</v>
      </c>
      <c r="C9" s="332" t="s">
        <v>51</v>
      </c>
      <c r="D9" s="18" t="s">
        <v>7</v>
      </c>
      <c r="E9" s="43">
        <v>1225.5</v>
      </c>
      <c r="F9" s="17"/>
      <c r="G9" s="17">
        <f>E9+F9</f>
        <v>1225.5</v>
      </c>
      <c r="H9" s="267">
        <v>130.78800000000001</v>
      </c>
      <c r="I9" s="17">
        <f>G9-H9</f>
        <v>1094.712</v>
      </c>
      <c r="J9" s="35">
        <f>H9/G9</f>
        <v>0.10672215422276622</v>
      </c>
      <c r="K9" s="285">
        <f>E9+E10</f>
        <v>1290.5</v>
      </c>
      <c r="L9" s="287">
        <f>F9+F10</f>
        <v>0</v>
      </c>
      <c r="M9" s="287">
        <f>K9+L9</f>
        <v>1290.5</v>
      </c>
      <c r="N9" s="287">
        <f>H9+H10</f>
        <v>142.41900000000001</v>
      </c>
      <c r="O9" s="287">
        <f>M9-N9</f>
        <v>1148.0809999999999</v>
      </c>
      <c r="P9" s="292">
        <f>N9/M9</f>
        <v>0.11035955056179776</v>
      </c>
      <c r="Q9" s="115" t="s">
        <v>209</v>
      </c>
    </row>
    <row r="10" spans="2:17" ht="15.75" thickBot="1">
      <c r="B10" s="307"/>
      <c r="C10" s="333"/>
      <c r="D10" s="13" t="s">
        <v>8</v>
      </c>
      <c r="E10" s="70">
        <v>65</v>
      </c>
      <c r="F10" s="14"/>
      <c r="G10" s="14">
        <f>E10+F10+I9</f>
        <v>1159.712</v>
      </c>
      <c r="H10" s="268">
        <v>11.631</v>
      </c>
      <c r="I10" s="14">
        <f>G10-H10</f>
        <v>1148.0809999999999</v>
      </c>
      <c r="J10" s="36">
        <f>H10/G10</f>
        <v>1.0029214149719931E-2</v>
      </c>
      <c r="K10" s="290"/>
      <c r="L10" s="289"/>
      <c r="M10" s="289"/>
      <c r="N10" s="289"/>
      <c r="O10" s="289"/>
      <c r="P10" s="284"/>
      <c r="Q10" s="116" t="s">
        <v>209</v>
      </c>
    </row>
    <row r="11" spans="2:17" ht="15.95" customHeight="1" thickBot="1">
      <c r="B11" s="53"/>
      <c r="C11" s="54"/>
      <c r="D11" s="55"/>
      <c r="E11" s="55"/>
      <c r="F11" s="55"/>
      <c r="G11" s="55"/>
      <c r="H11" s="55"/>
      <c r="I11" s="55"/>
      <c r="J11" s="56"/>
      <c r="K11" s="55"/>
      <c r="P11" s="57"/>
      <c r="Q11" s="94"/>
    </row>
    <row r="12" spans="2:17" ht="15.75" thickBot="1">
      <c r="B12" s="19" t="s">
        <v>79</v>
      </c>
      <c r="C12" s="31" t="s">
        <v>80</v>
      </c>
      <c r="D12" s="23" t="s">
        <v>81</v>
      </c>
      <c r="E12" s="21">
        <v>150</v>
      </c>
      <c r="F12" s="22"/>
      <c r="G12" s="22">
        <f>E12+F12</f>
        <v>150</v>
      </c>
      <c r="H12" s="21">
        <f>0.662+29.687</f>
        <v>30.349</v>
      </c>
      <c r="I12" s="22">
        <f>G12-H12</f>
        <v>119.651</v>
      </c>
      <c r="J12" s="37">
        <f>H12/G12</f>
        <v>0.20232666666666665</v>
      </c>
      <c r="K12" s="40">
        <f>E12</f>
        <v>150</v>
      </c>
      <c r="L12" s="41">
        <f>F12</f>
        <v>0</v>
      </c>
      <c r="M12" s="41">
        <f>K12+L12</f>
        <v>150</v>
      </c>
      <c r="N12" s="41">
        <f>H12</f>
        <v>30.349</v>
      </c>
      <c r="O12" s="41">
        <f>M12-N12</f>
        <v>119.651</v>
      </c>
      <c r="P12" s="42">
        <f>N12/M12</f>
        <v>0.20232666666666665</v>
      </c>
      <c r="Q12" s="117" t="s">
        <v>209</v>
      </c>
    </row>
    <row r="13" spans="2:17" ht="33.950000000000003" customHeight="1" thickBot="1">
      <c r="B13" s="53"/>
      <c r="C13" s="54"/>
      <c r="D13" s="55"/>
      <c r="E13" s="55"/>
      <c r="F13" s="55"/>
      <c r="G13" s="55"/>
      <c r="H13" s="55"/>
      <c r="I13" s="55"/>
      <c r="J13" s="56"/>
      <c r="K13" s="55"/>
      <c r="P13" s="57"/>
      <c r="Q13" s="94"/>
    </row>
    <row r="14" spans="2:17" ht="15.75" thickBot="1">
      <c r="B14" s="306" t="s">
        <v>85</v>
      </c>
      <c r="C14" s="313" t="s">
        <v>51</v>
      </c>
      <c r="D14" s="18" t="s">
        <v>302</v>
      </c>
      <c r="E14" s="243">
        <v>3475</v>
      </c>
      <c r="F14" s="267">
        <f>1859</f>
        <v>1859</v>
      </c>
      <c r="G14" s="17">
        <f>E14+F14</f>
        <v>5334</v>
      </c>
      <c r="H14" s="267">
        <v>3668.4789999999998</v>
      </c>
      <c r="I14" s="255">
        <f>G14-H14</f>
        <v>1665.5210000000002</v>
      </c>
      <c r="J14" s="35">
        <f>H14/G14</f>
        <v>0.68775384326959121</v>
      </c>
      <c r="K14" s="285">
        <f>E14+E15</f>
        <v>3476</v>
      </c>
      <c r="L14" s="287">
        <f>F14+F15</f>
        <v>1859</v>
      </c>
      <c r="M14" s="287">
        <f>K14+L14</f>
        <v>5335</v>
      </c>
      <c r="N14" s="287">
        <f>H14+H15</f>
        <v>5452.7669999999998</v>
      </c>
      <c r="O14" s="287">
        <f>M14-N14</f>
        <v>-117.76699999999983</v>
      </c>
      <c r="P14" s="300">
        <f>N14/M14</f>
        <v>1.0220744142455482</v>
      </c>
      <c r="Q14" s="115" t="s">
        <v>209</v>
      </c>
    </row>
    <row r="15" spans="2:17">
      <c r="B15" s="308"/>
      <c r="C15" s="291"/>
      <c r="D15" s="12" t="s">
        <v>303</v>
      </c>
      <c r="E15" s="249">
        <v>1</v>
      </c>
      <c r="F15" s="269"/>
      <c r="G15" s="189">
        <f>E15+F15+I14</f>
        <v>1666.5210000000002</v>
      </c>
      <c r="H15" s="269">
        <v>1784.288</v>
      </c>
      <c r="I15" s="256">
        <f>G15-H15</f>
        <v>-117.76699999999983</v>
      </c>
      <c r="J15" s="38">
        <f t="shared" ref="J15:J23" si="1">H15/G15</f>
        <v>1.0706663762412834</v>
      </c>
      <c r="K15" s="286"/>
      <c r="L15" s="288"/>
      <c r="M15" s="288"/>
      <c r="N15" s="288"/>
      <c r="O15" s="288"/>
      <c r="P15" s="293"/>
      <c r="Q15" s="119">
        <v>43459</v>
      </c>
    </row>
    <row r="16" spans="2:17">
      <c r="B16" s="308"/>
      <c r="C16" s="291" t="s">
        <v>52</v>
      </c>
      <c r="D16" s="12" t="s">
        <v>7</v>
      </c>
      <c r="E16" s="249">
        <v>0</v>
      </c>
      <c r="F16" s="269">
        <f>65.705+435.233</f>
        <v>500.93799999999999</v>
      </c>
      <c r="G16" s="189">
        <f>E16+F16</f>
        <v>500.93799999999999</v>
      </c>
      <c r="H16" s="269">
        <f>'Cesiones Cuota Individual'!H7+'Cesiones Cuota Individual'!H8</f>
        <v>237.28399999999999</v>
      </c>
      <c r="I16" s="256">
        <f t="shared" si="0"/>
        <v>263.654</v>
      </c>
      <c r="J16" s="38">
        <f>H16/G16</f>
        <v>0.47367937748783284</v>
      </c>
      <c r="K16" s="286">
        <f>E16+E17</f>
        <v>0</v>
      </c>
      <c r="L16" s="288">
        <f>F16+F17</f>
        <v>500.93799999999999</v>
      </c>
      <c r="M16" s="288">
        <f>K16+L16</f>
        <v>500.93799999999999</v>
      </c>
      <c r="N16" s="288">
        <f>H16+H17</f>
        <v>237.28399999999999</v>
      </c>
      <c r="O16" s="288">
        <f>M16-N16</f>
        <v>263.654</v>
      </c>
      <c r="P16" s="293">
        <f>N16/M16</f>
        <v>0.47367937748783284</v>
      </c>
      <c r="Q16" s="118" t="s">
        <v>209</v>
      </c>
    </row>
    <row r="17" spans="2:17">
      <c r="B17" s="308"/>
      <c r="C17" s="291"/>
      <c r="D17" s="12" t="s">
        <v>8</v>
      </c>
      <c r="E17" s="249">
        <v>0</v>
      </c>
      <c r="F17" s="269"/>
      <c r="G17" s="189">
        <f>E17+F17+I16</f>
        <v>263.654</v>
      </c>
      <c r="H17" s="269"/>
      <c r="I17" s="256">
        <f t="shared" si="0"/>
        <v>263.654</v>
      </c>
      <c r="J17" s="38">
        <f t="shared" si="1"/>
        <v>0</v>
      </c>
      <c r="K17" s="286"/>
      <c r="L17" s="288"/>
      <c r="M17" s="288"/>
      <c r="N17" s="288"/>
      <c r="O17" s="288"/>
      <c r="P17" s="293"/>
      <c r="Q17" s="118" t="s">
        <v>209</v>
      </c>
    </row>
    <row r="18" spans="2:17">
      <c r="B18" s="308"/>
      <c r="C18" s="291" t="s">
        <v>52</v>
      </c>
      <c r="D18" s="12" t="s">
        <v>7</v>
      </c>
      <c r="E18" s="249">
        <v>0</v>
      </c>
      <c r="F18" s="269">
        <f>3000-3000</f>
        <v>0</v>
      </c>
      <c r="G18" s="189">
        <f>E18+F18</f>
        <v>0</v>
      </c>
      <c r="H18" s="269">
        <f>'Cesiones Cuota Individual'!H14:H31</f>
        <v>0</v>
      </c>
      <c r="I18" s="256">
        <f t="shared" ref="I18:I22" si="2">G18-H18</f>
        <v>0</v>
      </c>
      <c r="J18" s="38">
        <v>0</v>
      </c>
      <c r="K18" s="286">
        <f>E18+E19</f>
        <v>0</v>
      </c>
      <c r="L18" s="288">
        <f>F18+F19</f>
        <v>0</v>
      </c>
      <c r="M18" s="288">
        <f>K18+L18</f>
        <v>0</v>
      </c>
      <c r="N18" s="288">
        <f>H18+H19</f>
        <v>0</v>
      </c>
      <c r="O18" s="288">
        <f>M18-N18</f>
        <v>0</v>
      </c>
      <c r="P18" s="293">
        <v>0</v>
      </c>
      <c r="Q18" s="118" t="s">
        <v>209</v>
      </c>
    </row>
    <row r="19" spans="2:17">
      <c r="B19" s="308"/>
      <c r="C19" s="291"/>
      <c r="D19" s="12" t="s">
        <v>8</v>
      </c>
      <c r="E19" s="249">
        <v>0</v>
      </c>
      <c r="F19" s="269"/>
      <c r="G19" s="189">
        <f>E19+F19+I18</f>
        <v>0</v>
      </c>
      <c r="H19" s="269"/>
      <c r="I19" s="256">
        <f t="shared" si="2"/>
        <v>0</v>
      </c>
      <c r="J19" s="38">
        <v>0</v>
      </c>
      <c r="K19" s="286"/>
      <c r="L19" s="288"/>
      <c r="M19" s="288"/>
      <c r="N19" s="288"/>
      <c r="O19" s="288"/>
      <c r="P19" s="293"/>
      <c r="Q19" s="118" t="s">
        <v>209</v>
      </c>
    </row>
    <row r="20" spans="2:17">
      <c r="B20" s="308"/>
      <c r="C20" s="291" t="s">
        <v>52</v>
      </c>
      <c r="D20" s="12" t="s">
        <v>7</v>
      </c>
      <c r="E20" s="249">
        <v>0</v>
      </c>
      <c r="F20" s="269">
        <f>3000-3000</f>
        <v>0</v>
      </c>
      <c r="G20" s="189">
        <f>E20+F20</f>
        <v>0</v>
      </c>
      <c r="H20" s="269">
        <f>SUM('Cesiones Cuota Individual'!H34:H56)</f>
        <v>0</v>
      </c>
      <c r="I20" s="256">
        <f t="shared" si="2"/>
        <v>0</v>
      </c>
      <c r="J20" s="38">
        <v>0</v>
      </c>
      <c r="K20" s="286">
        <f>E20+E21</f>
        <v>0</v>
      </c>
      <c r="L20" s="288">
        <f>F20+F21</f>
        <v>0</v>
      </c>
      <c r="M20" s="288">
        <f>K20+L20</f>
        <v>0</v>
      </c>
      <c r="N20" s="288">
        <f>H20+H21</f>
        <v>0</v>
      </c>
      <c r="O20" s="288">
        <f>M20-N20</f>
        <v>0</v>
      </c>
      <c r="P20" s="293">
        <v>0</v>
      </c>
      <c r="Q20" s="118" t="s">
        <v>209</v>
      </c>
    </row>
    <row r="21" spans="2:17">
      <c r="B21" s="308"/>
      <c r="C21" s="291"/>
      <c r="D21" s="12" t="s">
        <v>8</v>
      </c>
      <c r="E21" s="249">
        <v>0</v>
      </c>
      <c r="F21" s="269"/>
      <c r="G21" s="189">
        <f>E21+F21+I20</f>
        <v>0</v>
      </c>
      <c r="H21" s="269"/>
      <c r="I21" s="256">
        <f t="shared" si="2"/>
        <v>0</v>
      </c>
      <c r="J21" s="38">
        <v>0</v>
      </c>
      <c r="K21" s="286"/>
      <c r="L21" s="288"/>
      <c r="M21" s="288"/>
      <c r="N21" s="288"/>
      <c r="O21" s="288"/>
      <c r="P21" s="293"/>
      <c r="Q21" s="118" t="s">
        <v>209</v>
      </c>
    </row>
    <row r="22" spans="2:17">
      <c r="B22" s="308"/>
      <c r="C22" s="291" t="s">
        <v>52</v>
      </c>
      <c r="D22" s="12" t="s">
        <v>7</v>
      </c>
      <c r="E22" s="249">
        <v>0</v>
      </c>
      <c r="F22" s="269"/>
      <c r="G22" s="189">
        <f>E22+F22</f>
        <v>0</v>
      </c>
      <c r="H22" s="269"/>
      <c r="I22" s="256">
        <f t="shared" si="2"/>
        <v>0</v>
      </c>
      <c r="J22" s="38">
        <v>0</v>
      </c>
      <c r="K22" s="286">
        <f>E22+E23</f>
        <v>0</v>
      </c>
      <c r="L22" s="288">
        <f>F22+F23</f>
        <v>2000</v>
      </c>
      <c r="M22" s="288">
        <f>K22+L22</f>
        <v>2000</v>
      </c>
      <c r="N22" s="288">
        <f>H22+H23</f>
        <v>587.86599999999999</v>
      </c>
      <c r="O22" s="288">
        <f>M22-N22</f>
        <v>1412.134</v>
      </c>
      <c r="P22" s="293">
        <v>0</v>
      </c>
      <c r="Q22" s="118" t="s">
        <v>209</v>
      </c>
    </row>
    <row r="23" spans="2:17">
      <c r="B23" s="308"/>
      <c r="C23" s="291"/>
      <c r="D23" s="12" t="s">
        <v>8</v>
      </c>
      <c r="E23" s="249">
        <v>0</v>
      </c>
      <c r="F23" s="269">
        <f>2000</f>
        <v>2000</v>
      </c>
      <c r="G23" s="189">
        <f>E23+F23+I22</f>
        <v>2000</v>
      </c>
      <c r="H23" s="269">
        <f>SUM('Cesiones Cuota Individual'!H63:H87)</f>
        <v>587.86599999999999</v>
      </c>
      <c r="I23" s="256">
        <f>G23-H23</f>
        <v>1412.134</v>
      </c>
      <c r="J23" s="38">
        <f t="shared" si="1"/>
        <v>0.293933</v>
      </c>
      <c r="K23" s="286"/>
      <c r="L23" s="288"/>
      <c r="M23" s="288"/>
      <c r="N23" s="288"/>
      <c r="O23" s="288"/>
      <c r="P23" s="293"/>
      <c r="Q23" s="118" t="s">
        <v>209</v>
      </c>
    </row>
    <row r="24" spans="2:17">
      <c r="B24" s="308"/>
      <c r="C24" s="291" t="s">
        <v>52</v>
      </c>
      <c r="D24" s="12" t="s">
        <v>7</v>
      </c>
      <c r="E24" s="249">
        <v>0</v>
      </c>
      <c r="F24" s="269">
        <f>1000-1000</f>
        <v>0</v>
      </c>
      <c r="G24" s="189">
        <f>E24+F24</f>
        <v>0</v>
      </c>
      <c r="H24" s="269">
        <f>'Cesiones Cuota Individual'!H9+'Cesiones Cuota Individual'!H10+'Cesiones Cuota Individual'!H11+'Cesiones Cuota Individual'!H12+'Cesiones Cuota Individual'!H13</f>
        <v>0</v>
      </c>
      <c r="I24" s="256">
        <f t="shared" si="0"/>
        <v>0</v>
      </c>
      <c r="J24" s="38">
        <v>0</v>
      </c>
      <c r="K24" s="286">
        <f>E24+E25</f>
        <v>0</v>
      </c>
      <c r="L24" s="288">
        <f>F24+F25</f>
        <v>0</v>
      </c>
      <c r="M24" s="288">
        <f>K24+L24</f>
        <v>0</v>
      </c>
      <c r="N24" s="288">
        <f>H24+H25</f>
        <v>0</v>
      </c>
      <c r="O24" s="288">
        <f>M24-N24</f>
        <v>0</v>
      </c>
      <c r="P24" s="293">
        <v>0</v>
      </c>
      <c r="Q24" s="118" t="s">
        <v>209</v>
      </c>
    </row>
    <row r="25" spans="2:17" ht="15.75" thickBot="1">
      <c r="B25" s="307"/>
      <c r="C25" s="312"/>
      <c r="D25" s="13" t="s">
        <v>8</v>
      </c>
      <c r="E25" s="190">
        <v>0</v>
      </c>
      <c r="F25" s="268"/>
      <c r="G25" s="190">
        <f>E25+F25+I24</f>
        <v>0</v>
      </c>
      <c r="H25" s="244"/>
      <c r="I25" s="190">
        <f t="shared" si="0"/>
        <v>0</v>
      </c>
      <c r="J25" s="257">
        <v>0</v>
      </c>
      <c r="K25" s="290"/>
      <c r="L25" s="289"/>
      <c r="M25" s="289"/>
      <c r="N25" s="289"/>
      <c r="O25" s="289"/>
      <c r="P25" s="303"/>
      <c r="Q25" s="116" t="s">
        <v>209</v>
      </c>
    </row>
    <row r="26" spans="2:17" ht="15.75" customHeight="1" thickBot="1">
      <c r="B26" s="58"/>
      <c r="C26" s="54"/>
      <c r="D26" s="55"/>
      <c r="E26" s="55"/>
      <c r="F26" s="55"/>
      <c r="G26" s="55"/>
      <c r="H26" s="55"/>
      <c r="I26" s="55"/>
      <c r="J26" s="56"/>
      <c r="K26" s="55"/>
      <c r="P26" s="57"/>
      <c r="Q26" s="94"/>
    </row>
    <row r="27" spans="2:17">
      <c r="B27" s="306" t="s">
        <v>76</v>
      </c>
      <c r="C27" s="313" t="s">
        <v>53</v>
      </c>
      <c r="D27" s="18" t="s">
        <v>302</v>
      </c>
      <c r="E27" s="17">
        <v>1115.575</v>
      </c>
      <c r="F27" s="17"/>
      <c r="G27" s="17">
        <f>E27+F27</f>
        <v>1115.575</v>
      </c>
      <c r="H27" s="267">
        <v>384.23200000000003</v>
      </c>
      <c r="I27" s="17">
        <f t="shared" si="0"/>
        <v>731.34300000000007</v>
      </c>
      <c r="J27" s="35">
        <f>H27/G27</f>
        <v>0.34442507227214664</v>
      </c>
      <c r="K27" s="285">
        <f>E27+E28</f>
        <v>1174.251</v>
      </c>
      <c r="L27" s="287">
        <f>F27+F28</f>
        <v>0</v>
      </c>
      <c r="M27" s="287">
        <f>K27+L27</f>
        <v>1174.251</v>
      </c>
      <c r="N27" s="287">
        <f>H27+H28</f>
        <v>487.827</v>
      </c>
      <c r="O27" s="287">
        <f>M27-N27</f>
        <v>686.42399999999998</v>
      </c>
      <c r="P27" s="292">
        <f>N27/M27</f>
        <v>0.41543673371366091</v>
      </c>
      <c r="Q27" s="115" t="s">
        <v>209</v>
      </c>
    </row>
    <row r="28" spans="2:17">
      <c r="B28" s="308"/>
      <c r="C28" s="291"/>
      <c r="D28" s="12" t="s">
        <v>303</v>
      </c>
      <c r="E28" s="162">
        <v>58.676000000000002</v>
      </c>
      <c r="F28" s="162"/>
      <c r="G28" s="162">
        <f>E28+F28+I27</f>
        <v>790.01900000000012</v>
      </c>
      <c r="H28" s="269">
        <v>103.595</v>
      </c>
      <c r="I28" s="162">
        <f t="shared" si="0"/>
        <v>686.42400000000009</v>
      </c>
      <c r="J28" s="38">
        <f>H28/G28</f>
        <v>0.13112975763874032</v>
      </c>
      <c r="K28" s="286"/>
      <c r="L28" s="288"/>
      <c r="M28" s="288"/>
      <c r="N28" s="288"/>
      <c r="O28" s="288"/>
      <c r="P28" s="283"/>
      <c r="Q28" s="118" t="s">
        <v>209</v>
      </c>
    </row>
    <row r="29" spans="2:17">
      <c r="B29" s="308"/>
      <c r="C29" s="291" t="s">
        <v>54</v>
      </c>
      <c r="D29" s="12" t="s">
        <v>302</v>
      </c>
      <c r="E29" s="162">
        <v>5394.7809999999999</v>
      </c>
      <c r="F29" s="269">
        <f>-2500</f>
        <v>-2500</v>
      </c>
      <c r="G29" s="162">
        <f>E29+F29</f>
        <v>2894.7809999999999</v>
      </c>
      <c r="H29" s="269">
        <v>2382.873</v>
      </c>
      <c r="I29" s="162">
        <f t="shared" si="0"/>
        <v>511.9079999999999</v>
      </c>
      <c r="J29" s="38">
        <f>H29/G29</f>
        <v>0.82316175213254472</v>
      </c>
      <c r="K29" s="286">
        <f>E29+E30</f>
        <v>5395.7809999999999</v>
      </c>
      <c r="L29" s="288">
        <f>F29+F30</f>
        <v>-2500</v>
      </c>
      <c r="M29" s="288">
        <f>K29+L29</f>
        <v>2895.7809999999999</v>
      </c>
      <c r="N29" s="288">
        <f>H29+H30</f>
        <v>2392.7080000000001</v>
      </c>
      <c r="O29" s="288">
        <f>M29-N29</f>
        <v>503.07299999999987</v>
      </c>
      <c r="P29" s="283">
        <f>N29/M29</f>
        <v>0.82627381007058209</v>
      </c>
      <c r="Q29" s="118" t="s">
        <v>209</v>
      </c>
    </row>
    <row r="30" spans="2:17">
      <c r="B30" s="308"/>
      <c r="C30" s="291"/>
      <c r="D30" s="12" t="s">
        <v>303</v>
      </c>
      <c r="E30" s="162">
        <v>1</v>
      </c>
      <c r="F30" s="162"/>
      <c r="G30" s="162">
        <f>E30+F30+I29</f>
        <v>512.9079999999999</v>
      </c>
      <c r="H30" s="269">
        <v>9.8350000000000009</v>
      </c>
      <c r="I30" s="162">
        <f t="shared" si="0"/>
        <v>503.07299999999992</v>
      </c>
      <c r="J30" s="38">
        <f>H30/G30</f>
        <v>1.917497874862549E-2</v>
      </c>
      <c r="K30" s="286"/>
      <c r="L30" s="288"/>
      <c r="M30" s="288"/>
      <c r="N30" s="288"/>
      <c r="O30" s="288"/>
      <c r="P30" s="283"/>
      <c r="Q30" s="118" t="s">
        <v>209</v>
      </c>
    </row>
    <row r="31" spans="2:17">
      <c r="B31" s="308"/>
      <c r="C31" s="291" t="s">
        <v>55</v>
      </c>
      <c r="D31" s="12" t="s">
        <v>302</v>
      </c>
      <c r="E31" s="20">
        <v>1325.2639999999999</v>
      </c>
      <c r="F31" s="162"/>
      <c r="G31" s="162">
        <f>E31+F31</f>
        <v>1325.2639999999999</v>
      </c>
      <c r="H31" s="269">
        <v>1261.0640000000001</v>
      </c>
      <c r="I31" s="162">
        <f t="shared" si="0"/>
        <v>64.199999999999818</v>
      </c>
      <c r="J31" s="38">
        <f>H31/G31</f>
        <v>0.9515568218860545</v>
      </c>
      <c r="K31" s="286">
        <f>E31+E32</f>
        <v>1394.9679999999998</v>
      </c>
      <c r="L31" s="288">
        <f>F31+F32</f>
        <v>325.58</v>
      </c>
      <c r="M31" s="288">
        <f>K31+L31</f>
        <v>1720.5479999999998</v>
      </c>
      <c r="N31" s="288">
        <f>H31+H32</f>
        <v>1336.6110000000001</v>
      </c>
      <c r="O31" s="288">
        <f>M31-N31</f>
        <v>383.93699999999967</v>
      </c>
      <c r="P31" s="283">
        <f>N31/M31</f>
        <v>0.77685190997286924</v>
      </c>
      <c r="Q31" s="118" t="s">
        <v>209</v>
      </c>
    </row>
    <row r="32" spans="2:17">
      <c r="B32" s="308"/>
      <c r="C32" s="291"/>
      <c r="D32" s="12" t="s">
        <v>303</v>
      </c>
      <c r="E32" s="20">
        <v>69.703999999999994</v>
      </c>
      <c r="F32" s="162">
        <f>325.58</f>
        <v>325.58</v>
      </c>
      <c r="G32" s="162">
        <f>E32+F32+I31</f>
        <v>459.48399999999981</v>
      </c>
      <c r="H32" s="269">
        <v>75.546999999999997</v>
      </c>
      <c r="I32" s="162">
        <f t="shared" si="0"/>
        <v>383.93699999999978</v>
      </c>
      <c r="J32" s="38">
        <f t="shared" ref="J32:J38" si="3">H32/G32</f>
        <v>0.16441704172506558</v>
      </c>
      <c r="K32" s="286"/>
      <c r="L32" s="288"/>
      <c r="M32" s="288"/>
      <c r="N32" s="288"/>
      <c r="O32" s="288"/>
      <c r="P32" s="283"/>
      <c r="Q32" s="118" t="s">
        <v>209</v>
      </c>
    </row>
    <row r="33" spans="2:17">
      <c r="B33" s="308"/>
      <c r="C33" s="291" t="s">
        <v>52</v>
      </c>
      <c r="D33" s="12" t="s">
        <v>302</v>
      </c>
      <c r="E33" s="162">
        <v>0</v>
      </c>
      <c r="F33" s="162"/>
      <c r="G33" s="162">
        <f>E33+F33</f>
        <v>0</v>
      </c>
      <c r="H33" s="269"/>
      <c r="I33" s="162">
        <f t="shared" si="0"/>
        <v>0</v>
      </c>
      <c r="J33" s="38">
        <v>0</v>
      </c>
      <c r="K33" s="286">
        <f>E33+E34</f>
        <v>0</v>
      </c>
      <c r="L33" s="288">
        <f>F33+F34</f>
        <v>0</v>
      </c>
      <c r="M33" s="288">
        <f>K33+L33</f>
        <v>0</v>
      </c>
      <c r="N33" s="288">
        <f>H33+H34</f>
        <v>0</v>
      </c>
      <c r="O33" s="288">
        <f>M33-N33</f>
        <v>0</v>
      </c>
      <c r="P33" s="283">
        <v>0</v>
      </c>
      <c r="Q33" s="118" t="s">
        <v>209</v>
      </c>
    </row>
    <row r="34" spans="2:17" ht="15.75" thickBot="1">
      <c r="B34" s="307"/>
      <c r="C34" s="312"/>
      <c r="D34" s="13" t="s">
        <v>303</v>
      </c>
      <c r="E34" s="14">
        <v>0</v>
      </c>
      <c r="F34" s="14"/>
      <c r="G34" s="14">
        <f>E34+F34+I33</f>
        <v>0</v>
      </c>
      <c r="H34" s="268"/>
      <c r="I34" s="14">
        <f t="shared" si="0"/>
        <v>0</v>
      </c>
      <c r="J34" s="36">
        <v>0</v>
      </c>
      <c r="K34" s="290"/>
      <c r="L34" s="289"/>
      <c r="M34" s="289"/>
      <c r="N34" s="289"/>
      <c r="O34" s="289"/>
      <c r="P34" s="284"/>
      <c r="Q34" s="116" t="s">
        <v>209</v>
      </c>
    </row>
    <row r="35" spans="2:17" ht="15.75" thickBot="1">
      <c r="B35" s="53"/>
      <c r="C35" s="54"/>
      <c r="D35" s="55"/>
      <c r="E35" s="55"/>
      <c r="F35" s="55"/>
      <c r="G35" s="55"/>
      <c r="H35" s="55"/>
      <c r="I35" s="55"/>
      <c r="J35" s="56"/>
      <c r="K35" s="55"/>
      <c r="P35" s="57"/>
      <c r="Q35" s="94"/>
    </row>
    <row r="36" spans="2:17">
      <c r="B36" s="306" t="s">
        <v>75</v>
      </c>
      <c r="C36" s="313" t="s">
        <v>56</v>
      </c>
      <c r="D36" s="18" t="s">
        <v>7</v>
      </c>
      <c r="E36" s="17">
        <v>2957.364</v>
      </c>
      <c r="F36" s="267">
        <f>-2900</f>
        <v>-2900</v>
      </c>
      <c r="G36" s="17">
        <f>E36+F36</f>
        <v>57.364000000000033</v>
      </c>
      <c r="H36" s="43"/>
      <c r="I36" s="17">
        <f t="shared" si="0"/>
        <v>57.364000000000033</v>
      </c>
      <c r="J36" s="35">
        <f>H36/G36</f>
        <v>0</v>
      </c>
      <c r="K36" s="285">
        <f>E36+E37</f>
        <v>3113.0149999999999</v>
      </c>
      <c r="L36" s="287">
        <f>F36+F37</f>
        <v>-2900</v>
      </c>
      <c r="M36" s="287">
        <f>K36+L36</f>
        <v>213.01499999999987</v>
      </c>
      <c r="N36" s="287">
        <f>H36+H37</f>
        <v>0</v>
      </c>
      <c r="O36" s="287">
        <f>M36-N36</f>
        <v>213.01499999999987</v>
      </c>
      <c r="P36" s="292">
        <f>N36/M36</f>
        <v>0</v>
      </c>
      <c r="Q36" s="119">
        <v>43206</v>
      </c>
    </row>
    <row r="37" spans="2:17">
      <c r="B37" s="308"/>
      <c r="C37" s="291"/>
      <c r="D37" s="12" t="s">
        <v>8</v>
      </c>
      <c r="E37" s="3">
        <v>155.65100000000001</v>
      </c>
      <c r="F37" s="3"/>
      <c r="G37" s="3">
        <f>E37+F37+I36</f>
        <v>213.01500000000004</v>
      </c>
      <c r="H37" s="269"/>
      <c r="I37" s="3">
        <f t="shared" si="0"/>
        <v>213.01500000000004</v>
      </c>
      <c r="J37" s="38">
        <f>H37/G37</f>
        <v>0</v>
      </c>
      <c r="K37" s="286"/>
      <c r="L37" s="288"/>
      <c r="M37" s="288"/>
      <c r="N37" s="288"/>
      <c r="O37" s="288"/>
      <c r="P37" s="283"/>
      <c r="Q37" s="118" t="s">
        <v>209</v>
      </c>
    </row>
    <row r="38" spans="2:17">
      <c r="B38" s="308"/>
      <c r="C38" s="291" t="s">
        <v>57</v>
      </c>
      <c r="D38" s="12" t="s">
        <v>7</v>
      </c>
      <c r="E38" s="3">
        <v>52.277999999999999</v>
      </c>
      <c r="F38" s="3"/>
      <c r="G38" s="3">
        <f>E38+F38</f>
        <v>52.277999999999999</v>
      </c>
      <c r="H38" s="269">
        <v>7.07</v>
      </c>
      <c r="I38" s="3">
        <f t="shared" si="0"/>
        <v>45.207999999999998</v>
      </c>
      <c r="J38" s="38">
        <f t="shared" si="3"/>
        <v>0.13523853246107351</v>
      </c>
      <c r="K38" s="286">
        <f>E38+E39</f>
        <v>55.028999999999996</v>
      </c>
      <c r="L38" s="288">
        <f>F38+F39</f>
        <v>0</v>
      </c>
      <c r="M38" s="288">
        <f>K38+L38</f>
        <v>55.028999999999996</v>
      </c>
      <c r="N38" s="288">
        <f>H38+H39</f>
        <v>7.2830000000000004</v>
      </c>
      <c r="O38" s="288">
        <f>M38-N38</f>
        <v>47.745999999999995</v>
      </c>
      <c r="P38" s="283">
        <f>N38/M38</f>
        <v>0.13234839811735633</v>
      </c>
      <c r="Q38" s="118" t="s">
        <v>209</v>
      </c>
    </row>
    <row r="39" spans="2:17">
      <c r="B39" s="308"/>
      <c r="C39" s="291"/>
      <c r="D39" s="12" t="s">
        <v>8</v>
      </c>
      <c r="E39" s="20">
        <v>2.7509999999999999</v>
      </c>
      <c r="F39" s="3"/>
      <c r="G39" s="3">
        <f>E39+F39+I38</f>
        <v>47.958999999999996</v>
      </c>
      <c r="H39" s="269">
        <v>0.21299999999999999</v>
      </c>
      <c r="I39" s="3">
        <f t="shared" si="0"/>
        <v>47.745999999999995</v>
      </c>
      <c r="J39" s="38">
        <f>H39/G39</f>
        <v>4.4412936049542323E-3</v>
      </c>
      <c r="K39" s="286"/>
      <c r="L39" s="288"/>
      <c r="M39" s="288"/>
      <c r="N39" s="288"/>
      <c r="O39" s="288"/>
      <c r="P39" s="283"/>
      <c r="Q39" s="118" t="s">
        <v>209</v>
      </c>
    </row>
    <row r="40" spans="2:17">
      <c r="B40" s="308"/>
      <c r="C40" s="291" t="s">
        <v>58</v>
      </c>
      <c r="D40" s="12" t="s">
        <v>7</v>
      </c>
      <c r="E40" s="3">
        <v>75.715999999999994</v>
      </c>
      <c r="F40" s="3"/>
      <c r="G40" s="3">
        <f>E40+F40</f>
        <v>75.715999999999994</v>
      </c>
      <c r="H40" s="269"/>
      <c r="I40" s="3">
        <f t="shared" si="0"/>
        <v>75.715999999999994</v>
      </c>
      <c r="J40" s="38">
        <f>H40/G40</f>
        <v>0</v>
      </c>
      <c r="K40" s="286">
        <f>E40+E41</f>
        <v>79.700999999999993</v>
      </c>
      <c r="L40" s="288">
        <f>F40+F41</f>
        <v>0</v>
      </c>
      <c r="M40" s="288">
        <f>K40+L40</f>
        <v>79.700999999999993</v>
      </c>
      <c r="N40" s="288">
        <f>H40+H41</f>
        <v>0</v>
      </c>
      <c r="O40" s="288">
        <f>M40-N40</f>
        <v>79.700999999999993</v>
      </c>
      <c r="P40" s="283">
        <f>N40/M40</f>
        <v>0</v>
      </c>
      <c r="Q40" s="118" t="s">
        <v>209</v>
      </c>
    </row>
    <row r="41" spans="2:17">
      <c r="B41" s="308"/>
      <c r="C41" s="291"/>
      <c r="D41" s="12" t="s">
        <v>8</v>
      </c>
      <c r="E41" s="3">
        <v>3.9849999999999999</v>
      </c>
      <c r="F41" s="3"/>
      <c r="G41" s="3">
        <f>E41+F41+I40</f>
        <v>79.700999999999993</v>
      </c>
      <c r="H41" s="269"/>
      <c r="I41" s="3">
        <f t="shared" si="0"/>
        <v>79.700999999999993</v>
      </c>
      <c r="J41" s="38">
        <f>H41/G41</f>
        <v>0</v>
      </c>
      <c r="K41" s="286"/>
      <c r="L41" s="288"/>
      <c r="M41" s="288"/>
      <c r="N41" s="288"/>
      <c r="O41" s="288"/>
      <c r="P41" s="283"/>
      <c r="Q41" s="118" t="s">
        <v>209</v>
      </c>
    </row>
    <row r="42" spans="2:17">
      <c r="B42" s="308"/>
      <c r="C42" s="311" t="s">
        <v>55</v>
      </c>
      <c r="D42" s="12" t="s">
        <v>7</v>
      </c>
      <c r="E42" s="20">
        <v>448.64499999999998</v>
      </c>
      <c r="F42" s="3"/>
      <c r="G42" s="3">
        <f>E42+F42</f>
        <v>448.64499999999998</v>
      </c>
      <c r="H42" s="269">
        <v>68.611000000000004</v>
      </c>
      <c r="I42" s="3">
        <f t="shared" si="0"/>
        <v>380.03399999999999</v>
      </c>
      <c r="J42" s="38">
        <f>H42/G42</f>
        <v>0.15292937623287903</v>
      </c>
      <c r="K42" s="286">
        <f>E42+E43</f>
        <v>472.25799999999998</v>
      </c>
      <c r="L42" s="288">
        <f>F42+F43</f>
        <v>0</v>
      </c>
      <c r="M42" s="288">
        <f>K42+L42</f>
        <v>472.25799999999998</v>
      </c>
      <c r="N42" s="288">
        <f>H42+H43</f>
        <v>82.906000000000006</v>
      </c>
      <c r="O42" s="288">
        <f>M42-N42</f>
        <v>389.35199999999998</v>
      </c>
      <c r="P42" s="283">
        <f>N42/M42</f>
        <v>0.1755523463869326</v>
      </c>
      <c r="Q42" s="118" t="s">
        <v>209</v>
      </c>
    </row>
    <row r="43" spans="2:17" ht="15.75" thickBot="1">
      <c r="B43" s="307"/>
      <c r="C43" s="310"/>
      <c r="D43" s="13" t="s">
        <v>8</v>
      </c>
      <c r="E43" s="14">
        <v>23.613</v>
      </c>
      <c r="F43" s="14"/>
      <c r="G43" s="14">
        <f>E43+F43+I42</f>
        <v>403.64699999999999</v>
      </c>
      <c r="H43" s="268">
        <v>14.295</v>
      </c>
      <c r="I43" s="14">
        <f t="shared" si="0"/>
        <v>389.35199999999998</v>
      </c>
      <c r="J43" s="36">
        <f>H43/G43</f>
        <v>3.5414607317780143E-2</v>
      </c>
      <c r="K43" s="290"/>
      <c r="L43" s="289"/>
      <c r="M43" s="289"/>
      <c r="N43" s="289"/>
      <c r="O43" s="289"/>
      <c r="P43" s="284"/>
      <c r="Q43" s="116" t="s">
        <v>209</v>
      </c>
    </row>
    <row r="44" spans="2:17" ht="15.75" thickBot="1">
      <c r="B44" s="53"/>
      <c r="C44" s="59"/>
      <c r="D44" s="55"/>
      <c r="E44" s="55"/>
      <c r="F44" s="55"/>
      <c r="G44" s="55"/>
      <c r="H44" s="55"/>
      <c r="I44" s="55"/>
      <c r="J44" s="56"/>
      <c r="K44" s="55"/>
      <c r="P44" s="57"/>
      <c r="Q44" s="94"/>
    </row>
    <row r="45" spans="2:17">
      <c r="B45" s="306" t="s">
        <v>74</v>
      </c>
      <c r="C45" s="309" t="s">
        <v>51</v>
      </c>
      <c r="D45" s="18" t="s">
        <v>7</v>
      </c>
      <c r="E45" s="43">
        <v>10</v>
      </c>
      <c r="F45" s="17"/>
      <c r="G45" s="17">
        <f>E45+F45</f>
        <v>10</v>
      </c>
      <c r="H45" s="233"/>
      <c r="I45" s="17">
        <f t="shared" si="0"/>
        <v>10</v>
      </c>
      <c r="J45" s="35">
        <f>H45/G45</f>
        <v>0</v>
      </c>
      <c r="K45" s="285">
        <f>E45+E46</f>
        <v>11</v>
      </c>
      <c r="L45" s="287">
        <f>F45+F46</f>
        <v>0</v>
      </c>
      <c r="M45" s="287">
        <f>K45+L45</f>
        <v>11</v>
      </c>
      <c r="N45" s="287">
        <f>H45+H46</f>
        <v>0.41</v>
      </c>
      <c r="O45" s="287">
        <f>M45-N45</f>
        <v>10.59</v>
      </c>
      <c r="P45" s="292">
        <f>N45/M45</f>
        <v>3.727272727272727E-2</v>
      </c>
      <c r="Q45" s="115" t="s">
        <v>209</v>
      </c>
    </row>
    <row r="46" spans="2:17" ht="15.75" thickBot="1">
      <c r="B46" s="307"/>
      <c r="C46" s="310"/>
      <c r="D46" s="13" t="s">
        <v>8</v>
      </c>
      <c r="E46" s="70">
        <v>1</v>
      </c>
      <c r="F46" s="14"/>
      <c r="G46" s="14">
        <f>E46+F46+I45</f>
        <v>11</v>
      </c>
      <c r="H46" s="268">
        <v>0.41</v>
      </c>
      <c r="I46" s="14">
        <f t="shared" si="0"/>
        <v>10.59</v>
      </c>
      <c r="J46" s="36">
        <f>H46/G46</f>
        <v>3.727272727272727E-2</v>
      </c>
      <c r="K46" s="290"/>
      <c r="L46" s="289"/>
      <c r="M46" s="289"/>
      <c r="N46" s="289"/>
      <c r="O46" s="289"/>
      <c r="P46" s="284"/>
      <c r="Q46" s="116" t="s">
        <v>209</v>
      </c>
    </row>
    <row r="47" spans="2:17" ht="15.75" thickBot="1">
      <c r="B47" s="53"/>
      <c r="C47" s="59"/>
      <c r="D47" s="55"/>
      <c r="E47" s="55"/>
      <c r="F47" s="55"/>
      <c r="G47" s="55"/>
      <c r="H47" s="55"/>
      <c r="I47" s="55"/>
      <c r="J47" s="56"/>
      <c r="K47" s="55"/>
      <c r="P47" s="57"/>
      <c r="Q47" s="94"/>
    </row>
    <row r="48" spans="2:17">
      <c r="B48" s="306" t="s">
        <v>73</v>
      </c>
      <c r="C48" s="309" t="s">
        <v>51</v>
      </c>
      <c r="D48" s="24" t="s">
        <v>7</v>
      </c>
      <c r="E48" s="43">
        <v>119</v>
      </c>
      <c r="F48" s="17"/>
      <c r="G48" s="17">
        <f>E48+F48</f>
        <v>119</v>
      </c>
      <c r="H48" s="267">
        <v>20.661999999999999</v>
      </c>
      <c r="I48" s="17">
        <f t="shared" si="0"/>
        <v>98.337999999999994</v>
      </c>
      <c r="J48" s="35">
        <f>H48/G48</f>
        <v>0.17363025210084032</v>
      </c>
      <c r="K48" s="285">
        <f>E48+E49</f>
        <v>125</v>
      </c>
      <c r="L48" s="287">
        <f>F48+F49</f>
        <v>0</v>
      </c>
      <c r="M48" s="287">
        <f>K48+L48</f>
        <v>125</v>
      </c>
      <c r="N48" s="287">
        <f>H48+H49</f>
        <v>99.401999999999987</v>
      </c>
      <c r="O48" s="287">
        <f>M48-N48</f>
        <v>25.598000000000013</v>
      </c>
      <c r="P48" s="292">
        <f>N48/M48</f>
        <v>0.79521599999999992</v>
      </c>
      <c r="Q48" s="115" t="s">
        <v>209</v>
      </c>
    </row>
    <row r="49" spans="2:17" ht="15.75" thickBot="1">
      <c r="B49" s="307"/>
      <c r="C49" s="310"/>
      <c r="D49" s="25" t="s">
        <v>8</v>
      </c>
      <c r="E49" s="70">
        <v>6</v>
      </c>
      <c r="F49" s="14"/>
      <c r="G49" s="14">
        <f>E49+F49+I48</f>
        <v>104.33799999999999</v>
      </c>
      <c r="H49" s="268">
        <v>78.739999999999995</v>
      </c>
      <c r="I49" s="14">
        <f t="shared" si="0"/>
        <v>25.597999999999999</v>
      </c>
      <c r="J49" s="36">
        <f>H49/G49</f>
        <v>0.75466273074047807</v>
      </c>
      <c r="K49" s="290"/>
      <c r="L49" s="289"/>
      <c r="M49" s="289"/>
      <c r="N49" s="289"/>
      <c r="O49" s="289"/>
      <c r="P49" s="284"/>
      <c r="Q49" s="116" t="s">
        <v>209</v>
      </c>
    </row>
    <row r="50" spans="2:17" ht="15.75" thickBot="1">
      <c r="B50" s="53"/>
      <c r="C50" s="59"/>
      <c r="D50" s="55"/>
      <c r="E50" s="55"/>
      <c r="F50" s="55"/>
      <c r="G50" s="55"/>
      <c r="H50" s="55"/>
      <c r="I50" s="55"/>
      <c r="J50" s="56"/>
      <c r="K50" s="55"/>
      <c r="P50" s="57"/>
      <c r="Q50" s="94"/>
    </row>
    <row r="51" spans="2:17">
      <c r="B51" s="306" t="s">
        <v>84</v>
      </c>
      <c r="C51" s="309" t="s">
        <v>51</v>
      </c>
      <c r="D51" s="18" t="s">
        <v>7</v>
      </c>
      <c r="E51" s="43">
        <v>7729</v>
      </c>
      <c r="F51" s="17"/>
      <c r="G51" s="17">
        <f>E51+F51</f>
        <v>7729</v>
      </c>
      <c r="H51" s="267">
        <v>8913.1460000000006</v>
      </c>
      <c r="I51" s="17">
        <f>G51-H51</f>
        <v>-1184.1460000000006</v>
      </c>
      <c r="J51" s="35">
        <f t="shared" ref="J51:J63" si="4">H51/G51</f>
        <v>1.1532081769957305</v>
      </c>
      <c r="K51" s="301">
        <f>E51+E52</f>
        <v>8136</v>
      </c>
      <c r="L51" s="287">
        <f>F51+F52</f>
        <v>0</v>
      </c>
      <c r="M51" s="287">
        <f>K51+L51</f>
        <v>8136</v>
      </c>
      <c r="N51" s="287">
        <f>H51+H52</f>
        <v>9028.8209999999999</v>
      </c>
      <c r="O51" s="287">
        <f>M51-N51</f>
        <v>-892.82099999999991</v>
      </c>
      <c r="P51" s="300">
        <f>N51/M51</f>
        <v>1.1097370943952802</v>
      </c>
      <c r="Q51" s="203">
        <v>43110</v>
      </c>
    </row>
    <row r="52" spans="2:17">
      <c r="B52" s="308"/>
      <c r="C52" s="311"/>
      <c r="D52" s="12" t="s">
        <v>8</v>
      </c>
      <c r="E52" s="202">
        <v>407</v>
      </c>
      <c r="F52" s="189"/>
      <c r="G52" s="189">
        <f>E52+F52+I51</f>
        <v>-777.14600000000064</v>
      </c>
      <c r="H52" s="269">
        <v>115.675</v>
      </c>
      <c r="I52" s="189">
        <f t="shared" si="0"/>
        <v>-892.82100000000059</v>
      </c>
      <c r="J52" s="38">
        <f t="shared" si="4"/>
        <v>-0.14884590540258832</v>
      </c>
      <c r="K52" s="302"/>
      <c r="L52" s="288"/>
      <c r="M52" s="288"/>
      <c r="N52" s="288"/>
      <c r="O52" s="288"/>
      <c r="P52" s="293"/>
      <c r="Q52" s="204">
        <v>43133</v>
      </c>
    </row>
    <row r="53" spans="2:17">
      <c r="B53" s="308"/>
      <c r="C53" s="291" t="s">
        <v>52</v>
      </c>
      <c r="D53" s="12" t="s">
        <v>7</v>
      </c>
      <c r="E53" s="189">
        <v>0</v>
      </c>
      <c r="F53" s="269">
        <f>65+176</f>
        <v>241</v>
      </c>
      <c r="G53" s="189">
        <f>E53+F53</f>
        <v>241</v>
      </c>
      <c r="H53" s="269">
        <f>'Cesiones Cuota Individual'!H32+'Cesiones Cuota Individual'!H33</f>
        <v>228.17099999999999</v>
      </c>
      <c r="I53" s="189">
        <f t="shared" ref="I53:I64" si="5">G53-H53</f>
        <v>12.829000000000008</v>
      </c>
      <c r="J53" s="38">
        <f t="shared" si="4"/>
        <v>0.94676763485477178</v>
      </c>
      <c r="K53" s="302">
        <f>E53+E54</f>
        <v>0</v>
      </c>
      <c r="L53" s="288">
        <f>F53+F54</f>
        <v>241</v>
      </c>
      <c r="M53" s="288">
        <f>K53+L53</f>
        <v>241</v>
      </c>
      <c r="N53" s="288">
        <f>H53+H54</f>
        <v>228.17099999999999</v>
      </c>
      <c r="O53" s="288">
        <f>M53-N53</f>
        <v>12.829000000000008</v>
      </c>
      <c r="P53" s="293">
        <f>N53/M53</f>
        <v>0.94676763485477178</v>
      </c>
      <c r="Q53" s="205" t="s">
        <v>209</v>
      </c>
    </row>
    <row r="54" spans="2:17">
      <c r="B54" s="308"/>
      <c r="C54" s="291"/>
      <c r="D54" s="12" t="s">
        <v>8</v>
      </c>
      <c r="E54" s="189">
        <v>0</v>
      </c>
      <c r="F54" s="269"/>
      <c r="G54" s="189">
        <f>E54+F54+I53</f>
        <v>12.829000000000008</v>
      </c>
      <c r="H54" s="269"/>
      <c r="I54" s="189">
        <f t="shared" si="5"/>
        <v>12.829000000000008</v>
      </c>
      <c r="J54" s="38">
        <f t="shared" si="4"/>
        <v>0</v>
      </c>
      <c r="K54" s="302"/>
      <c r="L54" s="288"/>
      <c r="M54" s="288"/>
      <c r="N54" s="288"/>
      <c r="O54" s="288"/>
      <c r="P54" s="293"/>
      <c r="Q54" s="205" t="s">
        <v>209</v>
      </c>
    </row>
    <row r="55" spans="2:17">
      <c r="B55" s="308"/>
      <c r="C55" s="291" t="s">
        <v>52</v>
      </c>
      <c r="D55" s="12" t="s">
        <v>7</v>
      </c>
      <c r="E55" s="189">
        <v>0</v>
      </c>
      <c r="F55" s="269">
        <f>26.758</f>
        <v>26.757999999999999</v>
      </c>
      <c r="G55" s="189">
        <f>E55+F55</f>
        <v>26.757999999999999</v>
      </c>
      <c r="H55" s="269"/>
      <c r="I55" s="189">
        <f t="shared" si="5"/>
        <v>26.757999999999999</v>
      </c>
      <c r="J55" s="38">
        <f t="shared" si="4"/>
        <v>0</v>
      </c>
      <c r="K55" s="302">
        <f>E55+E56</f>
        <v>0</v>
      </c>
      <c r="L55" s="288">
        <f>F55+F56</f>
        <v>26.757999999999999</v>
      </c>
      <c r="M55" s="288">
        <f>K55+L55</f>
        <v>26.757999999999999</v>
      </c>
      <c r="N55" s="288">
        <f>H55+H56</f>
        <v>11.83</v>
      </c>
      <c r="O55" s="288">
        <f>M55-N55</f>
        <v>14.927999999999999</v>
      </c>
      <c r="P55" s="293">
        <f>N55/M55</f>
        <v>0.44211077061065851</v>
      </c>
      <c r="Q55" s="205" t="s">
        <v>209</v>
      </c>
    </row>
    <row r="56" spans="2:17">
      <c r="B56" s="308"/>
      <c r="C56" s="291"/>
      <c r="D56" s="12" t="s">
        <v>8</v>
      </c>
      <c r="E56" s="189">
        <v>0</v>
      </c>
      <c r="F56" s="269"/>
      <c r="G56" s="189">
        <f>E56+F56+I55</f>
        <v>26.757999999999999</v>
      </c>
      <c r="H56" s="269">
        <f>'Cesiones Cuota Individual'!H88</f>
        <v>11.83</v>
      </c>
      <c r="I56" s="189">
        <f t="shared" si="5"/>
        <v>14.927999999999999</v>
      </c>
      <c r="J56" s="38">
        <f t="shared" si="4"/>
        <v>0.44211077061065851</v>
      </c>
      <c r="K56" s="302"/>
      <c r="L56" s="288"/>
      <c r="M56" s="288"/>
      <c r="N56" s="288"/>
      <c r="O56" s="288"/>
      <c r="P56" s="293"/>
      <c r="Q56" s="205" t="s">
        <v>209</v>
      </c>
    </row>
    <row r="57" spans="2:17">
      <c r="B57" s="308"/>
      <c r="C57" s="291" t="s">
        <v>52</v>
      </c>
      <c r="D57" s="12" t="s">
        <v>7</v>
      </c>
      <c r="E57" s="189">
        <v>0</v>
      </c>
      <c r="F57" s="269"/>
      <c r="G57" s="189">
        <f>E57+F57</f>
        <v>0</v>
      </c>
      <c r="H57" s="269"/>
      <c r="I57" s="189">
        <f t="shared" si="5"/>
        <v>0</v>
      </c>
      <c r="J57" s="38">
        <v>0</v>
      </c>
      <c r="K57" s="302">
        <f>E57+E58</f>
        <v>0</v>
      </c>
      <c r="L57" s="288">
        <f>F57+F58</f>
        <v>21</v>
      </c>
      <c r="M57" s="288">
        <f>K57+L57</f>
        <v>21</v>
      </c>
      <c r="N57" s="288">
        <f>H57+H58</f>
        <v>4.2050000000000001</v>
      </c>
      <c r="O57" s="288">
        <f>M57-N57</f>
        <v>16.795000000000002</v>
      </c>
      <c r="P57" s="293">
        <f>N57/M57</f>
        <v>0.20023809523809524</v>
      </c>
      <c r="Q57" s="205" t="s">
        <v>209</v>
      </c>
    </row>
    <row r="58" spans="2:17">
      <c r="B58" s="308"/>
      <c r="C58" s="291"/>
      <c r="D58" s="12" t="s">
        <v>8</v>
      </c>
      <c r="E58" s="189">
        <v>0</v>
      </c>
      <c r="F58" s="269">
        <f>21</f>
        <v>21</v>
      </c>
      <c r="G58" s="189">
        <f>E58+F58+I57</f>
        <v>21</v>
      </c>
      <c r="H58" s="269">
        <f>'Cesiones Cuota Individual'!H59</f>
        <v>4.2050000000000001</v>
      </c>
      <c r="I58" s="189">
        <f t="shared" si="5"/>
        <v>16.795000000000002</v>
      </c>
      <c r="J58" s="38">
        <f t="shared" si="4"/>
        <v>0.20023809523809524</v>
      </c>
      <c r="K58" s="302"/>
      <c r="L58" s="288"/>
      <c r="M58" s="288"/>
      <c r="N58" s="288"/>
      <c r="O58" s="288"/>
      <c r="P58" s="293"/>
      <c r="Q58" s="205" t="s">
        <v>209</v>
      </c>
    </row>
    <row r="59" spans="2:17">
      <c r="B59" s="308"/>
      <c r="C59" s="291" t="s">
        <v>52</v>
      </c>
      <c r="D59" s="12" t="s">
        <v>7</v>
      </c>
      <c r="E59" s="189">
        <v>0</v>
      </c>
      <c r="F59" s="269">
        <f>190</f>
        <v>190</v>
      </c>
      <c r="G59" s="189">
        <f>E59+F59</f>
        <v>190</v>
      </c>
      <c r="H59" s="269"/>
      <c r="I59" s="189">
        <f t="shared" si="5"/>
        <v>190</v>
      </c>
      <c r="J59" s="38">
        <f t="shared" si="4"/>
        <v>0</v>
      </c>
      <c r="K59" s="302">
        <f>E59+E60</f>
        <v>0</v>
      </c>
      <c r="L59" s="288">
        <f>F59+F60</f>
        <v>190</v>
      </c>
      <c r="M59" s="288">
        <f>K59+L59</f>
        <v>190</v>
      </c>
      <c r="N59" s="288">
        <f>H59+H60</f>
        <v>0</v>
      </c>
      <c r="O59" s="288">
        <f>M59-N59</f>
        <v>190</v>
      </c>
      <c r="P59" s="293">
        <f>N59/M59</f>
        <v>0</v>
      </c>
      <c r="Q59" s="205" t="s">
        <v>209</v>
      </c>
    </row>
    <row r="60" spans="2:17">
      <c r="B60" s="308"/>
      <c r="C60" s="291"/>
      <c r="D60" s="12" t="s">
        <v>8</v>
      </c>
      <c r="E60" s="189">
        <v>0</v>
      </c>
      <c r="F60" s="269"/>
      <c r="G60" s="189">
        <f>E60+F60+I59</f>
        <v>190</v>
      </c>
      <c r="H60" s="269">
        <f>'Cesiones Cuota Individual'!H60</f>
        <v>0</v>
      </c>
      <c r="I60" s="189">
        <f t="shared" si="5"/>
        <v>190</v>
      </c>
      <c r="J60" s="38">
        <f t="shared" si="4"/>
        <v>0</v>
      </c>
      <c r="K60" s="302"/>
      <c r="L60" s="288"/>
      <c r="M60" s="288"/>
      <c r="N60" s="288"/>
      <c r="O60" s="288"/>
      <c r="P60" s="293"/>
      <c r="Q60" s="205" t="s">
        <v>209</v>
      </c>
    </row>
    <row r="61" spans="2:17">
      <c r="B61" s="308"/>
      <c r="C61" s="291" t="s">
        <v>52</v>
      </c>
      <c r="D61" s="12" t="s">
        <v>7</v>
      </c>
      <c r="E61" s="189"/>
      <c r="F61" s="269"/>
      <c r="G61" s="189">
        <f>E61+F61</f>
        <v>0</v>
      </c>
      <c r="H61" s="269"/>
      <c r="I61" s="189">
        <f t="shared" si="5"/>
        <v>0</v>
      </c>
      <c r="J61" s="38">
        <v>0</v>
      </c>
      <c r="K61" s="302">
        <f>E61+E62</f>
        <v>0</v>
      </c>
      <c r="L61" s="288">
        <f>F61+F62</f>
        <v>176.16</v>
      </c>
      <c r="M61" s="288">
        <f>K61+L61</f>
        <v>176.16</v>
      </c>
      <c r="N61" s="288">
        <f>H61+H62</f>
        <v>167.12799999999999</v>
      </c>
      <c r="O61" s="288">
        <f>M61-N61</f>
        <v>9.0320000000000107</v>
      </c>
      <c r="P61" s="293">
        <f>N61/M61</f>
        <v>0.94872842870118068</v>
      </c>
      <c r="Q61" s="205" t="s">
        <v>209</v>
      </c>
    </row>
    <row r="62" spans="2:17">
      <c r="B62" s="308"/>
      <c r="C62" s="291"/>
      <c r="D62" s="12" t="s">
        <v>8</v>
      </c>
      <c r="E62" s="189"/>
      <c r="F62" s="269">
        <f>176.16</f>
        <v>176.16</v>
      </c>
      <c r="G62" s="189">
        <f>E62+F62+I61</f>
        <v>176.16</v>
      </c>
      <c r="H62" s="269">
        <f>'Cesiones Cuota Individual'!H61+'Cesiones Cuota Individual'!H62</f>
        <v>167.12799999999999</v>
      </c>
      <c r="I62" s="189">
        <f t="shared" si="5"/>
        <v>9.0320000000000107</v>
      </c>
      <c r="J62" s="38">
        <f t="shared" si="4"/>
        <v>0.94872842870118068</v>
      </c>
      <c r="K62" s="302"/>
      <c r="L62" s="288"/>
      <c r="M62" s="288"/>
      <c r="N62" s="288"/>
      <c r="O62" s="288"/>
      <c r="P62" s="293"/>
      <c r="Q62" s="205" t="s">
        <v>209</v>
      </c>
    </row>
    <row r="63" spans="2:17">
      <c r="B63" s="308"/>
      <c r="C63" s="291" t="s">
        <v>52</v>
      </c>
      <c r="D63" s="12" t="s">
        <v>7</v>
      </c>
      <c r="E63" s="189">
        <v>0</v>
      </c>
      <c r="F63" s="269">
        <f>274.26</f>
        <v>274.26</v>
      </c>
      <c r="G63" s="189">
        <f>E63+F63</f>
        <v>274.26</v>
      </c>
      <c r="H63" s="269">
        <f>'Cesiones Cuota Individual'!H57+'Cesiones Cuota Individual'!H58</f>
        <v>274.26</v>
      </c>
      <c r="I63" s="189">
        <f t="shared" si="5"/>
        <v>0</v>
      </c>
      <c r="J63" s="38">
        <f t="shared" si="4"/>
        <v>1</v>
      </c>
      <c r="K63" s="302">
        <f>E63+E64</f>
        <v>0</v>
      </c>
      <c r="L63" s="288">
        <f>F63+F64</f>
        <v>274.26</v>
      </c>
      <c r="M63" s="288">
        <f>K63+L63</f>
        <v>274.26</v>
      </c>
      <c r="N63" s="288">
        <f>H63+H64</f>
        <v>274.26</v>
      </c>
      <c r="O63" s="288">
        <f>M63-N63</f>
        <v>0</v>
      </c>
      <c r="P63" s="293">
        <f>N63/M63</f>
        <v>1</v>
      </c>
      <c r="Q63" s="205" t="s">
        <v>209</v>
      </c>
    </row>
    <row r="64" spans="2:17" ht="15.75" thickBot="1">
      <c r="B64" s="307"/>
      <c r="C64" s="312"/>
      <c r="D64" s="13" t="s">
        <v>8</v>
      </c>
      <c r="E64" s="189">
        <v>0</v>
      </c>
      <c r="F64" s="190"/>
      <c r="G64" s="190">
        <f>E64+F64+I63</f>
        <v>0</v>
      </c>
      <c r="H64" s="261"/>
      <c r="I64" s="190">
        <f t="shared" si="5"/>
        <v>0</v>
      </c>
      <c r="J64" s="36">
        <v>0</v>
      </c>
      <c r="K64" s="318"/>
      <c r="L64" s="289"/>
      <c r="M64" s="289"/>
      <c r="N64" s="289"/>
      <c r="O64" s="289"/>
      <c r="P64" s="303"/>
      <c r="Q64" s="206" t="s">
        <v>209</v>
      </c>
    </row>
    <row r="65" spans="2:17" ht="15.75" thickBot="1">
      <c r="B65" s="53"/>
      <c r="C65" s="59"/>
      <c r="D65" s="55"/>
      <c r="E65" s="55"/>
      <c r="F65" s="55"/>
      <c r="G65" s="55"/>
      <c r="H65" s="55"/>
      <c r="I65" s="55"/>
      <c r="J65" s="56"/>
      <c r="K65" s="55"/>
      <c r="P65" s="57"/>
      <c r="Q65" s="94"/>
    </row>
    <row r="66" spans="2:17">
      <c r="B66" s="306" t="s">
        <v>72</v>
      </c>
      <c r="C66" s="309" t="s">
        <v>51</v>
      </c>
      <c r="D66" s="18" t="s">
        <v>7</v>
      </c>
      <c r="E66" s="43">
        <v>40</v>
      </c>
      <c r="F66" s="17"/>
      <c r="G66" s="17">
        <f>E66+F66</f>
        <v>40</v>
      </c>
      <c r="H66" s="267">
        <v>0.96799999999999997</v>
      </c>
      <c r="I66" s="17">
        <f t="shared" si="0"/>
        <v>39.031999999999996</v>
      </c>
      <c r="J66" s="35">
        <f>H66/G66</f>
        <v>2.4199999999999999E-2</v>
      </c>
      <c r="K66" s="285">
        <f>E66+E67</f>
        <v>42</v>
      </c>
      <c r="L66" s="287">
        <f>F66+F67</f>
        <v>0</v>
      </c>
      <c r="M66" s="287">
        <f>K66+L66</f>
        <v>42</v>
      </c>
      <c r="N66" s="287">
        <f>H66+H67</f>
        <v>0.96799999999999997</v>
      </c>
      <c r="O66" s="287">
        <f>M66-N66</f>
        <v>41.031999999999996</v>
      </c>
      <c r="P66" s="292">
        <f>N66/M66</f>
        <v>2.3047619047619046E-2</v>
      </c>
      <c r="Q66" s="115" t="s">
        <v>209</v>
      </c>
    </row>
    <row r="67" spans="2:17" ht="15.75" thickBot="1">
      <c r="B67" s="307"/>
      <c r="C67" s="310"/>
      <c r="D67" s="13" t="s">
        <v>8</v>
      </c>
      <c r="E67" s="70">
        <v>2</v>
      </c>
      <c r="F67" s="14"/>
      <c r="G67" s="14">
        <f>E67+F67+I66</f>
        <v>41.031999999999996</v>
      </c>
      <c r="H67" s="14"/>
      <c r="I67" s="14">
        <f t="shared" si="0"/>
        <v>41.031999999999996</v>
      </c>
      <c r="J67" s="36">
        <f>H67/G67</f>
        <v>0</v>
      </c>
      <c r="K67" s="290"/>
      <c r="L67" s="289"/>
      <c r="M67" s="289"/>
      <c r="N67" s="289"/>
      <c r="O67" s="289"/>
      <c r="P67" s="284"/>
      <c r="Q67" s="116" t="s">
        <v>209</v>
      </c>
    </row>
    <row r="68" spans="2:17" ht="15.95" customHeight="1" thickBot="1">
      <c r="B68" s="53"/>
      <c r="C68" s="59"/>
      <c r="D68" s="55"/>
      <c r="E68" s="55"/>
      <c r="F68" s="55"/>
      <c r="G68" s="55"/>
      <c r="H68" s="55"/>
      <c r="I68" s="55"/>
      <c r="J68" s="56"/>
      <c r="K68" s="55"/>
      <c r="P68" s="57"/>
      <c r="Q68" s="94"/>
    </row>
    <row r="69" spans="2:17">
      <c r="B69" s="306" t="s">
        <v>71</v>
      </c>
      <c r="C69" s="309" t="s">
        <v>51</v>
      </c>
      <c r="D69" s="18" t="s">
        <v>7</v>
      </c>
      <c r="E69" s="43">
        <v>621</v>
      </c>
      <c r="F69" s="17"/>
      <c r="G69" s="17">
        <f>E69+F69</f>
        <v>621</v>
      </c>
      <c r="H69" s="267">
        <v>609.29499999999996</v>
      </c>
      <c r="I69" s="17">
        <f t="shared" si="0"/>
        <v>11.705000000000041</v>
      </c>
      <c r="J69" s="35">
        <f>H69/G69</f>
        <v>0.98115136876006437</v>
      </c>
      <c r="K69" s="285">
        <f>E69+E70</f>
        <v>654</v>
      </c>
      <c r="L69" s="287">
        <f>F69+F70</f>
        <v>0</v>
      </c>
      <c r="M69" s="287">
        <f>K69+L69</f>
        <v>654</v>
      </c>
      <c r="N69" s="287">
        <f>H69+H70</f>
        <v>609.29499999999996</v>
      </c>
      <c r="O69" s="287">
        <f>M69-N69</f>
        <v>44.705000000000041</v>
      </c>
      <c r="P69" s="292">
        <f>N69/M69</f>
        <v>0.93164373088685004</v>
      </c>
      <c r="Q69" s="119">
        <v>43209</v>
      </c>
    </row>
    <row r="70" spans="2:17" ht="15.75" thickBot="1">
      <c r="B70" s="307"/>
      <c r="C70" s="310"/>
      <c r="D70" s="13" t="s">
        <v>8</v>
      </c>
      <c r="E70" s="70">
        <v>33</v>
      </c>
      <c r="F70" s="14"/>
      <c r="G70" s="14">
        <f>E70+F70+I69</f>
        <v>44.705000000000041</v>
      </c>
      <c r="H70" s="14"/>
      <c r="I70" s="14">
        <f t="shared" si="0"/>
        <v>44.705000000000041</v>
      </c>
      <c r="J70" s="36">
        <f>H70/G70</f>
        <v>0</v>
      </c>
      <c r="K70" s="290"/>
      <c r="L70" s="289"/>
      <c r="M70" s="289"/>
      <c r="N70" s="289"/>
      <c r="O70" s="289"/>
      <c r="P70" s="284"/>
      <c r="Q70" s="116" t="s">
        <v>209</v>
      </c>
    </row>
    <row r="71" spans="2:17" ht="15.95" customHeight="1" thickBot="1">
      <c r="B71" s="53"/>
      <c r="C71" s="59"/>
      <c r="D71" s="55"/>
      <c r="E71" s="55"/>
      <c r="F71" s="55"/>
      <c r="G71" s="55"/>
      <c r="H71" s="55"/>
      <c r="I71" s="55"/>
      <c r="J71" s="56"/>
      <c r="K71" s="55"/>
      <c r="P71" s="57"/>
      <c r="Q71" s="94"/>
    </row>
    <row r="72" spans="2:17">
      <c r="B72" s="316" t="s">
        <v>70</v>
      </c>
      <c r="C72" s="313" t="s">
        <v>62</v>
      </c>
      <c r="D72" s="18" t="s">
        <v>7</v>
      </c>
      <c r="E72" s="43">
        <v>25.42</v>
      </c>
      <c r="F72" s="267">
        <f>-26.758</f>
        <v>-26.757999999999999</v>
      </c>
      <c r="G72" s="17">
        <f>E72+F72</f>
        <v>-1.3379999999999974</v>
      </c>
      <c r="H72" s="43"/>
      <c r="I72" s="17">
        <f t="shared" ref="I72:I77" si="6">G72-H72</f>
        <v>-1.3379999999999974</v>
      </c>
      <c r="J72" s="35">
        <f>H72/G72</f>
        <v>0</v>
      </c>
      <c r="K72" s="285">
        <f>E72+E73</f>
        <v>26.758000000000003</v>
      </c>
      <c r="L72" s="287">
        <f>F72+F73</f>
        <v>-26.757999999999999</v>
      </c>
      <c r="M72" s="287">
        <f>K72+L72</f>
        <v>0</v>
      </c>
      <c r="N72" s="287">
        <f>H72+H73</f>
        <v>0</v>
      </c>
      <c r="O72" s="287">
        <f>M72-N72</f>
        <v>0</v>
      </c>
      <c r="P72" s="304">
        <v>0</v>
      </c>
      <c r="Q72" s="115" t="s">
        <v>209</v>
      </c>
    </row>
    <row r="73" spans="2:17" ht="15.75" thickBot="1">
      <c r="B73" s="317"/>
      <c r="C73" s="291"/>
      <c r="D73" s="12" t="s">
        <v>8</v>
      </c>
      <c r="E73" s="20">
        <v>1.3380000000000001</v>
      </c>
      <c r="F73" s="269"/>
      <c r="G73" s="3">
        <v>0</v>
      </c>
      <c r="H73" s="232"/>
      <c r="I73" s="3">
        <f t="shared" si="6"/>
        <v>0</v>
      </c>
      <c r="J73" s="38">
        <v>0</v>
      </c>
      <c r="K73" s="286"/>
      <c r="L73" s="288"/>
      <c r="M73" s="288"/>
      <c r="N73" s="288"/>
      <c r="O73" s="288"/>
      <c r="P73" s="305"/>
      <c r="Q73" s="118" t="s">
        <v>209</v>
      </c>
    </row>
    <row r="74" spans="2:17">
      <c r="B74" s="317"/>
      <c r="C74" s="291" t="s">
        <v>63</v>
      </c>
      <c r="D74" s="12" t="s">
        <v>7</v>
      </c>
      <c r="E74" s="20">
        <v>206.39400000000001</v>
      </c>
      <c r="F74" s="269">
        <f>-200</f>
        <v>-200</v>
      </c>
      <c r="G74" s="3">
        <f>E74+F74</f>
        <v>6.3940000000000055</v>
      </c>
      <c r="H74" s="269"/>
      <c r="I74" s="3">
        <f t="shared" si="6"/>
        <v>6.3940000000000055</v>
      </c>
      <c r="J74" s="38">
        <f>H74/G74</f>
        <v>0</v>
      </c>
      <c r="K74" s="286">
        <f>E74+E75</f>
        <v>217.25700000000001</v>
      </c>
      <c r="L74" s="288">
        <f>F74+F75</f>
        <v>-200</v>
      </c>
      <c r="M74" s="288">
        <f>K74+L74</f>
        <v>17.257000000000005</v>
      </c>
      <c r="N74" s="288">
        <f>H74+H75</f>
        <v>0</v>
      </c>
      <c r="O74" s="288">
        <f>M74-N74</f>
        <v>17.257000000000005</v>
      </c>
      <c r="P74" s="292">
        <f>N74/M74</f>
        <v>0</v>
      </c>
      <c r="Q74" s="118" t="s">
        <v>209</v>
      </c>
    </row>
    <row r="75" spans="2:17">
      <c r="B75" s="317"/>
      <c r="C75" s="291"/>
      <c r="D75" s="12" t="s">
        <v>8</v>
      </c>
      <c r="E75" s="20">
        <v>10.863</v>
      </c>
      <c r="F75" s="269"/>
      <c r="G75" s="3">
        <f>E75+F75+I74</f>
        <v>17.257000000000005</v>
      </c>
      <c r="H75" s="269"/>
      <c r="I75" s="3">
        <f t="shared" si="6"/>
        <v>17.257000000000005</v>
      </c>
      <c r="J75" s="38">
        <f>H75/G75</f>
        <v>0</v>
      </c>
      <c r="K75" s="286"/>
      <c r="L75" s="288"/>
      <c r="M75" s="288"/>
      <c r="N75" s="288"/>
      <c r="O75" s="288"/>
      <c r="P75" s="283"/>
      <c r="Q75" s="118" t="s">
        <v>209</v>
      </c>
    </row>
    <row r="76" spans="2:17">
      <c r="B76" s="317"/>
      <c r="C76" s="291" t="s">
        <v>64</v>
      </c>
      <c r="D76" s="12" t="s">
        <v>7</v>
      </c>
      <c r="E76" s="20">
        <f>3031.67+158.562</f>
        <v>3190.232</v>
      </c>
      <c r="F76" s="269">
        <f>-3031</f>
        <v>-3031</v>
      </c>
      <c r="G76" s="3">
        <f>E76+F76</f>
        <v>159.23199999999997</v>
      </c>
      <c r="H76" s="97">
        <v>44.92</v>
      </c>
      <c r="I76" s="3">
        <f t="shared" si="6"/>
        <v>114.31199999999997</v>
      </c>
      <c r="J76" s="38">
        <v>1</v>
      </c>
      <c r="K76" s="286">
        <f>E76+E77</f>
        <v>3191.232</v>
      </c>
      <c r="L76" s="288">
        <f>F76+F77</f>
        <v>-3031</v>
      </c>
      <c r="M76" s="288">
        <f>K76+L76</f>
        <v>160.23199999999997</v>
      </c>
      <c r="N76" s="288">
        <f>H76+H77</f>
        <v>46.047000000000004</v>
      </c>
      <c r="O76" s="288">
        <f>M76-N76</f>
        <v>114.18499999999997</v>
      </c>
      <c r="P76" s="283">
        <f>N76/M76</f>
        <v>0.28737705327275459</v>
      </c>
      <c r="Q76" s="120">
        <v>43172</v>
      </c>
    </row>
    <row r="77" spans="2:17">
      <c r="B77" s="317"/>
      <c r="C77" s="291"/>
      <c r="D77" s="12" t="s">
        <v>8</v>
      </c>
      <c r="E77" s="20">
        <f>159.562-158.562</f>
        <v>1</v>
      </c>
      <c r="F77" s="269"/>
      <c r="G77" s="3">
        <f>E77+F77+I76</f>
        <v>115.31199999999997</v>
      </c>
      <c r="H77" s="269">
        <v>1.127</v>
      </c>
      <c r="I77" s="3">
        <f t="shared" si="6"/>
        <v>114.18499999999997</v>
      </c>
      <c r="J77" s="38">
        <f t="shared" ref="J77:J91" si="7">H77/G77</f>
        <v>9.7734841126682417E-3</v>
      </c>
      <c r="K77" s="286"/>
      <c r="L77" s="288"/>
      <c r="M77" s="288"/>
      <c r="N77" s="288"/>
      <c r="O77" s="288"/>
      <c r="P77" s="283"/>
      <c r="Q77" s="118" t="s">
        <v>209</v>
      </c>
    </row>
    <row r="78" spans="2:17">
      <c r="B78" s="317"/>
      <c r="C78" s="291" t="s">
        <v>65</v>
      </c>
      <c r="D78" s="12" t="s">
        <v>7</v>
      </c>
      <c r="E78" s="20">
        <v>542.077</v>
      </c>
      <c r="F78" s="269">
        <f>-550</f>
        <v>-550</v>
      </c>
      <c r="G78" s="3">
        <f>E78+F78</f>
        <v>-7.9230000000000018</v>
      </c>
      <c r="H78" s="269"/>
      <c r="I78" s="3">
        <f t="shared" si="0"/>
        <v>-7.9230000000000018</v>
      </c>
      <c r="J78" s="38">
        <f t="shared" si="7"/>
        <v>0</v>
      </c>
      <c r="K78" s="286">
        <f>E78+E79</f>
        <v>570.60699999999997</v>
      </c>
      <c r="L78" s="288">
        <f>F78+F79</f>
        <v>-550</v>
      </c>
      <c r="M78" s="288">
        <f>K78+L78</f>
        <v>20.606999999999971</v>
      </c>
      <c r="N78" s="288">
        <f>H78+H79</f>
        <v>0</v>
      </c>
      <c r="O78" s="288">
        <f>M78-N78</f>
        <v>20.606999999999971</v>
      </c>
      <c r="P78" s="283">
        <f>((N78+L78)/K78)*-1</f>
        <v>0.96388582684755009</v>
      </c>
      <c r="Q78" s="120">
        <v>43272</v>
      </c>
    </row>
    <row r="79" spans="2:17" ht="12" customHeight="1">
      <c r="B79" s="317"/>
      <c r="C79" s="291"/>
      <c r="D79" s="12" t="s">
        <v>8</v>
      </c>
      <c r="E79" s="20">
        <v>28.53</v>
      </c>
      <c r="F79" s="269"/>
      <c r="G79" s="3">
        <f>E79+F79+I78</f>
        <v>20.606999999999999</v>
      </c>
      <c r="H79" s="269"/>
      <c r="I79" s="3">
        <f t="shared" si="0"/>
        <v>20.606999999999999</v>
      </c>
      <c r="J79" s="38">
        <f t="shared" si="7"/>
        <v>0</v>
      </c>
      <c r="K79" s="286"/>
      <c r="L79" s="288"/>
      <c r="M79" s="288"/>
      <c r="N79" s="288"/>
      <c r="O79" s="288"/>
      <c r="P79" s="283"/>
      <c r="Q79" s="118" t="s">
        <v>209</v>
      </c>
    </row>
    <row r="80" spans="2:17">
      <c r="B80" s="317"/>
      <c r="C80" s="291" t="s">
        <v>66</v>
      </c>
      <c r="D80" s="12" t="s">
        <v>7</v>
      </c>
      <c r="E80" s="20">
        <v>1736.777</v>
      </c>
      <c r="F80" s="269">
        <f>-1628.627-190</f>
        <v>-1818.627</v>
      </c>
      <c r="G80" s="3">
        <f>E80+F80</f>
        <v>-81.849999999999909</v>
      </c>
      <c r="H80" s="269">
        <f>5.71</f>
        <v>5.71</v>
      </c>
      <c r="I80" s="3">
        <f t="shared" si="0"/>
        <v>-87.559999999999903</v>
      </c>
      <c r="J80" s="38">
        <f t="shared" si="7"/>
        <v>-6.9761759315821709E-2</v>
      </c>
      <c r="K80" s="286">
        <f>E80+E81</f>
        <v>1828.1860000000001</v>
      </c>
      <c r="L80" s="288">
        <f>F80+F81</f>
        <v>-1818.627</v>
      </c>
      <c r="M80" s="288">
        <f>K80+L80</f>
        <v>9.5590000000001965</v>
      </c>
      <c r="N80" s="288">
        <f>H80+H81</f>
        <v>36.18</v>
      </c>
      <c r="O80" s="288">
        <f>M80-N80</f>
        <v>-26.620999999999803</v>
      </c>
      <c r="P80" s="283">
        <f>N80/M80</f>
        <v>3.7849147400354908</v>
      </c>
      <c r="Q80" s="120">
        <v>43322</v>
      </c>
    </row>
    <row r="81" spans="2:17">
      <c r="B81" s="317"/>
      <c r="C81" s="291"/>
      <c r="D81" s="12" t="s">
        <v>8</v>
      </c>
      <c r="E81" s="20">
        <v>91.409000000000006</v>
      </c>
      <c r="F81" s="269"/>
      <c r="G81" s="3">
        <f>E81+F81+I80</f>
        <v>3.8490000000001032</v>
      </c>
      <c r="H81" s="269">
        <v>30.47</v>
      </c>
      <c r="I81" s="3">
        <f t="shared" si="0"/>
        <v>-26.620999999999896</v>
      </c>
      <c r="J81" s="38">
        <f t="shared" si="7"/>
        <v>7.9163419069886158</v>
      </c>
      <c r="K81" s="286"/>
      <c r="L81" s="288"/>
      <c r="M81" s="288"/>
      <c r="N81" s="288"/>
      <c r="O81" s="288"/>
      <c r="P81" s="283"/>
      <c r="Q81" s="118" t="s">
        <v>209</v>
      </c>
    </row>
    <row r="82" spans="2:17">
      <c r="B82" s="317"/>
      <c r="C82" s="291" t="s">
        <v>67</v>
      </c>
      <c r="D82" s="12" t="s">
        <v>7</v>
      </c>
      <c r="E82" s="20">
        <v>0.65300000000000002</v>
      </c>
      <c r="F82" s="269"/>
      <c r="G82" s="3">
        <f>E82+F82</f>
        <v>0.65300000000000002</v>
      </c>
      <c r="H82" s="269"/>
      <c r="I82" s="3">
        <f t="shared" si="0"/>
        <v>0.65300000000000002</v>
      </c>
      <c r="J82" s="38">
        <f t="shared" si="7"/>
        <v>0</v>
      </c>
      <c r="K82" s="286">
        <f>E82+E83</f>
        <v>0.68700000000000006</v>
      </c>
      <c r="L82" s="288">
        <f>F82+F83</f>
        <v>0</v>
      </c>
      <c r="M82" s="288">
        <f>K82+L82</f>
        <v>0.68700000000000006</v>
      </c>
      <c r="N82" s="288">
        <f>H82+H83</f>
        <v>0</v>
      </c>
      <c r="O82" s="288">
        <f>M82-N82</f>
        <v>0.68700000000000006</v>
      </c>
      <c r="P82" s="283">
        <f>N82/M82</f>
        <v>0</v>
      </c>
      <c r="Q82" s="118" t="s">
        <v>209</v>
      </c>
    </row>
    <row r="83" spans="2:17">
      <c r="B83" s="317"/>
      <c r="C83" s="291"/>
      <c r="D83" s="12" t="s">
        <v>8</v>
      </c>
      <c r="E83" s="20">
        <v>3.4000000000000002E-2</v>
      </c>
      <c r="F83" s="269"/>
      <c r="G83" s="3">
        <f>E83+F83+I82</f>
        <v>0.68700000000000006</v>
      </c>
      <c r="H83" s="269"/>
      <c r="I83" s="3">
        <f t="shared" si="0"/>
        <v>0.68700000000000006</v>
      </c>
      <c r="J83" s="38">
        <f t="shared" si="7"/>
        <v>0</v>
      </c>
      <c r="K83" s="286"/>
      <c r="L83" s="288"/>
      <c r="M83" s="288"/>
      <c r="N83" s="288"/>
      <c r="O83" s="288"/>
      <c r="P83" s="283"/>
      <c r="Q83" s="118" t="s">
        <v>209</v>
      </c>
    </row>
    <row r="84" spans="2:17">
      <c r="B84" s="317"/>
      <c r="C84" s="291" t="s">
        <v>68</v>
      </c>
      <c r="D84" s="12" t="s">
        <v>7</v>
      </c>
      <c r="E84" s="20">
        <v>6.9550000000000001</v>
      </c>
      <c r="F84" s="269"/>
      <c r="G84" s="3">
        <f>E84+F84</f>
        <v>6.9550000000000001</v>
      </c>
      <c r="H84" s="269"/>
      <c r="I84" s="3">
        <f t="shared" si="0"/>
        <v>6.9550000000000001</v>
      </c>
      <c r="J84" s="38">
        <f t="shared" si="7"/>
        <v>0</v>
      </c>
      <c r="K84" s="286">
        <f>E84+E85</f>
        <v>7.3209999999999997</v>
      </c>
      <c r="L84" s="288">
        <f>F84+F85</f>
        <v>0</v>
      </c>
      <c r="M84" s="288">
        <f>K84+L84</f>
        <v>7.3209999999999997</v>
      </c>
      <c r="N84" s="288">
        <f>H84+H85</f>
        <v>0</v>
      </c>
      <c r="O84" s="288">
        <f>M84-N84</f>
        <v>7.3209999999999997</v>
      </c>
      <c r="P84" s="283">
        <f>N84/M84</f>
        <v>0</v>
      </c>
      <c r="Q84" s="118" t="s">
        <v>209</v>
      </c>
    </row>
    <row r="85" spans="2:17">
      <c r="B85" s="317"/>
      <c r="C85" s="291"/>
      <c r="D85" s="12" t="s">
        <v>8</v>
      </c>
      <c r="E85" s="20">
        <v>0.36599999999999999</v>
      </c>
      <c r="F85" s="269"/>
      <c r="G85" s="3">
        <f>E85+F85+I84</f>
        <v>7.3209999999999997</v>
      </c>
      <c r="H85" s="269"/>
      <c r="I85" s="3">
        <f t="shared" si="0"/>
        <v>7.3209999999999997</v>
      </c>
      <c r="J85" s="38">
        <f t="shared" si="7"/>
        <v>0</v>
      </c>
      <c r="K85" s="286"/>
      <c r="L85" s="288"/>
      <c r="M85" s="288"/>
      <c r="N85" s="288"/>
      <c r="O85" s="288"/>
      <c r="P85" s="283"/>
      <c r="Q85" s="118" t="s">
        <v>209</v>
      </c>
    </row>
    <row r="86" spans="2:17">
      <c r="B86" s="317"/>
      <c r="C86" s="314" t="s">
        <v>201</v>
      </c>
      <c r="D86" s="12" t="s">
        <v>7</v>
      </c>
      <c r="E86" s="20">
        <v>25.58</v>
      </c>
      <c r="F86" s="269">
        <f>-21</f>
        <v>-21</v>
      </c>
      <c r="G86" s="3">
        <f>E86+F86</f>
        <v>4.5799999999999983</v>
      </c>
      <c r="H86" s="269"/>
      <c r="I86" s="3">
        <f t="shared" si="0"/>
        <v>4.5799999999999983</v>
      </c>
      <c r="J86" s="38">
        <f t="shared" si="7"/>
        <v>0</v>
      </c>
      <c r="K86" s="286">
        <f>E86+E87</f>
        <v>26.925999999999998</v>
      </c>
      <c r="L86" s="288">
        <f>F86+F87</f>
        <v>-21</v>
      </c>
      <c r="M86" s="288">
        <f>K86+L86</f>
        <v>5.9259999999999984</v>
      </c>
      <c r="N86" s="288">
        <f>H86+H87</f>
        <v>0</v>
      </c>
      <c r="O86" s="288">
        <f>M86-N86</f>
        <v>5.9259999999999984</v>
      </c>
      <c r="P86" s="283">
        <f>N86/M86</f>
        <v>0</v>
      </c>
      <c r="Q86" s="118" t="s">
        <v>209</v>
      </c>
    </row>
    <row r="87" spans="2:17">
      <c r="B87" s="317"/>
      <c r="C87" s="315"/>
      <c r="D87" s="12" t="s">
        <v>8</v>
      </c>
      <c r="E87" s="20">
        <v>1.3460000000000001</v>
      </c>
      <c r="F87" s="269"/>
      <c r="G87" s="3">
        <f>E87+F87+I86</f>
        <v>5.9259999999999984</v>
      </c>
      <c r="H87" s="269"/>
      <c r="I87" s="3">
        <f t="shared" si="0"/>
        <v>5.9259999999999984</v>
      </c>
      <c r="J87" s="38">
        <f t="shared" si="7"/>
        <v>0</v>
      </c>
      <c r="K87" s="286"/>
      <c r="L87" s="288"/>
      <c r="M87" s="288"/>
      <c r="N87" s="288"/>
      <c r="O87" s="288"/>
      <c r="P87" s="283"/>
      <c r="Q87" s="118" t="s">
        <v>209</v>
      </c>
    </row>
    <row r="88" spans="2:17">
      <c r="B88" s="317"/>
      <c r="C88" s="291" t="s">
        <v>69</v>
      </c>
      <c r="D88" s="12" t="s">
        <v>7</v>
      </c>
      <c r="E88" s="20">
        <v>448.94900000000001</v>
      </c>
      <c r="F88" s="269">
        <f>-459.38</f>
        <v>-459.38</v>
      </c>
      <c r="G88" s="3">
        <f>E88+F88</f>
        <v>-10.430999999999983</v>
      </c>
      <c r="H88" s="269"/>
      <c r="I88" s="3">
        <f t="shared" si="0"/>
        <v>-10.430999999999983</v>
      </c>
      <c r="J88" s="38">
        <v>1</v>
      </c>
      <c r="K88" s="286">
        <f>E88+E89</f>
        <v>472.57800000000003</v>
      </c>
      <c r="L88" s="288">
        <f>F88+F89</f>
        <v>-459.38</v>
      </c>
      <c r="M88" s="288">
        <f>K88+L88</f>
        <v>13.198000000000036</v>
      </c>
      <c r="N88" s="288">
        <f>H88+H89</f>
        <v>0</v>
      </c>
      <c r="O88" s="288">
        <f>M88-N88</f>
        <v>13.198000000000036</v>
      </c>
      <c r="P88" s="283">
        <f>N88/M88</f>
        <v>0</v>
      </c>
      <c r="Q88" s="120">
        <v>43181</v>
      </c>
    </row>
    <row r="89" spans="2:17">
      <c r="B89" s="317"/>
      <c r="C89" s="291"/>
      <c r="D89" s="12" t="s">
        <v>8</v>
      </c>
      <c r="E89" s="20">
        <v>23.629000000000001</v>
      </c>
      <c r="F89" s="269"/>
      <c r="G89" s="3">
        <f>E89+F89+I88</f>
        <v>13.198000000000018</v>
      </c>
      <c r="H89" s="269"/>
      <c r="I89" s="3">
        <f t="shared" si="0"/>
        <v>13.198000000000018</v>
      </c>
      <c r="J89" s="38">
        <f>H89/G89</f>
        <v>0</v>
      </c>
      <c r="K89" s="286"/>
      <c r="L89" s="288"/>
      <c r="M89" s="288"/>
      <c r="N89" s="288"/>
      <c r="O89" s="288"/>
      <c r="P89" s="283"/>
      <c r="Q89" s="118" t="s">
        <v>209</v>
      </c>
    </row>
    <row r="90" spans="2:17">
      <c r="B90" s="317"/>
      <c r="C90" s="291" t="s">
        <v>55</v>
      </c>
      <c r="D90" s="12" t="s">
        <v>7</v>
      </c>
      <c r="E90" s="20">
        <v>6.117</v>
      </c>
      <c r="F90" s="269"/>
      <c r="G90" s="3">
        <f>E90+F90</f>
        <v>6.117</v>
      </c>
      <c r="H90" s="269">
        <v>12.451000000000001</v>
      </c>
      <c r="I90" s="3">
        <f t="shared" si="0"/>
        <v>-6.3340000000000005</v>
      </c>
      <c r="J90" s="38">
        <f t="shared" si="7"/>
        <v>2.0354749059996733</v>
      </c>
      <c r="K90" s="286">
        <f>E90+E91</f>
        <v>6.4390000000000001</v>
      </c>
      <c r="L90" s="288">
        <f>F90+F91</f>
        <v>0</v>
      </c>
      <c r="M90" s="288">
        <f>K90+L90</f>
        <v>6.4390000000000001</v>
      </c>
      <c r="N90" s="288">
        <f>H90+H91</f>
        <v>12.451000000000001</v>
      </c>
      <c r="O90" s="288">
        <f>M90-N90</f>
        <v>-6.0120000000000005</v>
      </c>
      <c r="P90" s="283">
        <f>N90/M90</f>
        <v>1.9336853548687685</v>
      </c>
      <c r="Q90" s="120">
        <v>43242</v>
      </c>
    </row>
    <row r="91" spans="2:17" ht="15.75" thickBot="1">
      <c r="B91" s="317"/>
      <c r="C91" s="312"/>
      <c r="D91" s="13" t="s">
        <v>8</v>
      </c>
      <c r="E91" s="70">
        <v>0.32200000000000001</v>
      </c>
      <c r="F91" s="268"/>
      <c r="G91" s="14">
        <f>E91+F91+I90</f>
        <v>-6.0120000000000005</v>
      </c>
      <c r="H91" s="268"/>
      <c r="I91" s="14">
        <f t="shared" si="0"/>
        <v>-6.0120000000000005</v>
      </c>
      <c r="J91" s="36">
        <f t="shared" si="7"/>
        <v>0</v>
      </c>
      <c r="K91" s="290"/>
      <c r="L91" s="289"/>
      <c r="M91" s="289"/>
      <c r="N91" s="289"/>
      <c r="O91" s="289"/>
      <c r="P91" s="284"/>
      <c r="Q91" s="230" t="s">
        <v>209</v>
      </c>
    </row>
    <row r="92" spans="2:17">
      <c r="B92" s="317"/>
      <c r="C92" s="291" t="s">
        <v>52</v>
      </c>
      <c r="D92" s="12" t="s">
        <v>7</v>
      </c>
      <c r="E92" s="266">
        <v>0</v>
      </c>
      <c r="F92" s="189"/>
      <c r="G92" s="189">
        <f>E92+F92</f>
        <v>0</v>
      </c>
      <c r="H92" s="266"/>
      <c r="I92" s="189">
        <f t="shared" ref="I92:I93" si="8">G92-H92</f>
        <v>0</v>
      </c>
      <c r="J92" s="38">
        <v>0</v>
      </c>
      <c r="K92" s="286">
        <f>E92+E93</f>
        <v>0</v>
      </c>
      <c r="L92" s="288">
        <f>F92+F93</f>
        <v>45</v>
      </c>
      <c r="M92" s="288">
        <f>K92+L92</f>
        <v>45</v>
      </c>
      <c r="N92" s="288">
        <f>H92+H93</f>
        <v>0</v>
      </c>
      <c r="O92" s="288">
        <f>M92-N92</f>
        <v>45</v>
      </c>
      <c r="P92" s="283">
        <f>N92/M92</f>
        <v>0</v>
      </c>
      <c r="Q92" s="118" t="s">
        <v>209</v>
      </c>
    </row>
    <row r="93" spans="2:17" ht="15.75" thickBot="1">
      <c r="B93" s="317"/>
      <c r="C93" s="312"/>
      <c r="D93" s="13" t="s">
        <v>8</v>
      </c>
      <c r="E93" s="265">
        <v>0</v>
      </c>
      <c r="F93" s="190">
        <f>45</f>
        <v>45</v>
      </c>
      <c r="G93" s="190">
        <f>E93+F93+I92</f>
        <v>45</v>
      </c>
      <c r="H93" s="265"/>
      <c r="I93" s="190">
        <f t="shared" si="8"/>
        <v>45</v>
      </c>
      <c r="J93" s="36">
        <f t="shared" ref="J93" si="9">H93/G93</f>
        <v>0</v>
      </c>
      <c r="K93" s="290"/>
      <c r="L93" s="289"/>
      <c r="M93" s="289"/>
      <c r="N93" s="289"/>
      <c r="O93" s="289"/>
      <c r="P93" s="284"/>
      <c r="Q93" s="118" t="s">
        <v>209</v>
      </c>
    </row>
    <row r="94" spans="2:17" ht="16.5" customHeight="1" thickBot="1">
      <c r="C94" s="59"/>
      <c r="D94" s="55"/>
      <c r="E94" s="55"/>
      <c r="F94" s="55"/>
      <c r="G94" s="55"/>
      <c r="H94" s="55"/>
      <c r="I94" s="55"/>
      <c r="J94" s="56"/>
      <c r="K94" s="55"/>
      <c r="P94" s="57"/>
      <c r="Q94" s="94"/>
    </row>
    <row r="95" spans="2:17" ht="15.75" thickBot="1">
      <c r="B95" s="26" t="s">
        <v>83</v>
      </c>
      <c r="C95" s="32" t="s">
        <v>82</v>
      </c>
      <c r="D95" s="23" t="s">
        <v>81</v>
      </c>
      <c r="E95" s="21">
        <v>327</v>
      </c>
      <c r="F95" s="22"/>
      <c r="G95" s="22">
        <f>E95+F95</f>
        <v>327</v>
      </c>
      <c r="H95" s="21">
        <f>0.652+3.947+7.593+0.378+1.587+1.376</f>
        <v>15.532999999999999</v>
      </c>
      <c r="I95" s="21">
        <f>G95-H95</f>
        <v>311.46699999999998</v>
      </c>
      <c r="J95" s="39">
        <f>H95/G95</f>
        <v>4.7501529051987769E-2</v>
      </c>
      <c r="K95" s="40">
        <f>E95</f>
        <v>327</v>
      </c>
      <c r="L95" s="41">
        <f>F95</f>
        <v>0</v>
      </c>
      <c r="M95" s="41">
        <f>K95+L95</f>
        <v>327</v>
      </c>
      <c r="N95" s="41">
        <f>H95</f>
        <v>15.532999999999999</v>
      </c>
      <c r="O95" s="41">
        <f>M95-N95</f>
        <v>311.46699999999998</v>
      </c>
      <c r="P95" s="42">
        <f>N95/M95</f>
        <v>4.7501529051987769E-2</v>
      </c>
      <c r="Q95" s="117" t="s">
        <v>209</v>
      </c>
    </row>
    <row r="96" spans="2:17" ht="15.75" thickBot="1">
      <c r="C96" s="59"/>
      <c r="J96" s="60"/>
      <c r="P96" s="57"/>
      <c r="Q96" s="94"/>
    </row>
    <row r="97" spans="2:17" ht="15.75" thickBot="1">
      <c r="B97" s="26" t="s">
        <v>87</v>
      </c>
      <c r="C97" s="32" t="s">
        <v>88</v>
      </c>
      <c r="D97" s="27" t="s">
        <v>81</v>
      </c>
      <c r="E97" s="22">
        <v>149</v>
      </c>
      <c r="F97" s="22"/>
      <c r="G97" s="22">
        <f>E97+F97</f>
        <v>149</v>
      </c>
      <c r="H97" s="21">
        <f>0.717+0.68+1.032+2.913+0.648+26.478+1.02</f>
        <v>33.488000000000007</v>
      </c>
      <c r="I97" s="22">
        <f>G97-H97</f>
        <v>115.512</v>
      </c>
      <c r="J97" s="37">
        <f>H97/G97</f>
        <v>0.22475167785234904</v>
      </c>
      <c r="K97" s="40">
        <f>E97</f>
        <v>149</v>
      </c>
      <c r="L97" s="41">
        <f>F97</f>
        <v>0</v>
      </c>
      <c r="M97" s="41">
        <f>K97+L97</f>
        <v>149</v>
      </c>
      <c r="N97" s="41">
        <f>H97</f>
        <v>33.488000000000007</v>
      </c>
      <c r="O97" s="41">
        <f>M97-N97</f>
        <v>115.512</v>
      </c>
      <c r="P97" s="42">
        <f>N97/M97</f>
        <v>0.22475167785234904</v>
      </c>
      <c r="Q97" s="117" t="s">
        <v>209</v>
      </c>
    </row>
    <row r="98" spans="2:17">
      <c r="F98" s="52">
        <f>(F6+F7+F9+F10+F12+F14+F16+F18+F20+F24+F29+F36+F53+F55+F58+F59+F63+F72+F74+F76+F78+F80+F86+F88)-1859</f>
        <v>-10252.808999999999</v>
      </c>
    </row>
    <row r="99" spans="2:17" ht="115.5" customHeight="1"/>
  </sheetData>
  <mergeCells count="283">
    <mergeCell ref="K22:K23"/>
    <mergeCell ref="L22:L23"/>
    <mergeCell ref="M22:M23"/>
    <mergeCell ref="N22:N23"/>
    <mergeCell ref="O22:O23"/>
    <mergeCell ref="P22:P23"/>
    <mergeCell ref="C22:C23"/>
    <mergeCell ref="K61:K62"/>
    <mergeCell ref="L61:L62"/>
    <mergeCell ref="M61:M62"/>
    <mergeCell ref="N61:N62"/>
    <mergeCell ref="O61:O62"/>
    <mergeCell ref="P61:P62"/>
    <mergeCell ref="K59:K60"/>
    <mergeCell ref="L59:L60"/>
    <mergeCell ref="M59:M60"/>
    <mergeCell ref="N59:N60"/>
    <mergeCell ref="O59:O60"/>
    <mergeCell ref="P59:P60"/>
    <mergeCell ref="K55:K56"/>
    <mergeCell ref="L55:L56"/>
    <mergeCell ref="M55:M56"/>
    <mergeCell ref="N55:N56"/>
    <mergeCell ref="O55:O56"/>
    <mergeCell ref="P55:P56"/>
    <mergeCell ref="C33:C34"/>
    <mergeCell ref="C36:C37"/>
    <mergeCell ref="C38:C39"/>
    <mergeCell ref="N33:N34"/>
    <mergeCell ref="L33:L34"/>
    <mergeCell ref="C45:C46"/>
    <mergeCell ref="P40:P41"/>
    <mergeCell ref="L36:L37"/>
    <mergeCell ref="K40:K41"/>
    <mergeCell ref="K42:K43"/>
    <mergeCell ref="L40:L41"/>
    <mergeCell ref="M40:M41"/>
    <mergeCell ref="N40:N41"/>
    <mergeCell ref="P38:P39"/>
    <mergeCell ref="O38:O39"/>
    <mergeCell ref="N38:N39"/>
    <mergeCell ref="K33:K34"/>
    <mergeCell ref="O40:O41"/>
    <mergeCell ref="M45:M46"/>
    <mergeCell ref="N45:N46"/>
    <mergeCell ref="O45:O46"/>
    <mergeCell ref="P45:P46"/>
    <mergeCell ref="L42:L43"/>
    <mergeCell ref="C4:C5"/>
    <mergeCell ref="B4:B5"/>
    <mergeCell ref="B6:B7"/>
    <mergeCell ref="B9:B10"/>
    <mergeCell ref="C6:C7"/>
    <mergeCell ref="C9:C10"/>
    <mergeCell ref="C14:C15"/>
    <mergeCell ref="N14:N15"/>
    <mergeCell ref="D4:J4"/>
    <mergeCell ref="B14:B25"/>
    <mergeCell ref="L14:L15"/>
    <mergeCell ref="K18:K19"/>
    <mergeCell ref="L18:L19"/>
    <mergeCell ref="L16:L17"/>
    <mergeCell ref="L24:L25"/>
    <mergeCell ref="M24:M25"/>
    <mergeCell ref="N16:N17"/>
    <mergeCell ref="N24:N25"/>
    <mergeCell ref="K20:K21"/>
    <mergeCell ref="L20:L21"/>
    <mergeCell ref="M20:M21"/>
    <mergeCell ref="N20:N21"/>
    <mergeCell ref="C16:C17"/>
    <mergeCell ref="C24:C25"/>
    <mergeCell ref="Q4:Q5"/>
    <mergeCell ref="K6:K7"/>
    <mergeCell ref="L6:L7"/>
    <mergeCell ref="K14:K15"/>
    <mergeCell ref="K9:K10"/>
    <mergeCell ref="L9:L10"/>
    <mergeCell ref="K36:K37"/>
    <mergeCell ref="K38:K39"/>
    <mergeCell ref="M6:M7"/>
    <mergeCell ref="N6:N7"/>
    <mergeCell ref="O6:O7"/>
    <mergeCell ref="P6:P7"/>
    <mergeCell ref="P16:P17"/>
    <mergeCell ref="P24:P25"/>
    <mergeCell ref="P18:P19"/>
    <mergeCell ref="L31:L32"/>
    <mergeCell ref="M31:M32"/>
    <mergeCell ref="N31:N32"/>
    <mergeCell ref="M14:M15"/>
    <mergeCell ref="L38:L39"/>
    <mergeCell ref="M38:M39"/>
    <mergeCell ref="O27:O28"/>
    <mergeCell ref="P27:P28"/>
    <mergeCell ref="M9:M10"/>
    <mergeCell ref="B27:B34"/>
    <mergeCell ref="B36:B43"/>
    <mergeCell ref="P29:P30"/>
    <mergeCell ref="L29:L30"/>
    <mergeCell ref="K29:K30"/>
    <mergeCell ref="K16:K17"/>
    <mergeCell ref="K24:K25"/>
    <mergeCell ref="O18:O19"/>
    <mergeCell ref="C18:C19"/>
    <mergeCell ref="O24:O25"/>
    <mergeCell ref="K31:K32"/>
    <mergeCell ref="K27:K28"/>
    <mergeCell ref="O31:O32"/>
    <mergeCell ref="P31:P32"/>
    <mergeCell ref="L27:L28"/>
    <mergeCell ref="C27:C28"/>
    <mergeCell ref="C29:C30"/>
    <mergeCell ref="O29:O30"/>
    <mergeCell ref="C31:C32"/>
    <mergeCell ref="C40:C41"/>
    <mergeCell ref="C42:C43"/>
    <mergeCell ref="M27:M28"/>
    <mergeCell ref="N27:N28"/>
    <mergeCell ref="O16:O17"/>
    <mergeCell ref="N9:N10"/>
    <mergeCell ref="O9:O10"/>
    <mergeCell ref="P9:P10"/>
    <mergeCell ref="P33:P34"/>
    <mergeCell ref="N36:N37"/>
    <mergeCell ref="O36:O37"/>
    <mergeCell ref="P36:P37"/>
    <mergeCell ref="M29:M30"/>
    <mergeCell ref="N29:N30"/>
    <mergeCell ref="M36:M37"/>
    <mergeCell ref="M33:M34"/>
    <mergeCell ref="O20:O21"/>
    <mergeCell ref="P20:P21"/>
    <mergeCell ref="M18:M19"/>
    <mergeCell ref="N18:N19"/>
    <mergeCell ref="M16:M17"/>
    <mergeCell ref="O14:O15"/>
    <mergeCell ref="P14:P15"/>
    <mergeCell ref="O33:O34"/>
    <mergeCell ref="B45:B46"/>
    <mergeCell ref="K69:K70"/>
    <mergeCell ref="L69:L70"/>
    <mergeCell ref="M69:M70"/>
    <mergeCell ref="N69:N70"/>
    <mergeCell ref="O69:O70"/>
    <mergeCell ref="O57:O58"/>
    <mergeCell ref="C66:C67"/>
    <mergeCell ref="C69:C70"/>
    <mergeCell ref="B66:B67"/>
    <mergeCell ref="O51:O52"/>
    <mergeCell ref="L48:L49"/>
    <mergeCell ref="M48:M49"/>
    <mergeCell ref="N48:N49"/>
    <mergeCell ref="O48:O49"/>
    <mergeCell ref="N66:N67"/>
    <mergeCell ref="O66:O67"/>
    <mergeCell ref="M66:M67"/>
    <mergeCell ref="K53:K54"/>
    <mergeCell ref="K63:K64"/>
    <mergeCell ref="L53:L54"/>
    <mergeCell ref="L63:L64"/>
    <mergeCell ref="M53:M54"/>
    <mergeCell ref="C55:C56"/>
    <mergeCell ref="C86:C87"/>
    <mergeCell ref="C88:C89"/>
    <mergeCell ref="C90:C91"/>
    <mergeCell ref="C84:C85"/>
    <mergeCell ref="C80:C81"/>
    <mergeCell ref="C82:C83"/>
    <mergeCell ref="C59:C60"/>
    <mergeCell ref="C61:C62"/>
    <mergeCell ref="B72:B93"/>
    <mergeCell ref="C92:C93"/>
    <mergeCell ref="B69:B70"/>
    <mergeCell ref="C74:C75"/>
    <mergeCell ref="C76:C77"/>
    <mergeCell ref="B51:B64"/>
    <mergeCell ref="B48:B49"/>
    <mergeCell ref="C48:C49"/>
    <mergeCell ref="C51:C52"/>
    <mergeCell ref="C53:C54"/>
    <mergeCell ref="C63:C64"/>
    <mergeCell ref="C72:C73"/>
    <mergeCell ref="P80:P81"/>
    <mergeCell ref="L82:L83"/>
    <mergeCell ref="M82:M83"/>
    <mergeCell ref="O72:O73"/>
    <mergeCell ref="P72:P73"/>
    <mergeCell ref="L74:L75"/>
    <mergeCell ref="M74:M75"/>
    <mergeCell ref="O82:O83"/>
    <mergeCell ref="P82:P83"/>
    <mergeCell ref="O76:O77"/>
    <mergeCell ref="P76:P77"/>
    <mergeCell ref="L78:L79"/>
    <mergeCell ref="M78:M79"/>
    <mergeCell ref="P78:P79"/>
    <mergeCell ref="N78:N79"/>
    <mergeCell ref="P74:P75"/>
    <mergeCell ref="M76:M77"/>
    <mergeCell ref="N76:N77"/>
    <mergeCell ref="L66:L67"/>
    <mergeCell ref="K48:K49"/>
    <mergeCell ref="C57:C58"/>
    <mergeCell ref="K57:K58"/>
    <mergeCell ref="L57:L58"/>
    <mergeCell ref="M57:M58"/>
    <mergeCell ref="N57:N58"/>
    <mergeCell ref="N74:N75"/>
    <mergeCell ref="C78:C79"/>
    <mergeCell ref="K76:K77"/>
    <mergeCell ref="P42:P43"/>
    <mergeCell ref="P48:P49"/>
    <mergeCell ref="P57:P58"/>
    <mergeCell ref="B2:Q2"/>
    <mergeCell ref="O90:O91"/>
    <mergeCell ref="P90:P91"/>
    <mergeCell ref="K4:P4"/>
    <mergeCell ref="L84:L85"/>
    <mergeCell ref="M84:M85"/>
    <mergeCell ref="N84:N85"/>
    <mergeCell ref="O84:O85"/>
    <mergeCell ref="P84:P85"/>
    <mergeCell ref="L88:L89"/>
    <mergeCell ref="M88:M89"/>
    <mergeCell ref="N88:N89"/>
    <mergeCell ref="O88:O89"/>
    <mergeCell ref="P88:P89"/>
    <mergeCell ref="M80:M81"/>
    <mergeCell ref="N80:N81"/>
    <mergeCell ref="O80:O81"/>
    <mergeCell ref="P69:P70"/>
    <mergeCell ref="P66:P67"/>
    <mergeCell ref="P51:P52"/>
    <mergeCell ref="O74:O75"/>
    <mergeCell ref="C20:C21"/>
    <mergeCell ref="O78:O79"/>
    <mergeCell ref="K45:K46"/>
    <mergeCell ref="L45:L46"/>
    <mergeCell ref="K92:K93"/>
    <mergeCell ref="L92:L93"/>
    <mergeCell ref="M92:M93"/>
    <mergeCell ref="N92:N93"/>
    <mergeCell ref="O92:O93"/>
    <mergeCell ref="M42:M43"/>
    <mergeCell ref="N42:N43"/>
    <mergeCell ref="O42:O43"/>
    <mergeCell ref="L72:L73"/>
    <mergeCell ref="M72:M73"/>
    <mergeCell ref="K51:K52"/>
    <mergeCell ref="L51:L52"/>
    <mergeCell ref="M63:M64"/>
    <mergeCell ref="N53:N54"/>
    <mergeCell ref="N63:N64"/>
    <mergeCell ref="O53:O54"/>
    <mergeCell ref="O63:O64"/>
    <mergeCell ref="N72:N73"/>
    <mergeCell ref="K82:K83"/>
    <mergeCell ref="N82:N83"/>
    <mergeCell ref="P92:P93"/>
    <mergeCell ref="K72:K73"/>
    <mergeCell ref="K74:K75"/>
    <mergeCell ref="M51:M52"/>
    <mergeCell ref="N51:N52"/>
    <mergeCell ref="N90:N91"/>
    <mergeCell ref="K86:K87"/>
    <mergeCell ref="L86:L87"/>
    <mergeCell ref="M86:M87"/>
    <mergeCell ref="N86:N87"/>
    <mergeCell ref="K84:K85"/>
    <mergeCell ref="K90:K91"/>
    <mergeCell ref="K88:K89"/>
    <mergeCell ref="L90:L91"/>
    <mergeCell ref="M90:M91"/>
    <mergeCell ref="O86:O87"/>
    <mergeCell ref="P86:P87"/>
    <mergeCell ref="K80:K81"/>
    <mergeCell ref="L76:L77"/>
    <mergeCell ref="P53:P54"/>
    <mergeCell ref="P63:P64"/>
    <mergeCell ref="L80:L81"/>
    <mergeCell ref="K78:K79"/>
    <mergeCell ref="K66:K67"/>
  </mergeCells>
  <conditionalFormatting sqref="I6:I97">
    <cfRule type="cellIs" dxfId="4" priority="14" operator="lessThan">
      <formula>0</formula>
    </cfRule>
  </conditionalFormatting>
  <conditionalFormatting sqref="P51:P52">
    <cfRule type="colorScale" priority="10">
      <colorScale>
        <cfvo type="min"/>
        <cfvo type="max"/>
        <color rgb="FFF8696B"/>
        <color rgb="FFFCFCFF"/>
      </colorScale>
    </cfRule>
    <cfRule type="cellIs" dxfId="3" priority="12" operator="greaterThan">
      <formula>1</formula>
    </cfRule>
  </conditionalFormatting>
  <conditionalFormatting sqref="P78:P79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{E924C028-72E5-47D3-9204-E0C3C4035CA2}</x14:id>
        </ext>
      </extLst>
    </cfRule>
  </conditionalFormatting>
  <conditionalFormatting sqref="J14:J97">
    <cfRule type="cellIs" dxfId="2" priority="6" operator="greaterThan">
      <formula>0.9</formula>
    </cfRule>
  </conditionalFormatting>
  <conditionalFormatting sqref="P6:P16 P26:P53 P24 P18 P20 P63 P55 P57 P59 P61 P22 P65:P97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{B00E7D47-FAEE-400F-928D-FD277239AEE6}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65 G26 G35 G42 M7:M8 M98 M96 M77 G68 G71 M10:M11 M13 M15 M26 M28 M30 M32 M34:M35 M37 M39 M41 M43:M44 M46:M47 M49:M50 M65 M67:M68 M70:M71 M73 M75 M79 M81 M85 M89 M91 M52" formula="1"/>
    <ignoredError sqref="J32 J38 P26" evalError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4C028-72E5-47D3-9204-E0C3C4035CA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P78:P79</xm:sqref>
        </x14:conditionalFormatting>
        <x14:conditionalFormatting xmlns:xm="http://schemas.microsoft.com/office/excel/2006/main">
          <x14:cfRule type="dataBar" id="{B00E7D47-FAEE-400F-928D-FD277239AEE6}">
            <x14:dataBar gradient="0" negativeBarColorSameAsPositive="1" axisPosition="none">
              <x14:cfvo type="min"/>
              <x14:cfvo type="max"/>
            </x14:dataBar>
          </x14:cfRule>
          <xm:sqref>P6:P16 P26:P53 P24 P18 P20 P63 P55 P57 P59 P61 P22 P65:P97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P177"/>
  <sheetViews>
    <sheetView showGridLines="0" zoomScale="80" zoomScaleNormal="80" workbookViewId="0">
      <selection activeCell="E117" sqref="E117"/>
    </sheetView>
  </sheetViews>
  <sheetFormatPr baseColWidth="10" defaultColWidth="11.42578125" defaultRowHeight="15"/>
  <cols>
    <col min="1" max="1" width="6" style="65" customWidth="1"/>
    <col min="2" max="2" width="21.42578125" style="65" bestFit="1" customWidth="1"/>
    <col min="3" max="3" width="37.85546875" style="65" customWidth="1"/>
    <col min="4" max="4" width="8.7109375" style="59" bestFit="1" customWidth="1"/>
    <col min="5" max="5" width="22.5703125" style="52" customWidth="1"/>
    <col min="6" max="6" width="18.5703125" style="52" bestFit="1" customWidth="1"/>
    <col min="7" max="7" width="19.7109375" style="52" bestFit="1" customWidth="1"/>
    <col min="8" max="8" width="14.140625" style="52" bestFit="1" customWidth="1"/>
    <col min="9" max="9" width="11.85546875" style="52" bestFit="1" customWidth="1"/>
    <col min="10" max="10" width="13.85546875" style="52" bestFit="1" customWidth="1"/>
    <col min="11" max="11" width="20.7109375" style="52" bestFit="1" customWidth="1"/>
    <col min="12" max="12" width="16.42578125" style="52" customWidth="1"/>
    <col min="13" max="13" width="14.42578125" style="52" bestFit="1" customWidth="1"/>
    <col min="14" max="14" width="11.140625" style="52" bestFit="1" customWidth="1"/>
    <col min="15" max="15" width="11.85546875" style="52" bestFit="1" customWidth="1"/>
    <col min="16" max="16" width="13.85546875" style="52" bestFit="1" customWidth="1"/>
    <col min="17" max="16384" width="11.42578125" style="65"/>
  </cols>
  <sheetData>
    <row r="1" spans="2:16" ht="15.75" thickBot="1">
      <c r="F1" s="65"/>
      <c r="G1" s="65"/>
      <c r="J1" s="65"/>
      <c r="K1" s="65"/>
      <c r="L1" s="65"/>
      <c r="M1" s="65"/>
      <c r="N1" s="65"/>
      <c r="O1" s="65"/>
      <c r="P1" s="65"/>
    </row>
    <row r="2" spans="2:16" ht="48.75" customHeight="1" thickBot="1">
      <c r="B2" s="391" t="s">
        <v>368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3"/>
    </row>
    <row r="3" spans="2:16" ht="15.75" thickBot="1">
      <c r="F3" s="65"/>
      <c r="G3" s="65"/>
      <c r="J3" s="65"/>
      <c r="K3" s="65"/>
      <c r="L3" s="65"/>
      <c r="M3" s="65"/>
      <c r="N3" s="65"/>
      <c r="O3" s="65"/>
      <c r="P3" s="65"/>
    </row>
    <row r="4" spans="2:16" ht="62.25" customHeight="1" thickBot="1">
      <c r="B4" s="61" t="s">
        <v>41</v>
      </c>
      <c r="C4" s="63" t="s">
        <v>42</v>
      </c>
      <c r="D4" s="63" t="s">
        <v>6</v>
      </c>
      <c r="E4" s="63" t="s">
        <v>4</v>
      </c>
      <c r="F4" s="63" t="s">
        <v>3</v>
      </c>
      <c r="G4" s="63" t="s">
        <v>2</v>
      </c>
      <c r="H4" s="63" t="s">
        <v>1</v>
      </c>
      <c r="I4" s="63" t="s">
        <v>0</v>
      </c>
      <c r="J4" s="62" t="s">
        <v>5</v>
      </c>
      <c r="K4" s="61" t="s">
        <v>4</v>
      </c>
      <c r="L4" s="63" t="s">
        <v>3</v>
      </c>
      <c r="M4" s="63" t="s">
        <v>2</v>
      </c>
      <c r="N4" s="63" t="s">
        <v>1</v>
      </c>
      <c r="O4" s="63" t="s">
        <v>0</v>
      </c>
      <c r="P4" s="66" t="s">
        <v>5</v>
      </c>
    </row>
    <row r="5" spans="2:16" ht="15" customHeight="1">
      <c r="B5" s="353" t="s">
        <v>19</v>
      </c>
      <c r="C5" s="370" t="s">
        <v>9</v>
      </c>
      <c r="D5" s="86" t="s">
        <v>7</v>
      </c>
      <c r="E5" s="107">
        <v>178.286</v>
      </c>
      <c r="F5" s="44"/>
      <c r="G5" s="16">
        <f>E5+F5</f>
        <v>178.286</v>
      </c>
      <c r="H5" s="270"/>
      <c r="I5" s="16">
        <f>G5-H5</f>
        <v>178.286</v>
      </c>
      <c r="J5" s="33">
        <f>H5/G5</f>
        <v>0</v>
      </c>
      <c r="K5" s="367">
        <f>E5+E6</f>
        <v>181.92599999999999</v>
      </c>
      <c r="L5" s="350">
        <f>F5+F6</f>
        <v>0</v>
      </c>
      <c r="M5" s="350">
        <f>K5+L5</f>
        <v>181.92599999999999</v>
      </c>
      <c r="N5" s="350">
        <f>H5+H6</f>
        <v>0</v>
      </c>
      <c r="O5" s="350">
        <f>M5-N5</f>
        <v>181.92599999999999</v>
      </c>
      <c r="P5" s="368">
        <f>N5/M5</f>
        <v>0</v>
      </c>
    </row>
    <row r="6" spans="2:16" ht="15" customHeight="1">
      <c r="B6" s="354"/>
      <c r="C6" s="365"/>
      <c r="D6" s="29" t="s">
        <v>8</v>
      </c>
      <c r="E6" s="68">
        <v>3.64</v>
      </c>
      <c r="F6" s="269"/>
      <c r="G6" s="124">
        <f>E6+F6+I5</f>
        <v>181.92599999999999</v>
      </c>
      <c r="H6" s="269"/>
      <c r="I6" s="124">
        <f t="shared" ref="I6:I38" si="0">G6-H6</f>
        <v>181.92599999999999</v>
      </c>
      <c r="J6" s="126">
        <f>H6/G6</f>
        <v>0</v>
      </c>
      <c r="K6" s="340"/>
      <c r="L6" s="338"/>
      <c r="M6" s="338"/>
      <c r="N6" s="338"/>
      <c r="O6" s="338"/>
      <c r="P6" s="369"/>
    </row>
    <row r="7" spans="2:16" ht="15" customHeight="1">
      <c r="B7" s="354"/>
      <c r="C7" s="365" t="s">
        <v>10</v>
      </c>
      <c r="D7" s="29" t="s">
        <v>7</v>
      </c>
      <c r="E7" s="68">
        <v>7553.433</v>
      </c>
      <c r="F7" s="269">
        <f>-3500.097-2000.13-1200.077</f>
        <v>-6700.304000000001</v>
      </c>
      <c r="G7" s="16">
        <f t="shared" ref="G7" si="1">E7+F7</f>
        <v>853.128999999999</v>
      </c>
      <c r="H7" s="269">
        <v>779.54899999999998</v>
      </c>
      <c r="I7" s="16">
        <f t="shared" si="0"/>
        <v>73.579999999999018</v>
      </c>
      <c r="J7" s="33">
        <f t="shared" ref="J7:J25" si="2">H7/G7</f>
        <v>0.91375278533492699</v>
      </c>
      <c r="K7" s="367">
        <f t="shared" ref="K7" si="3">E7+E8</f>
        <v>7707.6329999999998</v>
      </c>
      <c r="L7" s="350">
        <f t="shared" ref="L7" si="4">F7+F8</f>
        <v>-6700.304000000001</v>
      </c>
      <c r="M7" s="350">
        <f>K7+L7</f>
        <v>1007.3289999999988</v>
      </c>
      <c r="N7" s="350">
        <f t="shared" ref="N7" si="5">H7+H8</f>
        <v>805.44499999999994</v>
      </c>
      <c r="O7" s="350">
        <f t="shared" ref="O7" si="6">M7-N7</f>
        <v>201.88399999999888</v>
      </c>
      <c r="P7" s="368">
        <f t="shared" ref="P7" si="7">N7/M7</f>
        <v>0.79958484268794094</v>
      </c>
    </row>
    <row r="8" spans="2:16" ht="15" customHeight="1">
      <c r="B8" s="354"/>
      <c r="C8" s="365"/>
      <c r="D8" s="29" t="s">
        <v>8</v>
      </c>
      <c r="E8" s="68">
        <v>154.19999999999999</v>
      </c>
      <c r="F8" s="269"/>
      <c r="G8" s="127">
        <f t="shared" ref="G8" si="8">E8+F8+I7</f>
        <v>227.77999999999901</v>
      </c>
      <c r="H8" s="269">
        <v>25.896000000000001</v>
      </c>
      <c r="I8" s="127">
        <f t="shared" si="0"/>
        <v>201.88399999999899</v>
      </c>
      <c r="J8" s="126">
        <f t="shared" si="2"/>
        <v>0.11368864694003035</v>
      </c>
      <c r="K8" s="340"/>
      <c r="L8" s="338"/>
      <c r="M8" s="338"/>
      <c r="N8" s="338"/>
      <c r="O8" s="338"/>
      <c r="P8" s="369"/>
    </row>
    <row r="9" spans="2:16" ht="15" customHeight="1">
      <c r="B9" s="354"/>
      <c r="C9" s="365" t="s">
        <v>11</v>
      </c>
      <c r="D9" s="29" t="s">
        <v>7</v>
      </c>
      <c r="E9" s="68">
        <v>34510.99</v>
      </c>
      <c r="F9" s="269">
        <f>-3000-5500-3000-4999.999</f>
        <v>-16499.999</v>
      </c>
      <c r="G9" s="16">
        <f t="shared" ref="G9" si="9">E9+F9</f>
        <v>18010.990999999998</v>
      </c>
      <c r="H9" s="269">
        <v>8768.51</v>
      </c>
      <c r="I9" s="16">
        <f t="shared" si="0"/>
        <v>9242.4809999999979</v>
      </c>
      <c r="J9" s="33">
        <f t="shared" si="2"/>
        <v>0.48684217320412859</v>
      </c>
      <c r="K9" s="367">
        <f t="shared" ref="K9" si="10">E9+E10</f>
        <v>35215.517999999996</v>
      </c>
      <c r="L9" s="350">
        <f t="shared" ref="L9" si="11">F9+F10</f>
        <v>-16499.999</v>
      </c>
      <c r="M9" s="350">
        <f t="shared" ref="M9" si="12">K9+L9</f>
        <v>18715.518999999997</v>
      </c>
      <c r="N9" s="350">
        <f t="shared" ref="N9" si="13">H9+H10</f>
        <v>8768.51</v>
      </c>
      <c r="O9" s="350">
        <f t="shared" ref="O9" si="14">M9-N9</f>
        <v>9947.0089999999964</v>
      </c>
      <c r="P9" s="368">
        <f t="shared" ref="P9" si="15">N9/M9</f>
        <v>0.46851546035138014</v>
      </c>
    </row>
    <row r="10" spans="2:16" ht="15" customHeight="1">
      <c r="B10" s="354"/>
      <c r="C10" s="365"/>
      <c r="D10" s="29" t="s">
        <v>8</v>
      </c>
      <c r="E10" s="68">
        <v>704.52800000000002</v>
      </c>
      <c r="F10" s="269"/>
      <c r="G10" s="127">
        <f t="shared" ref="G10" si="16">E10+F10+I9</f>
        <v>9947.0089999999982</v>
      </c>
      <c r="H10" s="269"/>
      <c r="I10" s="127">
        <f t="shared" si="0"/>
        <v>9947.0089999999982</v>
      </c>
      <c r="J10" s="126">
        <f t="shared" si="2"/>
        <v>0</v>
      </c>
      <c r="K10" s="340"/>
      <c r="L10" s="338"/>
      <c r="M10" s="338"/>
      <c r="N10" s="338"/>
      <c r="O10" s="338"/>
      <c r="P10" s="369"/>
    </row>
    <row r="11" spans="2:16" ht="15" customHeight="1">
      <c r="B11" s="354"/>
      <c r="C11" s="365" t="s">
        <v>12</v>
      </c>
      <c r="D11" s="29" t="s">
        <v>7</v>
      </c>
      <c r="E11" s="68">
        <f>976.391+2745.684</f>
        <v>3722.0750000000003</v>
      </c>
      <c r="F11" s="269">
        <f>-1245+3000-5500+5500-3000+116.739+116.739+116.739+116.739+116.739+116.739+194.565-895+4999.999</f>
        <v>3754.998</v>
      </c>
      <c r="G11" s="16">
        <f t="shared" ref="G11" si="17">E11+F11</f>
        <v>7477.0730000000003</v>
      </c>
      <c r="H11" s="269"/>
      <c r="I11" s="16">
        <f t="shared" si="0"/>
        <v>7477.0730000000003</v>
      </c>
      <c r="J11" s="33">
        <f t="shared" si="2"/>
        <v>0</v>
      </c>
      <c r="K11" s="367">
        <f t="shared" ref="K11" si="18">E11+E12</f>
        <v>3798.0600000000004</v>
      </c>
      <c r="L11" s="350">
        <f t="shared" ref="L11" si="19">F11+F12</f>
        <v>3754.998</v>
      </c>
      <c r="M11" s="350">
        <f t="shared" ref="M11" si="20">K11+L11</f>
        <v>7553.0580000000009</v>
      </c>
      <c r="N11" s="350">
        <f t="shared" ref="N11" si="21">H11+H12</f>
        <v>0</v>
      </c>
      <c r="O11" s="350">
        <f t="shared" ref="O11" si="22">M11-N11</f>
        <v>7553.0580000000009</v>
      </c>
      <c r="P11" s="368">
        <f t="shared" ref="P11" si="23">N11/M11</f>
        <v>0</v>
      </c>
    </row>
    <row r="12" spans="2:16" ht="15" customHeight="1">
      <c r="B12" s="354"/>
      <c r="C12" s="365"/>
      <c r="D12" s="29" t="s">
        <v>8</v>
      </c>
      <c r="E12" s="68">
        <f>19.933+56.052</f>
        <v>75.984999999999999</v>
      </c>
      <c r="F12" s="269"/>
      <c r="G12" s="127">
        <f t="shared" ref="G12" si="24">E12+F12+I11</f>
        <v>7553.058</v>
      </c>
      <c r="H12" s="269"/>
      <c r="I12" s="127">
        <f t="shared" si="0"/>
        <v>7553.058</v>
      </c>
      <c r="J12" s="126">
        <f t="shared" si="2"/>
        <v>0</v>
      </c>
      <c r="K12" s="340"/>
      <c r="L12" s="338"/>
      <c r="M12" s="338"/>
      <c r="N12" s="338"/>
      <c r="O12" s="338"/>
      <c r="P12" s="369"/>
    </row>
    <row r="13" spans="2:16" ht="15" customHeight="1">
      <c r="B13" s="354"/>
      <c r="C13" s="365" t="s">
        <v>13</v>
      </c>
      <c r="D13" s="29" t="s">
        <v>7</v>
      </c>
      <c r="E13" s="68">
        <v>1067.769</v>
      </c>
      <c r="F13" s="269">
        <f>-116.739-194.565-194.565-194.565-194.565-194.565</f>
        <v>-1089.5640000000001</v>
      </c>
      <c r="G13" s="16">
        <f t="shared" ref="G13" si="25">E13+F13</f>
        <v>-21.795000000000073</v>
      </c>
      <c r="H13" s="269"/>
      <c r="I13" s="16">
        <f t="shared" si="0"/>
        <v>-21.795000000000073</v>
      </c>
      <c r="J13" s="33">
        <f t="shared" si="2"/>
        <v>0</v>
      </c>
      <c r="K13" s="367">
        <f t="shared" ref="K13" si="26">E13+E14</f>
        <v>1089.57</v>
      </c>
      <c r="L13" s="350">
        <f t="shared" ref="L13" si="27">F13+F14</f>
        <v>-1089.5640000000001</v>
      </c>
      <c r="M13" s="350">
        <f t="shared" ref="M13" si="28">K13+L13</f>
        <v>5.9999999998581188E-3</v>
      </c>
      <c r="N13" s="350">
        <f t="shared" ref="N13" si="29">H13+H14</f>
        <v>0</v>
      </c>
      <c r="O13" s="350">
        <f t="shared" ref="O13" si="30">M13-N13</f>
        <v>5.9999999998581188E-3</v>
      </c>
      <c r="P13" s="352">
        <f t="shared" ref="P13" si="31">N13/M13</f>
        <v>0</v>
      </c>
    </row>
    <row r="14" spans="2:16" ht="15" customHeight="1">
      <c r="B14" s="354"/>
      <c r="C14" s="365"/>
      <c r="D14" s="29" t="s">
        <v>8</v>
      </c>
      <c r="E14" s="68">
        <v>21.800999999999998</v>
      </c>
      <c r="F14" s="269"/>
      <c r="G14" s="127">
        <f>E14+F14+I13</f>
        <v>5.9999999999256204E-3</v>
      </c>
      <c r="H14" s="269"/>
      <c r="I14" s="127">
        <f t="shared" si="0"/>
        <v>5.9999999999256204E-3</v>
      </c>
      <c r="J14" s="126">
        <f t="shared" si="2"/>
        <v>0</v>
      </c>
      <c r="K14" s="340"/>
      <c r="L14" s="338"/>
      <c r="M14" s="338"/>
      <c r="N14" s="338"/>
      <c r="O14" s="338"/>
      <c r="P14" s="345"/>
    </row>
    <row r="15" spans="2:16" ht="15" customHeight="1">
      <c r="B15" s="354"/>
      <c r="C15" s="365" t="s">
        <v>14</v>
      </c>
      <c r="D15" s="29" t="s">
        <v>7</v>
      </c>
      <c r="E15" s="68">
        <v>2059.2689999999998</v>
      </c>
      <c r="F15" s="269">
        <f>-116.739-116.739-116.739-194.565-194.565-194.565-194.565-194.565-194.565-194.565-194.565-194.565</f>
        <v>-2101.3020000000001</v>
      </c>
      <c r="G15" s="16">
        <f t="shared" ref="G15" si="32">E15+F15</f>
        <v>-42.033000000000357</v>
      </c>
      <c r="H15" s="269"/>
      <c r="I15" s="16">
        <f t="shared" si="0"/>
        <v>-42.033000000000357</v>
      </c>
      <c r="J15" s="33">
        <f t="shared" si="2"/>
        <v>0</v>
      </c>
      <c r="K15" s="367">
        <f t="shared" ref="K15" si="33">E15+E16</f>
        <v>2101.3139999999999</v>
      </c>
      <c r="L15" s="350">
        <f t="shared" ref="L15" si="34">F15+F16</f>
        <v>-2101.3020000000001</v>
      </c>
      <c r="M15" s="350">
        <f t="shared" ref="M15" si="35">K15+L15</f>
        <v>1.1999999999716238E-2</v>
      </c>
      <c r="N15" s="350">
        <f t="shared" ref="N15" si="36">H15+H16</f>
        <v>0</v>
      </c>
      <c r="O15" s="350">
        <f t="shared" ref="O15" si="37">M15-N15</f>
        <v>1.1999999999716238E-2</v>
      </c>
      <c r="P15" s="352">
        <f t="shared" ref="P15" si="38">N15/M15</f>
        <v>0</v>
      </c>
    </row>
    <row r="16" spans="2:16" ht="15" customHeight="1">
      <c r="B16" s="354"/>
      <c r="C16" s="365"/>
      <c r="D16" s="29" t="s">
        <v>8</v>
      </c>
      <c r="E16" s="68">
        <v>42.045000000000002</v>
      </c>
      <c r="F16" s="269"/>
      <c r="G16" s="127">
        <f t="shared" ref="G16" si="39">E16+F16+I15</f>
        <v>1.1999999999645183E-2</v>
      </c>
      <c r="H16" s="269"/>
      <c r="I16" s="127">
        <f t="shared" si="0"/>
        <v>1.1999999999645183E-2</v>
      </c>
      <c r="J16" s="126">
        <f t="shared" si="2"/>
        <v>0</v>
      </c>
      <c r="K16" s="340"/>
      <c r="L16" s="338"/>
      <c r="M16" s="338"/>
      <c r="N16" s="338"/>
      <c r="O16" s="338"/>
      <c r="P16" s="345"/>
    </row>
    <row r="17" spans="2:16" ht="15" customHeight="1">
      <c r="B17" s="354"/>
      <c r="C17" s="365" t="s">
        <v>15</v>
      </c>
      <c r="D17" s="29" t="s">
        <v>7</v>
      </c>
      <c r="E17" s="68">
        <v>686.42399999999998</v>
      </c>
      <c r="F17" s="269">
        <f>-116.739-116.739-116.739-116.739-116.739-116.739</f>
        <v>-700.43400000000008</v>
      </c>
      <c r="G17" s="16">
        <f t="shared" ref="G17" si="40">E17+F17</f>
        <v>-14.010000000000105</v>
      </c>
      <c r="H17" s="269"/>
      <c r="I17" s="16">
        <f t="shared" si="0"/>
        <v>-14.010000000000105</v>
      </c>
      <c r="J17" s="33">
        <f t="shared" si="2"/>
        <v>0</v>
      </c>
      <c r="K17" s="367">
        <f t="shared" ref="K17" si="41">E17+E18</f>
        <v>700.43999999999994</v>
      </c>
      <c r="L17" s="350">
        <f t="shared" ref="L17" si="42">F17+F18</f>
        <v>-700.43400000000008</v>
      </c>
      <c r="M17" s="350">
        <f t="shared" ref="M17" si="43">K17+L17</f>
        <v>5.9999999998581188E-3</v>
      </c>
      <c r="N17" s="350">
        <f t="shared" ref="N17" si="44">H17+H18</f>
        <v>0</v>
      </c>
      <c r="O17" s="350">
        <f t="shared" ref="O17" si="45">M17-N17</f>
        <v>5.9999999998581188E-3</v>
      </c>
      <c r="P17" s="352">
        <f t="shared" ref="P17" si="46">N17/M17</f>
        <v>0</v>
      </c>
    </row>
    <row r="18" spans="2:16" ht="15" customHeight="1">
      <c r="B18" s="354"/>
      <c r="C18" s="365"/>
      <c r="D18" s="29" t="s">
        <v>8</v>
      </c>
      <c r="E18" s="68">
        <v>14.016</v>
      </c>
      <c r="F18" s="269"/>
      <c r="G18" s="127">
        <f t="shared" ref="G18" si="47">E18+F18+I17</f>
        <v>5.9999999998954223E-3</v>
      </c>
      <c r="H18" s="269"/>
      <c r="I18" s="127">
        <f t="shared" si="0"/>
        <v>5.9999999998954223E-3</v>
      </c>
      <c r="J18" s="126">
        <f t="shared" si="2"/>
        <v>0</v>
      </c>
      <c r="K18" s="340"/>
      <c r="L18" s="338"/>
      <c r="M18" s="338"/>
      <c r="N18" s="338"/>
      <c r="O18" s="338"/>
      <c r="P18" s="345"/>
    </row>
    <row r="19" spans="2:16" ht="15" customHeight="1">
      <c r="B19" s="354"/>
      <c r="C19" s="365" t="s">
        <v>16</v>
      </c>
      <c r="D19" s="29" t="s">
        <v>7</v>
      </c>
      <c r="E19" s="68">
        <v>190.673</v>
      </c>
      <c r="F19" s="269">
        <f>-194.565</f>
        <v>-194.565</v>
      </c>
      <c r="G19" s="16">
        <f t="shared" ref="G19" si="48">E19+F19</f>
        <v>-3.8919999999999959</v>
      </c>
      <c r="H19" s="269"/>
      <c r="I19" s="16">
        <f t="shared" si="0"/>
        <v>-3.8919999999999959</v>
      </c>
      <c r="J19" s="33">
        <f t="shared" si="2"/>
        <v>0</v>
      </c>
      <c r="K19" s="367">
        <f t="shared" ref="K19" si="49">E19+E20</f>
        <v>194.566</v>
      </c>
      <c r="L19" s="350">
        <f t="shared" ref="L19" si="50">F19+F20</f>
        <v>-194.565</v>
      </c>
      <c r="M19" s="350">
        <f t="shared" ref="M19" si="51">K19+L19</f>
        <v>1.0000000000047748E-3</v>
      </c>
      <c r="N19" s="350">
        <f t="shared" ref="N19" si="52">H19+H20</f>
        <v>0</v>
      </c>
      <c r="O19" s="350">
        <f t="shared" ref="O19" si="53">M19-N19</f>
        <v>1.0000000000047748E-3</v>
      </c>
      <c r="P19" s="352">
        <f t="shared" ref="P19" si="54">N19/M19</f>
        <v>0</v>
      </c>
    </row>
    <row r="20" spans="2:16" ht="15" customHeight="1">
      <c r="B20" s="354"/>
      <c r="C20" s="365"/>
      <c r="D20" s="29" t="s">
        <v>8</v>
      </c>
      <c r="E20" s="68">
        <v>3.8929999999999998</v>
      </c>
      <c r="F20" s="269"/>
      <c r="G20" s="127">
        <f t="shared" ref="G20" si="55">E20+F20+I19</f>
        <v>1.0000000000038867E-3</v>
      </c>
      <c r="H20" s="269"/>
      <c r="I20" s="127">
        <f t="shared" si="0"/>
        <v>1.0000000000038867E-3</v>
      </c>
      <c r="J20" s="126">
        <f t="shared" si="2"/>
        <v>0</v>
      </c>
      <c r="K20" s="340"/>
      <c r="L20" s="338"/>
      <c r="M20" s="338"/>
      <c r="N20" s="338"/>
      <c r="O20" s="338"/>
      <c r="P20" s="345"/>
    </row>
    <row r="21" spans="2:16" ht="15" customHeight="1">
      <c r="B21" s="354"/>
      <c r="C21" s="365" t="s">
        <v>17</v>
      </c>
      <c r="D21" s="29" t="s">
        <v>7</v>
      </c>
      <c r="E21" s="68">
        <v>381.346</v>
      </c>
      <c r="F21" s="269">
        <f>-194.565-194.565</f>
        <v>-389.13</v>
      </c>
      <c r="G21" s="16">
        <f t="shared" ref="G21" si="56">E21+F21</f>
        <v>-7.7839999999999918</v>
      </c>
      <c r="H21" s="269"/>
      <c r="I21" s="16">
        <f t="shared" si="0"/>
        <v>-7.7839999999999918</v>
      </c>
      <c r="J21" s="33">
        <f t="shared" si="2"/>
        <v>0</v>
      </c>
      <c r="K21" s="367">
        <f t="shared" ref="K21" si="57">E21+E22</f>
        <v>389.13200000000001</v>
      </c>
      <c r="L21" s="350">
        <f t="shared" ref="L21" si="58">F21+F22</f>
        <v>-389.13</v>
      </c>
      <c r="M21" s="350">
        <f t="shared" ref="M21" si="59">K21+L21</f>
        <v>2.0000000000095497E-3</v>
      </c>
      <c r="N21" s="350">
        <f t="shared" ref="N21" si="60">H21+H22</f>
        <v>0</v>
      </c>
      <c r="O21" s="350">
        <f t="shared" ref="O21" si="61">M21-N21</f>
        <v>2.0000000000095497E-3</v>
      </c>
      <c r="P21" s="352">
        <f t="shared" ref="P21" si="62">N21/M21</f>
        <v>0</v>
      </c>
    </row>
    <row r="22" spans="2:16" ht="15" customHeight="1">
      <c r="B22" s="354"/>
      <c r="C22" s="365"/>
      <c r="D22" s="29" t="s">
        <v>8</v>
      </c>
      <c r="E22" s="68">
        <v>7.7859999999999996</v>
      </c>
      <c r="F22" s="269"/>
      <c r="G22" s="127">
        <f t="shared" ref="G22" si="63">E22+F22+I21</f>
        <v>2.0000000000077733E-3</v>
      </c>
      <c r="H22" s="269"/>
      <c r="I22" s="127">
        <f t="shared" si="0"/>
        <v>2.0000000000077733E-3</v>
      </c>
      <c r="J22" s="126">
        <f t="shared" si="2"/>
        <v>0</v>
      </c>
      <c r="K22" s="340"/>
      <c r="L22" s="338"/>
      <c r="M22" s="338"/>
      <c r="N22" s="338"/>
      <c r="O22" s="338"/>
      <c r="P22" s="345"/>
    </row>
    <row r="23" spans="2:16" ht="15" customHeight="1">
      <c r="B23" s="354"/>
      <c r="C23" s="365" t="s">
        <v>18</v>
      </c>
      <c r="D23" s="29" t="s">
        <v>7</v>
      </c>
      <c r="E23" s="68">
        <v>190.673</v>
      </c>
      <c r="F23" s="269">
        <f>-194.565</f>
        <v>-194.565</v>
      </c>
      <c r="G23" s="16">
        <f t="shared" ref="G23" si="64">E23+F23</f>
        <v>-3.8919999999999959</v>
      </c>
      <c r="H23" s="269"/>
      <c r="I23" s="16">
        <f t="shared" si="0"/>
        <v>-3.8919999999999959</v>
      </c>
      <c r="J23" s="33">
        <f t="shared" si="2"/>
        <v>0</v>
      </c>
      <c r="K23" s="367">
        <f t="shared" ref="K23" si="65">E23+E24</f>
        <v>194.566</v>
      </c>
      <c r="L23" s="350">
        <f t="shared" ref="L23" si="66">F23+F24</f>
        <v>-194.565</v>
      </c>
      <c r="M23" s="350">
        <f t="shared" ref="M23" si="67">K23+L23</f>
        <v>1.0000000000047748E-3</v>
      </c>
      <c r="N23" s="350">
        <f t="shared" ref="N23" si="68">H23+H24</f>
        <v>0</v>
      </c>
      <c r="O23" s="350">
        <f t="shared" ref="O23" si="69">M23-N23</f>
        <v>1.0000000000047748E-3</v>
      </c>
      <c r="P23" s="351">
        <v>0</v>
      </c>
    </row>
    <row r="24" spans="2:16" ht="15.75" customHeight="1">
      <c r="B24" s="354"/>
      <c r="C24" s="365"/>
      <c r="D24" s="29" t="s">
        <v>8</v>
      </c>
      <c r="E24" s="68">
        <v>3.8929999999999998</v>
      </c>
      <c r="F24" s="269"/>
      <c r="G24" s="127">
        <f t="shared" ref="G24" si="70">E24+F24+I23</f>
        <v>1.0000000000038867E-3</v>
      </c>
      <c r="H24" s="269"/>
      <c r="I24" s="127">
        <f t="shared" si="0"/>
        <v>1.0000000000038867E-3</v>
      </c>
      <c r="J24" s="126">
        <v>0</v>
      </c>
      <c r="K24" s="340"/>
      <c r="L24" s="338"/>
      <c r="M24" s="338"/>
      <c r="N24" s="338"/>
      <c r="O24" s="338"/>
      <c r="P24" s="344"/>
    </row>
    <row r="25" spans="2:16" ht="15" customHeight="1">
      <c r="B25" s="354"/>
      <c r="C25" s="365" t="s">
        <v>162</v>
      </c>
      <c r="D25" s="29" t="s">
        <v>7</v>
      </c>
      <c r="E25" s="68">
        <v>305.07600000000002</v>
      </c>
      <c r="F25" s="269">
        <f>-311.304+194.565-194.565</f>
        <v>-311.30399999999997</v>
      </c>
      <c r="G25" s="16">
        <f t="shared" ref="G25" si="71">E25+F25</f>
        <v>-6.2279999999999518</v>
      </c>
      <c r="H25" s="269"/>
      <c r="I25" s="16">
        <f t="shared" si="0"/>
        <v>-6.2279999999999518</v>
      </c>
      <c r="J25" s="33">
        <f t="shared" si="2"/>
        <v>0</v>
      </c>
      <c r="K25" s="367">
        <f t="shared" ref="K25" si="72">E25+E26</f>
        <v>311.30400000000003</v>
      </c>
      <c r="L25" s="350">
        <f t="shared" ref="L25" si="73">F25+F26</f>
        <v>-311.30399999999997</v>
      </c>
      <c r="M25" s="350">
        <f t="shared" ref="M25" si="74">K25+L25</f>
        <v>0</v>
      </c>
      <c r="N25" s="350">
        <f t="shared" ref="N25" si="75">H25+H26</f>
        <v>0</v>
      </c>
      <c r="O25" s="350">
        <f t="shared" ref="O25" si="76">M25-N25</f>
        <v>0</v>
      </c>
      <c r="P25" s="351">
        <v>0</v>
      </c>
    </row>
    <row r="26" spans="2:16" ht="15.75" customHeight="1">
      <c r="B26" s="354"/>
      <c r="C26" s="365"/>
      <c r="D26" s="29" t="s">
        <v>8</v>
      </c>
      <c r="E26" s="68">
        <v>6.2279999999999998</v>
      </c>
      <c r="F26" s="269"/>
      <c r="G26" s="127">
        <v>0</v>
      </c>
      <c r="H26" s="269"/>
      <c r="I26" s="127">
        <f t="shared" si="0"/>
        <v>0</v>
      </c>
      <c r="J26" s="126">
        <v>0</v>
      </c>
      <c r="K26" s="340"/>
      <c r="L26" s="338"/>
      <c r="M26" s="338"/>
      <c r="N26" s="338"/>
      <c r="O26" s="338"/>
      <c r="P26" s="344"/>
    </row>
    <row r="27" spans="2:16" ht="15.75" customHeight="1">
      <c r="B27" s="354"/>
      <c r="C27" s="365" t="s">
        <v>27</v>
      </c>
      <c r="D27" s="29" t="s">
        <v>7</v>
      </c>
      <c r="E27" s="68">
        <v>0</v>
      </c>
      <c r="F27" s="269">
        <f>116.739+116.739+116.739+194.565+194.565+194.565+194.565+194.565+194.565+194.565+194.565+194.565+311.304-2412.606</f>
        <v>0</v>
      </c>
      <c r="G27" s="16">
        <f t="shared" ref="G27" si="77">E27+F27</f>
        <v>0</v>
      </c>
      <c r="H27" s="269"/>
      <c r="I27" s="16">
        <f t="shared" si="0"/>
        <v>0</v>
      </c>
      <c r="J27" s="33">
        <v>0</v>
      </c>
      <c r="K27" s="367">
        <f t="shared" ref="K27" si="78">E27+E28</f>
        <v>0</v>
      </c>
      <c r="L27" s="350">
        <f t="shared" ref="L27" si="79">F27+F28</f>
        <v>0</v>
      </c>
      <c r="M27" s="350">
        <f t="shared" ref="M27" si="80">K27+L27</f>
        <v>0</v>
      </c>
      <c r="N27" s="350">
        <f t="shared" ref="N27" si="81">H27+H28</f>
        <v>0</v>
      </c>
      <c r="O27" s="350">
        <f t="shared" ref="O27" si="82">M27-N27</f>
        <v>0</v>
      </c>
      <c r="P27" s="351">
        <v>0</v>
      </c>
    </row>
    <row r="28" spans="2:16" ht="15.75" customHeight="1">
      <c r="B28" s="354"/>
      <c r="C28" s="365"/>
      <c r="D28" s="29" t="s">
        <v>8</v>
      </c>
      <c r="E28" s="68">
        <v>0</v>
      </c>
      <c r="F28" s="269"/>
      <c r="G28" s="127">
        <f t="shared" ref="G28" si="83">E28+F28+I27</f>
        <v>0</v>
      </c>
      <c r="H28" s="269"/>
      <c r="I28" s="127">
        <f t="shared" si="0"/>
        <v>0</v>
      </c>
      <c r="J28" s="126">
        <v>0</v>
      </c>
      <c r="K28" s="340"/>
      <c r="L28" s="338"/>
      <c r="M28" s="338"/>
      <c r="N28" s="338"/>
      <c r="O28" s="338"/>
      <c r="P28" s="344"/>
    </row>
    <row r="29" spans="2:16" ht="15" customHeight="1">
      <c r="B29" s="354"/>
      <c r="C29" s="365" t="s">
        <v>22</v>
      </c>
      <c r="D29" s="29" t="s">
        <v>7</v>
      </c>
      <c r="E29" s="68">
        <v>0</v>
      </c>
      <c r="F29" s="272">
        <f>116.739+194.565+194.565+194.565+194.565+194.565+194.565+194.565-389.13-1089.564</f>
        <v>0</v>
      </c>
      <c r="G29" s="16">
        <f t="shared" ref="G29" si="84">E29+F29</f>
        <v>0</v>
      </c>
      <c r="H29" s="269"/>
      <c r="I29" s="16">
        <f t="shared" si="0"/>
        <v>0</v>
      </c>
      <c r="J29" s="33">
        <v>0</v>
      </c>
      <c r="K29" s="367">
        <f t="shared" ref="K29" si="85">E29+E30</f>
        <v>0</v>
      </c>
      <c r="L29" s="350">
        <f t="shared" ref="L29" si="86">F29+F30</f>
        <v>0</v>
      </c>
      <c r="M29" s="350">
        <f t="shared" ref="M29" si="87">K29+L29</f>
        <v>0</v>
      </c>
      <c r="N29" s="350">
        <f t="shared" ref="N29" si="88">H29+H30</f>
        <v>0</v>
      </c>
      <c r="O29" s="350">
        <f t="shared" ref="O29" si="89">M29-N29</f>
        <v>0</v>
      </c>
      <c r="P29" s="352">
        <v>0</v>
      </c>
    </row>
    <row r="30" spans="2:16" ht="15" customHeight="1">
      <c r="B30" s="354"/>
      <c r="C30" s="365"/>
      <c r="D30" s="29" t="s">
        <v>8</v>
      </c>
      <c r="E30" s="68">
        <v>0</v>
      </c>
      <c r="F30" s="269"/>
      <c r="G30" s="127">
        <f t="shared" ref="G30" si="90">E30+F30+I29</f>
        <v>0</v>
      </c>
      <c r="H30" s="269"/>
      <c r="I30" s="127">
        <f t="shared" si="0"/>
        <v>0</v>
      </c>
      <c r="J30" s="126">
        <v>0</v>
      </c>
      <c r="K30" s="340"/>
      <c r="L30" s="338"/>
      <c r="M30" s="338"/>
      <c r="N30" s="338"/>
      <c r="O30" s="338"/>
      <c r="P30" s="345"/>
    </row>
    <row r="31" spans="2:16">
      <c r="B31" s="354"/>
      <c r="C31" s="365" t="s">
        <v>255</v>
      </c>
      <c r="D31" s="29" t="s">
        <v>7</v>
      </c>
      <c r="E31" s="68">
        <v>0</v>
      </c>
      <c r="F31" s="272">
        <f>233.478+233.478+233.478+233.478+311.304-466.956+466.956-233.478-233.478-311.304-233.478-233.478</f>
        <v>-2.2737367544323206E-13</v>
      </c>
      <c r="G31" s="207">
        <f t="shared" ref="G31:G33" si="91">E31+F31</f>
        <v>-2.2737367544323206E-13</v>
      </c>
      <c r="H31" s="269"/>
      <c r="I31" s="207">
        <f t="shared" si="0"/>
        <v>-2.2737367544323206E-13</v>
      </c>
      <c r="J31" s="33">
        <v>0</v>
      </c>
      <c r="K31" s="367">
        <f>E31+E32</f>
        <v>0</v>
      </c>
      <c r="L31" s="348">
        <f>F31+F32</f>
        <v>-2.2737367544323206E-13</v>
      </c>
      <c r="M31" s="348">
        <f t="shared" ref="M31" si="92">K31+L31</f>
        <v>-2.2737367544323206E-13</v>
      </c>
      <c r="N31" s="350">
        <f>H31+H32</f>
        <v>0</v>
      </c>
      <c r="O31" s="348">
        <f t="shared" ref="O31" si="93">M31-N31</f>
        <v>-2.2737367544323206E-13</v>
      </c>
      <c r="P31" s="351">
        <v>0</v>
      </c>
    </row>
    <row r="32" spans="2:16">
      <c r="B32" s="354"/>
      <c r="C32" s="365"/>
      <c r="D32" s="29" t="s">
        <v>8</v>
      </c>
      <c r="E32" s="68">
        <v>0</v>
      </c>
      <c r="F32" s="269"/>
      <c r="G32" s="208">
        <f>E32+F32+I31</f>
        <v>-2.2737367544323206E-13</v>
      </c>
      <c r="H32" s="269"/>
      <c r="I32" s="208">
        <f t="shared" si="0"/>
        <v>-2.2737367544323206E-13</v>
      </c>
      <c r="J32" s="126">
        <v>0</v>
      </c>
      <c r="K32" s="340"/>
      <c r="L32" s="349"/>
      <c r="M32" s="349"/>
      <c r="N32" s="338"/>
      <c r="O32" s="349"/>
      <c r="P32" s="344"/>
    </row>
    <row r="33" spans="2:16">
      <c r="B33" s="354"/>
      <c r="C33" s="366" t="s">
        <v>21</v>
      </c>
      <c r="D33" s="29" t="s">
        <v>7</v>
      </c>
      <c r="E33" s="68">
        <v>0</v>
      </c>
      <c r="F33" s="269"/>
      <c r="G33" s="16">
        <f t="shared" si="91"/>
        <v>0</v>
      </c>
      <c r="H33" s="269"/>
      <c r="I33" s="16">
        <f t="shared" si="0"/>
        <v>0</v>
      </c>
      <c r="J33" s="33">
        <v>0</v>
      </c>
      <c r="K33" s="367">
        <f>E33+E34</f>
        <v>0</v>
      </c>
      <c r="L33" s="350">
        <f>F33+F34</f>
        <v>0</v>
      </c>
      <c r="M33" s="350">
        <f>K33+L33</f>
        <v>0</v>
      </c>
      <c r="N33" s="350">
        <f>H33+H34</f>
        <v>0</v>
      </c>
      <c r="O33" s="350">
        <f t="shared" ref="O33" si="94">M33-N33</f>
        <v>0</v>
      </c>
      <c r="P33" s="351">
        <v>0</v>
      </c>
    </row>
    <row r="34" spans="2:16">
      <c r="B34" s="354"/>
      <c r="C34" s="370"/>
      <c r="D34" s="29" t="s">
        <v>8</v>
      </c>
      <c r="E34" s="68">
        <v>0</v>
      </c>
      <c r="F34" s="269">
        <f>233.478+233.478+311.304+233.478+233.478-1245.216</f>
        <v>0</v>
      </c>
      <c r="G34" s="189">
        <f>E34+F34+I33</f>
        <v>0</v>
      </c>
      <c r="H34" s="269"/>
      <c r="I34" s="189">
        <f t="shared" si="0"/>
        <v>0</v>
      </c>
      <c r="J34" s="126">
        <v>0</v>
      </c>
      <c r="K34" s="340"/>
      <c r="L34" s="338"/>
      <c r="M34" s="338"/>
      <c r="N34" s="338"/>
      <c r="O34" s="338"/>
      <c r="P34" s="344"/>
    </row>
    <row r="35" spans="2:16">
      <c r="B35" s="354"/>
      <c r="C35" s="366" t="s">
        <v>25</v>
      </c>
      <c r="D35" s="29" t="s">
        <v>7</v>
      </c>
      <c r="E35" s="68">
        <v>0</v>
      </c>
      <c r="F35" s="269">
        <f>3000-3000</f>
        <v>0</v>
      </c>
      <c r="G35" s="16"/>
      <c r="H35" s="269"/>
      <c r="I35" s="16"/>
      <c r="J35" s="33"/>
      <c r="K35" s="341"/>
      <c r="L35" s="339"/>
      <c r="M35" s="339"/>
      <c r="N35" s="339"/>
      <c r="O35" s="339"/>
      <c r="P35" s="363">
        <v>0</v>
      </c>
    </row>
    <row r="36" spans="2:16">
      <c r="B36" s="354"/>
      <c r="C36" s="370"/>
      <c r="D36" s="29" t="s">
        <v>8</v>
      </c>
      <c r="E36" s="68">
        <v>0</v>
      </c>
      <c r="F36" s="269"/>
      <c r="G36" s="16"/>
      <c r="H36" s="269"/>
      <c r="I36" s="16"/>
      <c r="J36" s="33"/>
      <c r="K36" s="367"/>
      <c r="L36" s="350"/>
      <c r="M36" s="350"/>
      <c r="N36" s="350"/>
      <c r="O36" s="350"/>
      <c r="P36" s="351"/>
    </row>
    <row r="37" spans="2:16">
      <c r="B37" s="354"/>
      <c r="C37" s="365" t="s">
        <v>254</v>
      </c>
      <c r="D37" s="29" t="s">
        <v>7</v>
      </c>
      <c r="E37" s="68">
        <v>0</v>
      </c>
      <c r="F37" s="269">
        <f>233.478+233.478+311.304-233.478-233.478-311.304</f>
        <v>0</v>
      </c>
      <c r="G37" s="16">
        <f t="shared" ref="G37" si="95">E37+F37</f>
        <v>0</v>
      </c>
      <c r="H37" s="269"/>
      <c r="I37" s="16">
        <f t="shared" si="0"/>
        <v>0</v>
      </c>
      <c r="J37" s="33">
        <v>0</v>
      </c>
      <c r="K37" s="367">
        <f t="shared" ref="K37" si="96">E37+E38</f>
        <v>0</v>
      </c>
      <c r="L37" s="350">
        <f t="shared" ref="L37" si="97">F37+F38</f>
        <v>0</v>
      </c>
      <c r="M37" s="350">
        <f t="shared" ref="M37" si="98">K37+L37</f>
        <v>0</v>
      </c>
      <c r="N37" s="350">
        <f t="shared" ref="N37" si="99">H37+H38</f>
        <v>0</v>
      </c>
      <c r="O37" s="350">
        <f t="shared" ref="O37" si="100">M37-N37</f>
        <v>0</v>
      </c>
      <c r="P37" s="352">
        <v>0</v>
      </c>
    </row>
    <row r="38" spans="2:16" ht="15.75" thickBot="1">
      <c r="B38" s="354"/>
      <c r="C38" s="366"/>
      <c r="D38" s="129" t="s">
        <v>8</v>
      </c>
      <c r="E38" s="85">
        <v>0</v>
      </c>
      <c r="F38" s="271"/>
      <c r="G38" s="130">
        <f t="shared" ref="G38" si="101">E38+F38+I37</f>
        <v>0</v>
      </c>
      <c r="H38" s="271"/>
      <c r="I38" s="130">
        <f t="shared" si="0"/>
        <v>0</v>
      </c>
      <c r="J38" s="132">
        <v>0</v>
      </c>
      <c r="K38" s="341"/>
      <c r="L38" s="339"/>
      <c r="M38" s="339"/>
      <c r="N38" s="339"/>
      <c r="O38" s="339"/>
      <c r="P38" s="346"/>
    </row>
    <row r="39" spans="2:16" ht="15" customHeight="1">
      <c r="B39" s="357" t="s">
        <v>38</v>
      </c>
      <c r="C39" s="371" t="s">
        <v>31</v>
      </c>
      <c r="D39" s="28" t="s">
        <v>7</v>
      </c>
      <c r="E39" s="67">
        <v>872.19</v>
      </c>
      <c r="F39" s="267">
        <f>-917</f>
        <v>-917</v>
      </c>
      <c r="G39" s="17">
        <f>E39+F39</f>
        <v>-44.809999999999945</v>
      </c>
      <c r="H39" s="267"/>
      <c r="I39" s="17">
        <f>G39-H39</f>
        <v>-44.809999999999945</v>
      </c>
      <c r="J39" s="35">
        <f t="shared" ref="J39:J70" si="102">H39/G39</f>
        <v>0</v>
      </c>
      <c r="K39" s="378">
        <f>E39+E40</f>
        <v>918.05500000000006</v>
      </c>
      <c r="L39" s="379">
        <f>F39+F40</f>
        <v>-917</v>
      </c>
      <c r="M39" s="379">
        <f>K39+L39</f>
        <v>1.0550000000000637</v>
      </c>
      <c r="N39" s="379">
        <f t="shared" ref="N39:N73" si="103">H39+H40</f>
        <v>0</v>
      </c>
      <c r="O39" s="379">
        <f>M39-N39</f>
        <v>1.0550000000000637</v>
      </c>
      <c r="P39" s="377">
        <f>N39/M39</f>
        <v>0</v>
      </c>
    </row>
    <row r="40" spans="2:16" ht="15" customHeight="1">
      <c r="B40" s="358"/>
      <c r="C40" s="355"/>
      <c r="D40" s="29" t="s">
        <v>8</v>
      </c>
      <c r="E40" s="68">
        <v>45.865000000000002</v>
      </c>
      <c r="F40" s="269"/>
      <c r="G40" s="127">
        <f>E40+F40+I39</f>
        <v>1.0550000000000566</v>
      </c>
      <c r="H40" s="269"/>
      <c r="I40" s="127">
        <f>G40-H40</f>
        <v>1.0550000000000566</v>
      </c>
      <c r="J40" s="38">
        <f t="shared" si="102"/>
        <v>0</v>
      </c>
      <c r="K40" s="360"/>
      <c r="L40" s="338"/>
      <c r="M40" s="338"/>
      <c r="N40" s="338"/>
      <c r="O40" s="338"/>
      <c r="P40" s="369"/>
    </row>
    <row r="41" spans="2:16" ht="15" customHeight="1">
      <c r="B41" s="358"/>
      <c r="C41" s="355" t="s">
        <v>9</v>
      </c>
      <c r="D41" s="29" t="s">
        <v>7</v>
      </c>
      <c r="E41" s="68">
        <v>2.69</v>
      </c>
      <c r="F41" s="269"/>
      <c r="G41" s="127">
        <f t="shared" ref="G41" si="104">E41+F41</f>
        <v>2.69</v>
      </c>
      <c r="H41" s="269"/>
      <c r="I41" s="127">
        <f t="shared" ref="I41:I74" si="105">G41-H41</f>
        <v>2.69</v>
      </c>
      <c r="J41" s="38">
        <f t="shared" si="102"/>
        <v>0</v>
      </c>
      <c r="K41" s="360">
        <f t="shared" ref="K41" si="106">E41+E42</f>
        <v>2.831</v>
      </c>
      <c r="L41" s="338">
        <f t="shared" ref="L41" si="107">F41+F42</f>
        <v>0</v>
      </c>
      <c r="M41" s="338">
        <f t="shared" ref="M41" si="108">K41+L41</f>
        <v>2.831</v>
      </c>
      <c r="N41" s="338">
        <f t="shared" si="103"/>
        <v>0</v>
      </c>
      <c r="O41" s="338">
        <f t="shared" ref="O41" si="109">M41-N41</f>
        <v>2.831</v>
      </c>
      <c r="P41" s="369">
        <f t="shared" ref="P41" si="110">N41/M41</f>
        <v>0</v>
      </c>
    </row>
    <row r="42" spans="2:16" ht="15" customHeight="1">
      <c r="B42" s="358"/>
      <c r="C42" s="355"/>
      <c r="D42" s="29" t="s">
        <v>8</v>
      </c>
      <c r="E42" s="68">
        <v>0.14099999999999999</v>
      </c>
      <c r="F42" s="269"/>
      <c r="G42" s="127">
        <f t="shared" ref="G42" si="111">E42+F42+I41</f>
        <v>2.831</v>
      </c>
      <c r="H42" s="269"/>
      <c r="I42" s="127">
        <f t="shared" si="105"/>
        <v>2.831</v>
      </c>
      <c r="J42" s="38">
        <f t="shared" si="102"/>
        <v>0</v>
      </c>
      <c r="K42" s="360"/>
      <c r="L42" s="338"/>
      <c r="M42" s="338"/>
      <c r="N42" s="338"/>
      <c r="O42" s="338"/>
      <c r="P42" s="369"/>
    </row>
    <row r="43" spans="2:16" ht="15" customHeight="1">
      <c r="B43" s="358"/>
      <c r="C43" s="355" t="s">
        <v>20</v>
      </c>
      <c r="D43" s="29" t="s">
        <v>7</v>
      </c>
      <c r="E43" s="68">
        <v>39.194000000000003</v>
      </c>
      <c r="F43" s="269"/>
      <c r="G43" s="127">
        <f t="shared" ref="G43" si="112">E43+F43</f>
        <v>39.194000000000003</v>
      </c>
      <c r="H43" s="269"/>
      <c r="I43" s="127">
        <f t="shared" si="105"/>
        <v>39.194000000000003</v>
      </c>
      <c r="J43" s="38">
        <f t="shared" si="102"/>
        <v>0</v>
      </c>
      <c r="K43" s="360">
        <f t="shared" ref="K43" si="113">E43+E44</f>
        <v>41.255000000000003</v>
      </c>
      <c r="L43" s="338">
        <f t="shared" ref="L43" si="114">F43+F44</f>
        <v>0</v>
      </c>
      <c r="M43" s="338">
        <f t="shared" ref="M43" si="115">K43+L43</f>
        <v>41.255000000000003</v>
      </c>
      <c r="N43" s="338">
        <f t="shared" si="103"/>
        <v>0</v>
      </c>
      <c r="O43" s="338">
        <f t="shared" ref="O43" si="116">M43-N43</f>
        <v>41.255000000000003</v>
      </c>
      <c r="P43" s="369">
        <f t="shared" ref="P43" si="117">N43/M43</f>
        <v>0</v>
      </c>
    </row>
    <row r="44" spans="2:16" ht="15" customHeight="1">
      <c r="B44" s="358"/>
      <c r="C44" s="355"/>
      <c r="D44" s="29" t="s">
        <v>8</v>
      </c>
      <c r="E44" s="68">
        <v>2.0609999999999999</v>
      </c>
      <c r="F44" s="269"/>
      <c r="G44" s="127">
        <f t="shared" ref="G44" si="118">E44+F44+I43</f>
        <v>41.255000000000003</v>
      </c>
      <c r="H44" s="269"/>
      <c r="I44" s="127">
        <f t="shared" si="105"/>
        <v>41.255000000000003</v>
      </c>
      <c r="J44" s="38">
        <f t="shared" si="102"/>
        <v>0</v>
      </c>
      <c r="K44" s="360"/>
      <c r="L44" s="338"/>
      <c r="M44" s="338"/>
      <c r="N44" s="338"/>
      <c r="O44" s="338"/>
      <c r="P44" s="369"/>
    </row>
    <row r="45" spans="2:16" ht="15" customHeight="1">
      <c r="B45" s="358"/>
      <c r="C45" s="355" t="s">
        <v>21</v>
      </c>
      <c r="D45" s="29" t="s">
        <v>7</v>
      </c>
      <c r="E45" s="68">
        <v>2374.19</v>
      </c>
      <c r="F45" s="269">
        <f>-350+131.388+131.388+131.388+131.388-525.552-2000</f>
        <v>-2350</v>
      </c>
      <c r="G45" s="127">
        <f t="shared" ref="G45" si="119">E45+F45</f>
        <v>24.190000000000055</v>
      </c>
      <c r="H45" s="269"/>
      <c r="I45" s="127">
        <f t="shared" si="105"/>
        <v>24.190000000000055</v>
      </c>
      <c r="J45" s="38">
        <f t="shared" si="102"/>
        <v>0</v>
      </c>
      <c r="K45" s="360">
        <f t="shared" ref="K45" si="120">E45+E46</f>
        <v>2499.0390000000002</v>
      </c>
      <c r="L45" s="338">
        <f t="shared" ref="L45" si="121">F45+F46</f>
        <v>-2350</v>
      </c>
      <c r="M45" s="338">
        <f t="shared" ref="M45" si="122">K45+L45</f>
        <v>149.03900000000021</v>
      </c>
      <c r="N45" s="338">
        <f t="shared" si="103"/>
        <v>0</v>
      </c>
      <c r="O45" s="338">
        <f t="shared" ref="O45" si="123">M45-N45</f>
        <v>149.03900000000021</v>
      </c>
      <c r="P45" s="369">
        <f t="shared" ref="P45" si="124">N45/M45</f>
        <v>0</v>
      </c>
    </row>
    <row r="46" spans="2:16" ht="15" customHeight="1">
      <c r="B46" s="358"/>
      <c r="C46" s="355"/>
      <c r="D46" s="29" t="s">
        <v>8</v>
      </c>
      <c r="E46" s="68">
        <v>124.849</v>
      </c>
      <c r="F46" s="269"/>
      <c r="G46" s="127">
        <f t="shared" ref="G46" si="125">E46+F46+I45</f>
        <v>149.03900000000004</v>
      </c>
      <c r="H46" s="269"/>
      <c r="I46" s="127">
        <f t="shared" si="105"/>
        <v>149.03900000000004</v>
      </c>
      <c r="J46" s="38">
        <f t="shared" si="102"/>
        <v>0</v>
      </c>
      <c r="K46" s="360"/>
      <c r="L46" s="338"/>
      <c r="M46" s="338"/>
      <c r="N46" s="338"/>
      <c r="O46" s="338"/>
      <c r="P46" s="369"/>
    </row>
    <row r="47" spans="2:16" ht="15" customHeight="1">
      <c r="B47" s="358"/>
      <c r="C47" s="355" t="s">
        <v>10</v>
      </c>
      <c r="D47" s="29" t="s">
        <v>7</v>
      </c>
      <c r="E47" s="68">
        <v>155.083</v>
      </c>
      <c r="F47" s="269">
        <f>-163.238</f>
        <v>-163.238</v>
      </c>
      <c r="G47" s="127">
        <f t="shared" ref="G47" si="126">E47+F47</f>
        <v>-8.1550000000000011</v>
      </c>
      <c r="H47" s="269"/>
      <c r="I47" s="127">
        <f t="shared" si="105"/>
        <v>-8.1550000000000011</v>
      </c>
      <c r="J47" s="38">
        <f t="shared" si="102"/>
        <v>0</v>
      </c>
      <c r="K47" s="360">
        <f t="shared" ref="K47" si="127">E47+E48</f>
        <v>163.238</v>
      </c>
      <c r="L47" s="338">
        <f t="shared" ref="L47" si="128">F47+F48</f>
        <v>-163.238</v>
      </c>
      <c r="M47" s="338">
        <f t="shared" ref="M47" si="129">K47+L47</f>
        <v>0</v>
      </c>
      <c r="N47" s="338">
        <f t="shared" si="103"/>
        <v>0</v>
      </c>
      <c r="O47" s="338">
        <f t="shared" ref="O47" si="130">M47-N47</f>
        <v>0</v>
      </c>
      <c r="P47" s="345">
        <v>0</v>
      </c>
    </row>
    <row r="48" spans="2:16" ht="15" customHeight="1">
      <c r="B48" s="358"/>
      <c r="C48" s="355"/>
      <c r="D48" s="29" t="s">
        <v>8</v>
      </c>
      <c r="E48" s="68">
        <v>8.1549999999999994</v>
      </c>
      <c r="F48" s="269"/>
      <c r="G48" s="127">
        <f>E48+F48+I47</f>
        <v>0</v>
      </c>
      <c r="H48" s="269"/>
      <c r="I48" s="127">
        <f t="shared" si="105"/>
        <v>0</v>
      </c>
      <c r="J48" s="38">
        <v>0</v>
      </c>
      <c r="K48" s="360"/>
      <c r="L48" s="338"/>
      <c r="M48" s="338"/>
      <c r="N48" s="338"/>
      <c r="O48" s="338"/>
      <c r="P48" s="345"/>
    </row>
    <row r="49" spans="2:16" ht="15" customHeight="1">
      <c r="B49" s="358"/>
      <c r="C49" s="355" t="s">
        <v>22</v>
      </c>
      <c r="D49" s="29" t="s">
        <v>7</v>
      </c>
      <c r="E49" s="68">
        <v>60.225000000000001</v>
      </c>
      <c r="F49" s="135">
        <f>49.271+49.271+65.694+65.694+65.694+65.694+98.541-459.858-63</f>
        <v>-62.998999999999967</v>
      </c>
      <c r="G49" s="127">
        <f>E49+F49</f>
        <v>-2.7739999999999654</v>
      </c>
      <c r="H49" s="269"/>
      <c r="I49" s="127">
        <f t="shared" si="105"/>
        <v>-2.7739999999999654</v>
      </c>
      <c r="J49" s="38">
        <f t="shared" si="102"/>
        <v>0</v>
      </c>
      <c r="K49" s="360">
        <f t="shared" ref="K49" si="131">E49+E50</f>
        <v>63.392000000000003</v>
      </c>
      <c r="L49" s="338">
        <f t="shared" ref="L49" si="132">F49+F50</f>
        <v>-62.998999999999967</v>
      </c>
      <c r="M49" s="338">
        <f t="shared" ref="M49" si="133">K49+L49</f>
        <v>0.39300000000003621</v>
      </c>
      <c r="N49" s="338">
        <f t="shared" si="103"/>
        <v>0</v>
      </c>
      <c r="O49" s="338">
        <f t="shared" ref="O49" si="134">M49-N49</f>
        <v>0.39300000000003621</v>
      </c>
      <c r="P49" s="369">
        <f t="shared" ref="P49" si="135">N49/M49</f>
        <v>0</v>
      </c>
    </row>
    <row r="50" spans="2:16" ht="15" customHeight="1">
      <c r="B50" s="358"/>
      <c r="C50" s="355"/>
      <c r="D50" s="29" t="s">
        <v>8</v>
      </c>
      <c r="E50" s="68">
        <v>3.1669999999999998</v>
      </c>
      <c r="F50" s="269"/>
      <c r="G50" s="127">
        <f t="shared" ref="G50" si="136">E50+F50+I49</f>
        <v>0.39300000000003443</v>
      </c>
      <c r="H50" s="269"/>
      <c r="I50" s="127">
        <f t="shared" si="105"/>
        <v>0.39300000000003443</v>
      </c>
      <c r="J50" s="38">
        <f t="shared" si="102"/>
        <v>0</v>
      </c>
      <c r="K50" s="360"/>
      <c r="L50" s="338"/>
      <c r="M50" s="338"/>
      <c r="N50" s="338"/>
      <c r="O50" s="338"/>
      <c r="P50" s="369"/>
    </row>
    <row r="51" spans="2:16" ht="15" customHeight="1">
      <c r="B51" s="358"/>
      <c r="C51" s="355" t="s">
        <v>165</v>
      </c>
      <c r="D51" s="29" t="s">
        <v>7</v>
      </c>
      <c r="E51" s="68">
        <v>100.98099999999999</v>
      </c>
      <c r="F51" s="269">
        <f>-65.705-344.894+49.271+65.694+98.541+131.388</f>
        <v>-65.704999999999956</v>
      </c>
      <c r="G51" s="127">
        <f t="shared" ref="G51" si="137">E51+F51</f>
        <v>35.276000000000039</v>
      </c>
      <c r="H51" s="269"/>
      <c r="I51" s="127">
        <f t="shared" si="105"/>
        <v>35.276000000000039</v>
      </c>
      <c r="J51" s="38">
        <f t="shared" si="102"/>
        <v>0</v>
      </c>
      <c r="K51" s="360">
        <f t="shared" ref="K51" si="138">E51+E52</f>
        <v>106.291</v>
      </c>
      <c r="L51" s="338">
        <f t="shared" ref="L51" si="139">F51+F52</f>
        <v>-65.704999999999956</v>
      </c>
      <c r="M51" s="338">
        <f t="shared" ref="M51" si="140">K51+L51</f>
        <v>40.586000000000041</v>
      </c>
      <c r="N51" s="338">
        <f t="shared" si="103"/>
        <v>0</v>
      </c>
      <c r="O51" s="338">
        <f t="shared" ref="O51" si="141">M51-N51</f>
        <v>40.586000000000041</v>
      </c>
      <c r="P51" s="369">
        <f t="shared" ref="P51" si="142">N51/M51</f>
        <v>0</v>
      </c>
    </row>
    <row r="52" spans="2:16" ht="15" customHeight="1">
      <c r="B52" s="358"/>
      <c r="C52" s="355"/>
      <c r="D52" s="29" t="s">
        <v>8</v>
      </c>
      <c r="E52" s="68">
        <v>5.31</v>
      </c>
      <c r="F52" s="269"/>
      <c r="G52" s="127">
        <f t="shared" ref="G52" si="143">E52+F52+I51</f>
        <v>40.586000000000041</v>
      </c>
      <c r="H52" s="269"/>
      <c r="I52" s="127">
        <f t="shared" si="105"/>
        <v>40.586000000000041</v>
      </c>
      <c r="J52" s="38">
        <f t="shared" si="102"/>
        <v>0</v>
      </c>
      <c r="K52" s="360"/>
      <c r="L52" s="338"/>
      <c r="M52" s="338"/>
      <c r="N52" s="338"/>
      <c r="O52" s="338"/>
      <c r="P52" s="369"/>
    </row>
    <row r="53" spans="2:16" ht="15" customHeight="1">
      <c r="B53" s="358"/>
      <c r="C53" s="355" t="s">
        <v>23</v>
      </c>
      <c r="D53" s="29" t="s">
        <v>7</v>
      </c>
      <c r="E53" s="68">
        <v>9.94</v>
      </c>
      <c r="F53" s="269"/>
      <c r="G53" s="127">
        <f t="shared" ref="G53" si="144">E53+F53</f>
        <v>9.94</v>
      </c>
      <c r="H53" s="269"/>
      <c r="I53" s="127">
        <f t="shared" si="105"/>
        <v>9.94</v>
      </c>
      <c r="J53" s="38">
        <f t="shared" si="102"/>
        <v>0</v>
      </c>
      <c r="K53" s="360">
        <f t="shared" ref="K53" si="145">E53+E54</f>
        <v>10.462999999999999</v>
      </c>
      <c r="L53" s="338">
        <f t="shared" ref="L53" si="146">F53+F54</f>
        <v>0</v>
      </c>
      <c r="M53" s="338">
        <f t="shared" ref="M53" si="147">K53+L53</f>
        <v>10.462999999999999</v>
      </c>
      <c r="N53" s="338">
        <f t="shared" si="103"/>
        <v>0</v>
      </c>
      <c r="O53" s="338">
        <f t="shared" ref="O53" si="148">M53-N53</f>
        <v>10.462999999999999</v>
      </c>
      <c r="P53" s="369">
        <f t="shared" ref="P53" si="149">N53/M53</f>
        <v>0</v>
      </c>
    </row>
    <row r="54" spans="2:16" ht="15" customHeight="1">
      <c r="B54" s="358"/>
      <c r="C54" s="355"/>
      <c r="D54" s="29" t="s">
        <v>8</v>
      </c>
      <c r="E54" s="68">
        <v>0.52300000000000002</v>
      </c>
      <c r="F54" s="269"/>
      <c r="G54" s="127">
        <f t="shared" ref="G54" si="150">E54+F54+I53</f>
        <v>10.462999999999999</v>
      </c>
      <c r="H54" s="269"/>
      <c r="I54" s="127">
        <f t="shared" si="105"/>
        <v>10.462999999999999</v>
      </c>
      <c r="J54" s="38">
        <f t="shared" si="102"/>
        <v>0</v>
      </c>
      <c r="K54" s="360"/>
      <c r="L54" s="338"/>
      <c r="M54" s="338"/>
      <c r="N54" s="338"/>
      <c r="O54" s="338"/>
      <c r="P54" s="369"/>
    </row>
    <row r="55" spans="2:16" ht="15" customHeight="1">
      <c r="B55" s="358"/>
      <c r="C55" s="355" t="s">
        <v>24</v>
      </c>
      <c r="D55" s="29" t="s">
        <v>7</v>
      </c>
      <c r="E55" s="68">
        <v>68.872</v>
      </c>
      <c r="F55" s="269">
        <f>-68.005</f>
        <v>-68.004999999999995</v>
      </c>
      <c r="G55" s="127">
        <f t="shared" ref="G55" si="151">E55+F55</f>
        <v>0.86700000000000443</v>
      </c>
      <c r="H55" s="269"/>
      <c r="I55" s="127">
        <f t="shared" si="105"/>
        <v>0.86700000000000443</v>
      </c>
      <c r="J55" s="38">
        <f t="shared" si="102"/>
        <v>0</v>
      </c>
      <c r="K55" s="360">
        <f t="shared" ref="K55" si="152">E55+E56</f>
        <v>72.494</v>
      </c>
      <c r="L55" s="338">
        <f t="shared" ref="L55" si="153">F55+F56</f>
        <v>-68.004999999999995</v>
      </c>
      <c r="M55" s="338">
        <f t="shared" ref="M55" si="154">K55+L55</f>
        <v>4.4890000000000043</v>
      </c>
      <c r="N55" s="338">
        <f t="shared" si="103"/>
        <v>0</v>
      </c>
      <c r="O55" s="338">
        <f t="shared" ref="O55" si="155">M55-N55</f>
        <v>4.4890000000000043</v>
      </c>
      <c r="P55" s="369">
        <f t="shared" ref="P55" si="156">N55/M55</f>
        <v>0</v>
      </c>
    </row>
    <row r="56" spans="2:16" ht="15" customHeight="1">
      <c r="B56" s="358"/>
      <c r="C56" s="355"/>
      <c r="D56" s="29" t="s">
        <v>8</v>
      </c>
      <c r="E56" s="68">
        <v>3.6219999999999999</v>
      </c>
      <c r="F56" s="269"/>
      <c r="G56" s="127">
        <f t="shared" ref="G56" si="157">E56+F56+I55</f>
        <v>4.4890000000000043</v>
      </c>
      <c r="H56" s="269"/>
      <c r="I56" s="127">
        <f t="shared" si="105"/>
        <v>4.4890000000000043</v>
      </c>
      <c r="J56" s="38">
        <f t="shared" si="102"/>
        <v>0</v>
      </c>
      <c r="K56" s="360"/>
      <c r="L56" s="338"/>
      <c r="M56" s="338"/>
      <c r="N56" s="338"/>
      <c r="O56" s="338"/>
      <c r="P56" s="369"/>
    </row>
    <row r="57" spans="2:16" ht="15" customHeight="1">
      <c r="B57" s="358"/>
      <c r="C57" s="355" t="s">
        <v>25</v>
      </c>
      <c r="D57" s="29" t="s">
        <v>7</v>
      </c>
      <c r="E57" s="68">
        <v>4.4729999999999999</v>
      </c>
      <c r="F57" s="269">
        <f>-3.708+3000</f>
        <v>2996.2919999999999</v>
      </c>
      <c r="G57" s="127">
        <f t="shared" ref="G57" si="158">E57+F57</f>
        <v>3000.7649999999999</v>
      </c>
      <c r="H57" s="269"/>
      <c r="I57" s="127">
        <f t="shared" si="105"/>
        <v>3000.7649999999999</v>
      </c>
      <c r="J57" s="38">
        <f t="shared" si="102"/>
        <v>0</v>
      </c>
      <c r="K57" s="360">
        <f t="shared" ref="K57" si="159">E57+E58</f>
        <v>4.7080000000000002</v>
      </c>
      <c r="L57" s="338">
        <f t="shared" ref="L57" si="160">F57+F58</f>
        <v>2996.2919999999999</v>
      </c>
      <c r="M57" s="338">
        <f t="shared" ref="M57" si="161">K57+L57</f>
        <v>3001</v>
      </c>
      <c r="N57" s="338">
        <f t="shared" si="103"/>
        <v>0</v>
      </c>
      <c r="O57" s="338">
        <f t="shared" ref="O57" si="162">M57-N57</f>
        <v>3001</v>
      </c>
      <c r="P57" s="369">
        <f t="shared" ref="P57" si="163">N57/M57</f>
        <v>0</v>
      </c>
    </row>
    <row r="58" spans="2:16" ht="15" customHeight="1">
      <c r="B58" s="358"/>
      <c r="C58" s="355"/>
      <c r="D58" s="29" t="s">
        <v>8</v>
      </c>
      <c r="E58" s="68">
        <v>0.23499999999999999</v>
      </c>
      <c r="F58" s="269"/>
      <c r="G58" s="127">
        <f t="shared" ref="G58" si="164">E58+F58+I57</f>
        <v>3001</v>
      </c>
      <c r="H58" s="269"/>
      <c r="I58" s="127">
        <f t="shared" si="105"/>
        <v>3001</v>
      </c>
      <c r="J58" s="38">
        <f t="shared" si="102"/>
        <v>0</v>
      </c>
      <c r="K58" s="360"/>
      <c r="L58" s="338"/>
      <c r="M58" s="338"/>
      <c r="N58" s="338"/>
      <c r="O58" s="338"/>
      <c r="P58" s="369"/>
    </row>
    <row r="59" spans="2:16" ht="15" customHeight="1">
      <c r="B59" s="358"/>
      <c r="C59" s="355" t="s">
        <v>26</v>
      </c>
      <c r="D59" s="29" t="s">
        <v>7</v>
      </c>
      <c r="E59" s="68">
        <f>4536.001+124.824</f>
        <v>4660.8249999999998</v>
      </c>
      <c r="F59" s="269">
        <f>-4000+65.694+49.271</f>
        <v>-3885.0349999999999</v>
      </c>
      <c r="G59" s="127">
        <f t="shared" ref="G59" si="165">E59+F59</f>
        <v>775.79</v>
      </c>
      <c r="H59" s="269">
        <v>748.61900000000003</v>
      </c>
      <c r="I59" s="127">
        <f t="shared" si="105"/>
        <v>27.170999999999935</v>
      </c>
      <c r="J59" s="38">
        <f t="shared" si="102"/>
        <v>0.96497634669175947</v>
      </c>
      <c r="K59" s="360">
        <f t="shared" ref="K59" si="166">E59+E60</f>
        <v>4905.9189999999999</v>
      </c>
      <c r="L59" s="338">
        <f t="shared" ref="L59" si="167">F59+F60</f>
        <v>-3885.0349999999999</v>
      </c>
      <c r="M59" s="338">
        <f t="shared" ref="M59" si="168">K59+L59</f>
        <v>1020.884</v>
      </c>
      <c r="N59" s="338">
        <f t="shared" si="103"/>
        <v>748.61900000000003</v>
      </c>
      <c r="O59" s="338">
        <f t="shared" ref="O59" si="169">M59-N59</f>
        <v>272.26499999999999</v>
      </c>
      <c r="P59" s="369">
        <f t="shared" ref="P59" si="170">N59/M59</f>
        <v>0.73330466536844541</v>
      </c>
    </row>
    <row r="60" spans="2:16" ht="15" customHeight="1">
      <c r="B60" s="358"/>
      <c r="C60" s="355"/>
      <c r="D60" s="29" t="s">
        <v>8</v>
      </c>
      <c r="E60" s="68">
        <f>238.53+6.564</f>
        <v>245.09399999999999</v>
      </c>
      <c r="F60" s="269"/>
      <c r="G60" s="127">
        <f t="shared" ref="G60" si="171">E60+F60+I59</f>
        <v>272.26499999999993</v>
      </c>
      <c r="H60" s="269"/>
      <c r="I60" s="127">
        <f t="shared" si="105"/>
        <v>272.26499999999993</v>
      </c>
      <c r="J60" s="38">
        <f t="shared" si="102"/>
        <v>0</v>
      </c>
      <c r="K60" s="360"/>
      <c r="L60" s="338"/>
      <c r="M60" s="338"/>
      <c r="N60" s="338"/>
      <c r="O60" s="338"/>
      <c r="P60" s="369"/>
    </row>
    <row r="61" spans="2:16" ht="15" customHeight="1">
      <c r="B61" s="358"/>
      <c r="C61" s="355" t="s">
        <v>27</v>
      </c>
      <c r="D61" s="29" t="s">
        <v>7</v>
      </c>
      <c r="E61" s="68">
        <v>617.86199999999997</v>
      </c>
      <c r="F61" s="269">
        <f>-600.09</f>
        <v>-600.09</v>
      </c>
      <c r="G61" s="127">
        <f t="shared" ref="G61" si="172">E61+F61</f>
        <v>17.771999999999935</v>
      </c>
      <c r="H61" s="269"/>
      <c r="I61" s="127">
        <f t="shared" si="105"/>
        <v>17.771999999999935</v>
      </c>
      <c r="J61" s="38">
        <f t="shared" si="102"/>
        <v>0</v>
      </c>
      <c r="K61" s="360">
        <f t="shared" ref="K61" si="173">E61+E62</f>
        <v>650.35299999999995</v>
      </c>
      <c r="L61" s="338">
        <f t="shared" ref="L61" si="174">F61+F62</f>
        <v>-600.09</v>
      </c>
      <c r="M61" s="338">
        <f t="shared" ref="M61" si="175">K61+L61</f>
        <v>50.26299999999992</v>
      </c>
      <c r="N61" s="338">
        <f t="shared" si="103"/>
        <v>0</v>
      </c>
      <c r="O61" s="338">
        <f t="shared" ref="O61" si="176">M61-N61</f>
        <v>50.26299999999992</v>
      </c>
      <c r="P61" s="369">
        <f t="shared" ref="P61" si="177">N61/M61</f>
        <v>0</v>
      </c>
    </row>
    <row r="62" spans="2:16" ht="15" customHeight="1">
      <c r="B62" s="358"/>
      <c r="C62" s="355"/>
      <c r="D62" s="29" t="s">
        <v>8</v>
      </c>
      <c r="E62" s="68">
        <v>32.491</v>
      </c>
      <c r="F62" s="269"/>
      <c r="G62" s="127">
        <f t="shared" ref="G62" si="178">E62+F62+I61</f>
        <v>50.262999999999934</v>
      </c>
      <c r="H62" s="269"/>
      <c r="I62" s="127">
        <f t="shared" si="105"/>
        <v>50.262999999999934</v>
      </c>
      <c r="J62" s="38">
        <f t="shared" si="102"/>
        <v>0</v>
      </c>
      <c r="K62" s="360"/>
      <c r="L62" s="338"/>
      <c r="M62" s="338"/>
      <c r="N62" s="338"/>
      <c r="O62" s="338"/>
      <c r="P62" s="369"/>
    </row>
    <row r="63" spans="2:16" ht="15" customHeight="1">
      <c r="B63" s="358"/>
      <c r="C63" s="355" t="s">
        <v>28</v>
      </c>
      <c r="D63" s="29" t="s">
        <v>7</v>
      </c>
      <c r="E63" s="68">
        <v>46.808999999999997</v>
      </c>
      <c r="F63" s="269">
        <f>-49.271</f>
        <v>-49.271000000000001</v>
      </c>
      <c r="G63" s="127">
        <f t="shared" ref="G63" si="179">E63+F63</f>
        <v>-2.4620000000000033</v>
      </c>
      <c r="H63" s="269"/>
      <c r="I63" s="127">
        <f t="shared" si="105"/>
        <v>-2.4620000000000033</v>
      </c>
      <c r="J63" s="38">
        <f t="shared" si="102"/>
        <v>0</v>
      </c>
      <c r="K63" s="360">
        <f t="shared" ref="K63" si="180">E63+E64</f>
        <v>49.271000000000001</v>
      </c>
      <c r="L63" s="338">
        <f t="shared" ref="L63" si="181">F63+F64</f>
        <v>-49.271000000000001</v>
      </c>
      <c r="M63" s="338">
        <f t="shared" ref="M63" si="182">K63+L63</f>
        <v>0</v>
      </c>
      <c r="N63" s="338">
        <f t="shared" si="103"/>
        <v>0</v>
      </c>
      <c r="O63" s="338">
        <f t="shared" ref="O63" si="183">M63-N63</f>
        <v>0</v>
      </c>
      <c r="P63" s="345">
        <v>0</v>
      </c>
    </row>
    <row r="64" spans="2:16" ht="15" customHeight="1">
      <c r="B64" s="358"/>
      <c r="C64" s="355"/>
      <c r="D64" s="29" t="s">
        <v>8</v>
      </c>
      <c r="E64" s="68">
        <v>2.4620000000000002</v>
      </c>
      <c r="F64" s="269"/>
      <c r="G64" s="127">
        <f t="shared" ref="G64" si="184">E64+F64+I63</f>
        <v>0</v>
      </c>
      <c r="H64" s="269"/>
      <c r="I64" s="127">
        <f t="shared" si="105"/>
        <v>0</v>
      </c>
      <c r="J64" s="38">
        <v>0</v>
      </c>
      <c r="K64" s="360"/>
      <c r="L64" s="338"/>
      <c r="M64" s="338"/>
      <c r="N64" s="338"/>
      <c r="O64" s="338"/>
      <c r="P64" s="345"/>
    </row>
    <row r="65" spans="2:16" ht="15" customHeight="1">
      <c r="B65" s="358"/>
      <c r="C65" s="355" t="s">
        <v>29</v>
      </c>
      <c r="D65" s="29" t="s">
        <v>7</v>
      </c>
      <c r="E65" s="68">
        <v>436.88400000000001</v>
      </c>
      <c r="F65" s="269">
        <f>-49.271-49.271-65.694-65.694-65.694-65.694-98.541</f>
        <v>-459.85900000000004</v>
      </c>
      <c r="G65" s="127">
        <f t="shared" ref="G65" si="185">E65+F65</f>
        <v>-22.975000000000023</v>
      </c>
      <c r="H65" s="269"/>
      <c r="I65" s="127">
        <f t="shared" si="105"/>
        <v>-22.975000000000023</v>
      </c>
      <c r="J65" s="38">
        <f t="shared" si="102"/>
        <v>0</v>
      </c>
      <c r="K65" s="360">
        <f t="shared" ref="K65" si="186">E65+E66</f>
        <v>459.85900000000004</v>
      </c>
      <c r="L65" s="338">
        <f t="shared" ref="L65" si="187">F65+F66</f>
        <v>-459.85900000000004</v>
      </c>
      <c r="M65" s="338">
        <f t="shared" ref="M65" si="188">K65+L65</f>
        <v>0</v>
      </c>
      <c r="N65" s="338">
        <f t="shared" si="103"/>
        <v>0</v>
      </c>
      <c r="O65" s="338">
        <f t="shared" ref="O65" si="189">M65-N65</f>
        <v>0</v>
      </c>
      <c r="P65" s="344">
        <v>0</v>
      </c>
    </row>
    <row r="66" spans="2:16" ht="15" customHeight="1">
      <c r="B66" s="358"/>
      <c r="C66" s="355"/>
      <c r="D66" s="29" t="s">
        <v>8</v>
      </c>
      <c r="E66" s="68">
        <v>22.975000000000001</v>
      </c>
      <c r="F66" s="269"/>
      <c r="G66" s="127">
        <f>E66+F66+I65</f>
        <v>0</v>
      </c>
      <c r="H66" s="269"/>
      <c r="I66" s="127">
        <f t="shared" si="105"/>
        <v>0</v>
      </c>
      <c r="J66" s="38">
        <v>0</v>
      </c>
      <c r="K66" s="360"/>
      <c r="L66" s="338"/>
      <c r="M66" s="338"/>
      <c r="N66" s="338"/>
      <c r="O66" s="338"/>
      <c r="P66" s="344"/>
    </row>
    <row r="67" spans="2:16" ht="15" customHeight="1">
      <c r="B67" s="358"/>
      <c r="C67" s="355" t="s">
        <v>30</v>
      </c>
      <c r="D67" s="29" t="s">
        <v>7</v>
      </c>
      <c r="E67" s="68">
        <v>327.66300000000001</v>
      </c>
      <c r="F67" s="269">
        <f>-49.271-65.694-98.541-131.388</f>
        <v>-344.89400000000001</v>
      </c>
      <c r="G67" s="127">
        <f t="shared" ref="G67" si="190">E67+F67</f>
        <v>-17.230999999999995</v>
      </c>
      <c r="H67" s="269"/>
      <c r="I67" s="127">
        <f t="shared" si="105"/>
        <v>-17.230999999999995</v>
      </c>
      <c r="J67" s="38">
        <f t="shared" si="102"/>
        <v>0</v>
      </c>
      <c r="K67" s="360">
        <f t="shared" ref="K67" si="191">E67+E68</f>
        <v>344.89400000000001</v>
      </c>
      <c r="L67" s="338">
        <f t="shared" ref="L67" si="192">F67+F68</f>
        <v>-344.89400000000001</v>
      </c>
      <c r="M67" s="338">
        <f t="shared" ref="M67" si="193">K67+L67</f>
        <v>0</v>
      </c>
      <c r="N67" s="338">
        <f t="shared" si="103"/>
        <v>0</v>
      </c>
      <c r="O67" s="338">
        <f t="shared" ref="O67" si="194">M67-N67</f>
        <v>0</v>
      </c>
      <c r="P67" s="380">
        <v>0</v>
      </c>
    </row>
    <row r="68" spans="2:16" ht="15" customHeight="1">
      <c r="B68" s="358"/>
      <c r="C68" s="355"/>
      <c r="D68" s="29" t="s">
        <v>8</v>
      </c>
      <c r="E68" s="68">
        <v>17.231000000000002</v>
      </c>
      <c r="F68" s="269"/>
      <c r="G68" s="127">
        <f t="shared" ref="G68" si="195">E68+F68+I67</f>
        <v>0</v>
      </c>
      <c r="H68" s="269"/>
      <c r="I68" s="127">
        <f t="shared" si="105"/>
        <v>0</v>
      </c>
      <c r="J68" s="38">
        <v>0</v>
      </c>
      <c r="K68" s="360"/>
      <c r="L68" s="338"/>
      <c r="M68" s="338"/>
      <c r="N68" s="338"/>
      <c r="O68" s="338"/>
      <c r="P68" s="380"/>
    </row>
    <row r="69" spans="2:16" ht="15" customHeight="1">
      <c r="B69" s="358"/>
      <c r="C69" s="355" t="s">
        <v>166</v>
      </c>
      <c r="D69" s="29" t="s">
        <v>7</v>
      </c>
      <c r="E69" s="68">
        <v>124.824</v>
      </c>
      <c r="F69" s="269">
        <f>-65-65.694</f>
        <v>-130.69400000000002</v>
      </c>
      <c r="G69" s="127">
        <f t="shared" ref="G69" si="196">E69+F69</f>
        <v>-5.8700000000000188</v>
      </c>
      <c r="H69" s="269"/>
      <c r="I69" s="127">
        <f t="shared" si="105"/>
        <v>-5.8700000000000188</v>
      </c>
      <c r="J69" s="38">
        <f t="shared" si="102"/>
        <v>0</v>
      </c>
      <c r="K69" s="360">
        <f t="shared" ref="K69" si="197">E69+E70</f>
        <v>131.38800000000001</v>
      </c>
      <c r="L69" s="338">
        <f t="shared" ref="L69" si="198">F69+F70</f>
        <v>-130.69400000000002</v>
      </c>
      <c r="M69" s="338">
        <f t="shared" ref="M69" si="199">K69+L69</f>
        <v>0.6939999999999884</v>
      </c>
      <c r="N69" s="338">
        <f t="shared" si="103"/>
        <v>0</v>
      </c>
      <c r="O69" s="338">
        <f t="shared" ref="O69" si="200">M69-N69</f>
        <v>0.6939999999999884</v>
      </c>
      <c r="P69" s="345">
        <f t="shared" ref="P69" si="201">N69/M69</f>
        <v>0</v>
      </c>
    </row>
    <row r="70" spans="2:16" ht="15" customHeight="1">
      <c r="B70" s="358"/>
      <c r="C70" s="355"/>
      <c r="D70" s="29" t="s">
        <v>8</v>
      </c>
      <c r="E70" s="68">
        <v>6.5640000000000001</v>
      </c>
      <c r="F70" s="269"/>
      <c r="G70" s="127">
        <f t="shared" ref="G70" si="202">E70+F70+I69</f>
        <v>0.6939999999999813</v>
      </c>
      <c r="H70" s="269"/>
      <c r="I70" s="127">
        <f t="shared" si="105"/>
        <v>0.6939999999999813</v>
      </c>
      <c r="J70" s="38">
        <f t="shared" si="102"/>
        <v>0</v>
      </c>
      <c r="K70" s="360"/>
      <c r="L70" s="338"/>
      <c r="M70" s="338"/>
      <c r="N70" s="338"/>
      <c r="O70" s="338"/>
      <c r="P70" s="345"/>
    </row>
    <row r="71" spans="2:16" ht="15" customHeight="1">
      <c r="B71" s="358"/>
      <c r="C71" s="355" t="s">
        <v>255</v>
      </c>
      <c r="D71" s="29" t="s">
        <v>7</v>
      </c>
      <c r="E71" s="68">
        <v>374.47199999999998</v>
      </c>
      <c r="F71" s="269">
        <f>131.388-262.776+262.776-131.388-131.388-131.388-131.388</f>
        <v>-394.16399999999999</v>
      </c>
      <c r="G71" s="127">
        <f t="shared" ref="G71" si="203">E71+F71</f>
        <v>-19.692000000000007</v>
      </c>
      <c r="H71" s="269"/>
      <c r="I71" s="127">
        <f t="shared" si="105"/>
        <v>-19.692000000000007</v>
      </c>
      <c r="J71" s="38">
        <v>0</v>
      </c>
      <c r="K71" s="360">
        <f t="shared" ref="K71" si="204">E71+E72</f>
        <v>394.16399999999999</v>
      </c>
      <c r="L71" s="338">
        <f t="shared" ref="L71" si="205">F71+F72</f>
        <v>-394.16399999999999</v>
      </c>
      <c r="M71" s="338">
        <f t="shared" ref="M71" si="206">K71+L71</f>
        <v>0</v>
      </c>
      <c r="N71" s="338">
        <f t="shared" si="103"/>
        <v>0</v>
      </c>
      <c r="O71" s="338">
        <f t="shared" ref="O71" si="207">M71-N71</f>
        <v>0</v>
      </c>
      <c r="P71" s="363">
        <v>0</v>
      </c>
    </row>
    <row r="72" spans="2:16" ht="15" customHeight="1">
      <c r="B72" s="358"/>
      <c r="C72" s="355"/>
      <c r="D72" s="29" t="s">
        <v>8</v>
      </c>
      <c r="E72" s="68">
        <v>19.692</v>
      </c>
      <c r="F72" s="269"/>
      <c r="G72" s="127">
        <f t="shared" ref="G72" si="208">E72+F72+I71</f>
        <v>0</v>
      </c>
      <c r="H72" s="269"/>
      <c r="I72" s="127">
        <f t="shared" si="105"/>
        <v>0</v>
      </c>
      <c r="J72" s="38">
        <v>0</v>
      </c>
      <c r="K72" s="360"/>
      <c r="L72" s="338"/>
      <c r="M72" s="338"/>
      <c r="N72" s="338"/>
      <c r="O72" s="338"/>
      <c r="P72" s="351"/>
    </row>
    <row r="73" spans="2:16" ht="18.75" customHeight="1">
      <c r="B73" s="358"/>
      <c r="C73" s="355" t="s">
        <v>254</v>
      </c>
      <c r="D73" s="29" t="s">
        <v>7</v>
      </c>
      <c r="E73" s="68">
        <v>124.824</v>
      </c>
      <c r="F73" s="269">
        <f>-131.388</f>
        <v>-131.38800000000001</v>
      </c>
      <c r="G73" s="127">
        <f t="shared" ref="G73" si="209">E73+F73</f>
        <v>-6.5640000000000072</v>
      </c>
      <c r="H73" s="269"/>
      <c r="I73" s="127">
        <f t="shared" si="105"/>
        <v>-6.5640000000000072</v>
      </c>
      <c r="J73" s="38">
        <v>0</v>
      </c>
      <c r="K73" s="360">
        <f t="shared" ref="K73" si="210">E73+E74</f>
        <v>131.38800000000001</v>
      </c>
      <c r="L73" s="338">
        <f t="shared" ref="L73" si="211">F73+F74</f>
        <v>-131.38800000000001</v>
      </c>
      <c r="M73" s="338">
        <f t="shared" ref="M73" si="212">K73+L73</f>
        <v>0</v>
      </c>
      <c r="N73" s="338">
        <f t="shared" si="103"/>
        <v>0</v>
      </c>
      <c r="O73" s="338">
        <f t="shared" ref="O73" si="213">M73-N73</f>
        <v>0</v>
      </c>
      <c r="P73" s="344">
        <v>0</v>
      </c>
    </row>
    <row r="74" spans="2:16" ht="19.5" customHeight="1" thickBot="1">
      <c r="B74" s="359"/>
      <c r="C74" s="356"/>
      <c r="D74" s="30" t="s">
        <v>8</v>
      </c>
      <c r="E74" s="69">
        <v>6.5640000000000001</v>
      </c>
      <c r="F74" s="268"/>
      <c r="G74" s="14">
        <v>0</v>
      </c>
      <c r="H74" s="268"/>
      <c r="I74" s="14">
        <f t="shared" si="105"/>
        <v>0</v>
      </c>
      <c r="J74" s="36">
        <v>0</v>
      </c>
      <c r="K74" s="361"/>
      <c r="L74" s="362"/>
      <c r="M74" s="362"/>
      <c r="N74" s="362"/>
      <c r="O74" s="362"/>
      <c r="P74" s="364"/>
    </row>
    <row r="75" spans="2:16" ht="15" customHeight="1">
      <c r="B75" s="335" t="s">
        <v>43</v>
      </c>
      <c r="C75" s="342" t="s">
        <v>31</v>
      </c>
      <c r="D75" s="86" t="s">
        <v>7</v>
      </c>
      <c r="E75" s="107">
        <v>20674.532999999999</v>
      </c>
      <c r="F75" s="270">
        <f>2900+704.64+704.64+704.64+1627.061+2755.729+589.432+917</f>
        <v>10903.142</v>
      </c>
      <c r="G75" s="16">
        <f>E75+F75</f>
        <v>31577.674999999999</v>
      </c>
      <c r="H75" s="270">
        <v>31944.118999999999</v>
      </c>
      <c r="I75" s="16">
        <f t="shared" ref="I75:I88" si="214">G75-H75</f>
        <v>-366.44399999999951</v>
      </c>
      <c r="J75" s="133">
        <f t="shared" ref="J75:J87" si="215">H75/G75</f>
        <v>1.0116045275657566</v>
      </c>
      <c r="K75" s="367">
        <f>E75+E76</f>
        <v>21096.499</v>
      </c>
      <c r="L75" s="350">
        <f t="shared" ref="L75" si="216">F75+F76</f>
        <v>10903.142</v>
      </c>
      <c r="M75" s="350">
        <f t="shared" ref="M75" si="217">K75+L75</f>
        <v>31999.641</v>
      </c>
      <c r="N75" s="350">
        <f t="shared" ref="N75" si="218">H75+H76</f>
        <v>31944.118999999999</v>
      </c>
      <c r="O75" s="350">
        <f t="shared" ref="O75" si="219">M75-N75</f>
        <v>55.522000000000844</v>
      </c>
      <c r="P75" s="381">
        <f t="shared" ref="P75" si="220">N75/M75</f>
        <v>0.9982649180345492</v>
      </c>
    </row>
    <row r="76" spans="2:16" ht="15" customHeight="1">
      <c r="B76" s="336"/>
      <c r="C76" s="343"/>
      <c r="D76" s="29" t="s">
        <v>8</v>
      </c>
      <c r="E76" s="68">
        <v>421.96600000000001</v>
      </c>
      <c r="F76" s="269"/>
      <c r="G76" s="125">
        <f>E76+F76+I75</f>
        <v>55.522000000000503</v>
      </c>
      <c r="H76" s="269"/>
      <c r="I76" s="125">
        <f t="shared" si="214"/>
        <v>55.522000000000503</v>
      </c>
      <c r="J76" s="38">
        <f t="shared" si="215"/>
        <v>0</v>
      </c>
      <c r="K76" s="340"/>
      <c r="L76" s="338"/>
      <c r="M76" s="338"/>
      <c r="N76" s="338"/>
      <c r="O76" s="338"/>
      <c r="P76" s="382"/>
    </row>
    <row r="77" spans="2:16" ht="15" customHeight="1">
      <c r="B77" s="336"/>
      <c r="C77" s="343" t="s">
        <v>21</v>
      </c>
      <c r="D77" s="29" t="s">
        <v>7</v>
      </c>
      <c r="E77" s="68">
        <v>46241.307999999997</v>
      </c>
      <c r="F77" s="135">
        <f>1800+704.64+704.64+350+1245.216+525.552+2000-2000</f>
        <v>5330.0479999999989</v>
      </c>
      <c r="G77" s="125">
        <f t="shared" ref="G77" si="221">E77+F77</f>
        <v>51571.356</v>
      </c>
      <c r="H77" s="269">
        <v>48444.661</v>
      </c>
      <c r="I77" s="125">
        <f t="shared" si="214"/>
        <v>3126.6949999999997</v>
      </c>
      <c r="J77" s="38">
        <f t="shared" si="215"/>
        <v>0.93937147978036495</v>
      </c>
      <c r="K77" s="340">
        <f>E77+E78</f>
        <v>47185.09</v>
      </c>
      <c r="L77" s="338">
        <f t="shared" ref="L77" si="222">F77+F78</f>
        <v>5330.0479999999989</v>
      </c>
      <c r="M77" s="383">
        <f t="shared" ref="M77" si="223">K77+L77</f>
        <v>52515.137999999992</v>
      </c>
      <c r="N77" s="338">
        <f t="shared" ref="N77" si="224">H77+H78</f>
        <v>51328.116999999998</v>
      </c>
      <c r="O77" s="338">
        <f t="shared" ref="O77" si="225">M77-N77</f>
        <v>1187.0209999999934</v>
      </c>
      <c r="P77" s="369">
        <f t="shared" ref="P77" si="226">N77/M77</f>
        <v>0.97739659372122389</v>
      </c>
    </row>
    <row r="78" spans="2:16" ht="15" customHeight="1">
      <c r="B78" s="336"/>
      <c r="C78" s="343"/>
      <c r="D78" s="29" t="s">
        <v>8</v>
      </c>
      <c r="E78" s="68">
        <v>943.78200000000004</v>
      </c>
      <c r="F78" s="269"/>
      <c r="G78" s="125">
        <f t="shared" ref="G78" si="227">E78+F78+I77</f>
        <v>4070.4769999999999</v>
      </c>
      <c r="H78" s="269">
        <v>2883.4560000000001</v>
      </c>
      <c r="I78" s="125">
        <f t="shared" si="214"/>
        <v>1187.0209999999997</v>
      </c>
      <c r="J78" s="38">
        <f t="shared" si="215"/>
        <v>0.70838282589485213</v>
      </c>
      <c r="K78" s="340"/>
      <c r="L78" s="338"/>
      <c r="M78" s="383"/>
      <c r="N78" s="338"/>
      <c r="O78" s="338"/>
      <c r="P78" s="369"/>
    </row>
    <row r="79" spans="2:16" ht="15" customHeight="1">
      <c r="B79" s="336"/>
      <c r="C79" s="343" t="s">
        <v>168</v>
      </c>
      <c r="D79" s="29" t="s">
        <v>7</v>
      </c>
      <c r="E79" s="68">
        <v>5.87</v>
      </c>
      <c r="F79" s="269"/>
      <c r="G79" s="125">
        <f t="shared" ref="G79" si="228">E79+F79</f>
        <v>5.87</v>
      </c>
      <c r="H79" s="269"/>
      <c r="I79" s="125">
        <f t="shared" si="214"/>
        <v>5.87</v>
      </c>
      <c r="J79" s="38">
        <f t="shared" si="215"/>
        <v>0</v>
      </c>
      <c r="K79" s="340">
        <f>E79+E80</f>
        <v>5.99</v>
      </c>
      <c r="L79" s="338">
        <f t="shared" ref="L79" si="229">F79+F80</f>
        <v>0</v>
      </c>
      <c r="M79" s="338">
        <f t="shared" ref="M79" si="230">K79+L79</f>
        <v>5.99</v>
      </c>
      <c r="N79" s="338">
        <f>H79+H80</f>
        <v>0</v>
      </c>
      <c r="O79" s="338">
        <f t="shared" ref="O79" si="231">M79-N79</f>
        <v>5.99</v>
      </c>
      <c r="P79" s="369">
        <f t="shared" ref="P79" si="232">N79/M79</f>
        <v>0</v>
      </c>
    </row>
    <row r="80" spans="2:16" ht="15" customHeight="1">
      <c r="B80" s="336"/>
      <c r="C80" s="343"/>
      <c r="D80" s="29" t="s">
        <v>8</v>
      </c>
      <c r="E80" s="68">
        <v>0.12</v>
      </c>
      <c r="F80" s="269"/>
      <c r="G80" s="125">
        <f t="shared" ref="G80" si="233">E80+F80+I79</f>
        <v>5.99</v>
      </c>
      <c r="H80" s="269"/>
      <c r="I80" s="125">
        <f>G80-H80</f>
        <v>5.99</v>
      </c>
      <c r="J80" s="38">
        <f>H80/G80</f>
        <v>0</v>
      </c>
      <c r="K80" s="340"/>
      <c r="L80" s="338"/>
      <c r="M80" s="338"/>
      <c r="N80" s="338"/>
      <c r="O80" s="338"/>
      <c r="P80" s="369"/>
    </row>
    <row r="81" spans="2:16" ht="15" customHeight="1">
      <c r="B81" s="336"/>
      <c r="C81" s="343" t="s">
        <v>27</v>
      </c>
      <c r="D81" s="29" t="s">
        <v>7</v>
      </c>
      <c r="E81" s="68">
        <v>38562.298000000003</v>
      </c>
      <c r="F81" s="269">
        <f>2412.606+704.64-2499.117+877.889+3500.097+2000.13+600.09+1000.29+1200.077</f>
        <v>9796.7019999999993</v>
      </c>
      <c r="G81" s="249">
        <f t="shared" ref="G81" si="234">E81+F81</f>
        <v>48359</v>
      </c>
      <c r="H81" s="269">
        <v>44607.232000000004</v>
      </c>
      <c r="I81" s="249">
        <f t="shared" si="214"/>
        <v>3751.7679999999964</v>
      </c>
      <c r="J81" s="128">
        <f>H81/G81</f>
        <v>0.92241841229140398</v>
      </c>
      <c r="K81" s="340">
        <f>E81+E82</f>
        <v>39349.351999999999</v>
      </c>
      <c r="L81" s="338">
        <f>F81+F82</f>
        <v>9796.7019999999993</v>
      </c>
      <c r="M81" s="338">
        <f>K81+L81</f>
        <v>49146.053999999996</v>
      </c>
      <c r="N81" s="338">
        <f>H81+H82</f>
        <v>49065.211000000003</v>
      </c>
      <c r="O81" s="338">
        <f t="shared" ref="O81" si="235">M81-N81</f>
        <v>80.842999999993481</v>
      </c>
      <c r="P81" s="369">
        <f t="shared" ref="P81" si="236">N81/M81</f>
        <v>0.99835504596157421</v>
      </c>
    </row>
    <row r="82" spans="2:16" ht="15" customHeight="1">
      <c r="B82" s="336"/>
      <c r="C82" s="343"/>
      <c r="D82" s="29" t="s">
        <v>8</v>
      </c>
      <c r="E82" s="68">
        <v>787.05399999999997</v>
      </c>
      <c r="F82" s="269"/>
      <c r="G82" s="249">
        <f t="shared" ref="G82" si="237">E82+F82+I81</f>
        <v>4538.8219999999965</v>
      </c>
      <c r="H82" s="269">
        <v>4457.9790000000003</v>
      </c>
      <c r="I82" s="249">
        <f>G82-H82</f>
        <v>80.842999999996209</v>
      </c>
      <c r="J82" s="128">
        <f>H82/G82</f>
        <v>0.98218855024497631</v>
      </c>
      <c r="K82" s="340"/>
      <c r="L82" s="338"/>
      <c r="M82" s="338"/>
      <c r="N82" s="338"/>
      <c r="O82" s="338"/>
      <c r="P82" s="369"/>
    </row>
    <row r="83" spans="2:16" ht="15" customHeight="1">
      <c r="B83" s="336"/>
      <c r="C83" s="343" t="s">
        <v>10</v>
      </c>
      <c r="D83" s="29" t="s">
        <v>7</v>
      </c>
      <c r="E83" s="68">
        <v>544.77200000000005</v>
      </c>
      <c r="F83" s="269">
        <f>-555.891</f>
        <v>-555.89099999999996</v>
      </c>
      <c r="G83" s="125">
        <f t="shared" ref="G83" si="238">E83+F83</f>
        <v>-11.118999999999915</v>
      </c>
      <c r="H83" s="269"/>
      <c r="I83" s="125">
        <f t="shared" si="214"/>
        <v>-11.118999999999915</v>
      </c>
      <c r="J83" s="38">
        <f t="shared" si="215"/>
        <v>0</v>
      </c>
      <c r="K83" s="340">
        <f>E83+E84</f>
        <v>555.89100000000008</v>
      </c>
      <c r="L83" s="338">
        <f t="shared" ref="L83" si="239">F83+F84</f>
        <v>-555.89099999999996</v>
      </c>
      <c r="M83" s="338">
        <f t="shared" ref="M83" si="240">K83+L83</f>
        <v>0</v>
      </c>
      <c r="N83" s="338">
        <f t="shared" ref="N83" si="241">H83+H84</f>
        <v>0</v>
      </c>
      <c r="O83" s="338">
        <f t="shared" ref="O83" si="242">M83-N83</f>
        <v>0</v>
      </c>
      <c r="P83" s="345">
        <v>0</v>
      </c>
    </row>
    <row r="84" spans="2:16" ht="15" customHeight="1">
      <c r="B84" s="336"/>
      <c r="C84" s="343"/>
      <c r="D84" s="29" t="s">
        <v>8</v>
      </c>
      <c r="E84" s="68">
        <v>11.119</v>
      </c>
      <c r="F84" s="269"/>
      <c r="G84" s="125">
        <v>0</v>
      </c>
      <c r="H84" s="269"/>
      <c r="I84" s="125">
        <f t="shared" si="214"/>
        <v>0</v>
      </c>
      <c r="J84" s="38">
        <v>0</v>
      </c>
      <c r="K84" s="340"/>
      <c r="L84" s="338"/>
      <c r="M84" s="338"/>
      <c r="N84" s="338"/>
      <c r="O84" s="338"/>
      <c r="P84" s="345"/>
    </row>
    <row r="85" spans="2:16" ht="15" customHeight="1">
      <c r="B85" s="336"/>
      <c r="C85" s="343" t="s">
        <v>33</v>
      </c>
      <c r="D85" s="29" t="s">
        <v>7</v>
      </c>
      <c r="E85" s="68">
        <f>7547.372+1085.953+976.34+980.898+1175.931</f>
        <v>11766.494000000001</v>
      </c>
      <c r="F85" s="269">
        <f>-435.233+692.896+344.894+588.762</f>
        <v>1191.319</v>
      </c>
      <c r="G85" s="125">
        <f t="shared" ref="G85" si="243">E85+F85</f>
        <v>12957.813</v>
      </c>
      <c r="H85" s="269">
        <v>13047.308999999999</v>
      </c>
      <c r="I85" s="125">
        <f t="shared" si="214"/>
        <v>-89.495999999999185</v>
      </c>
      <c r="J85" s="38">
        <f t="shared" si="215"/>
        <v>1.0069067210647351</v>
      </c>
      <c r="K85" s="340">
        <f t="shared" ref="K85" si="244">E85+E86</f>
        <v>12006.648000000001</v>
      </c>
      <c r="L85" s="338">
        <f>F85+F86</f>
        <v>1191.319</v>
      </c>
      <c r="M85" s="338">
        <f t="shared" ref="M85" si="245">K85+L85</f>
        <v>13197.967000000001</v>
      </c>
      <c r="N85" s="338">
        <f t="shared" ref="N85" si="246">H85+H86</f>
        <v>13047.308999999999</v>
      </c>
      <c r="O85" s="338">
        <f t="shared" ref="O85" si="247">M85-N85</f>
        <v>150.65800000000127</v>
      </c>
      <c r="P85" s="384">
        <f t="shared" ref="P85" si="248">N85/M85</f>
        <v>0.98858475703113957</v>
      </c>
    </row>
    <row r="86" spans="2:16" ht="15" customHeight="1">
      <c r="B86" s="336"/>
      <c r="C86" s="343"/>
      <c r="D86" s="29" t="s">
        <v>8</v>
      </c>
      <c r="E86" s="68">
        <f>154.042+22.164+19.927+20.02+24.001</f>
        <v>240.15400000000002</v>
      </c>
      <c r="F86" s="269"/>
      <c r="G86" s="125">
        <f t="shared" ref="G86" si="249">E86+F86+I85</f>
        <v>150.65800000000084</v>
      </c>
      <c r="H86" s="269"/>
      <c r="I86" s="125">
        <f t="shared" si="214"/>
        <v>150.65800000000084</v>
      </c>
      <c r="J86" s="38">
        <f t="shared" si="215"/>
        <v>0</v>
      </c>
      <c r="K86" s="340"/>
      <c r="L86" s="338"/>
      <c r="M86" s="338"/>
      <c r="N86" s="338"/>
      <c r="O86" s="338"/>
      <c r="P86" s="384"/>
    </row>
    <row r="87" spans="2:16" ht="15" customHeight="1">
      <c r="B87" s="336"/>
      <c r="C87" s="343" t="s">
        <v>22</v>
      </c>
      <c r="D87" s="29" t="s">
        <v>7</v>
      </c>
      <c r="E87" s="68">
        <v>18431.018</v>
      </c>
      <c r="F87" s="269">
        <f>427.482+352.32+352.32+352.32+277.158+704.64+704.64+704.64+704.64+305.344+389.13+1089.564+459.858+588.762+399.296+63+113</f>
        <v>7988.1140000000005</v>
      </c>
      <c r="G87" s="125">
        <f t="shared" ref="G87" si="250">E87+F87</f>
        <v>26419.132000000001</v>
      </c>
      <c r="H87" s="269">
        <v>25844.909</v>
      </c>
      <c r="I87" s="125">
        <f t="shared" si="214"/>
        <v>574.22300000000178</v>
      </c>
      <c r="J87" s="38">
        <f t="shared" si="215"/>
        <v>0.97826488016336033</v>
      </c>
      <c r="K87" s="340">
        <f>E87+E88</f>
        <v>18807.194</v>
      </c>
      <c r="L87" s="338">
        <f t="shared" ref="L87" si="251">F87+F88</f>
        <v>7988.1140000000005</v>
      </c>
      <c r="M87" s="338">
        <f t="shared" ref="M87" si="252">K87+L87</f>
        <v>26795.308000000001</v>
      </c>
      <c r="N87" s="338">
        <f t="shared" ref="N87" si="253">H87+H88</f>
        <v>26769.507999999998</v>
      </c>
      <c r="O87" s="338">
        <f t="shared" ref="O87" si="254">M87-N87</f>
        <v>25.80000000000291</v>
      </c>
      <c r="P87" s="369">
        <f t="shared" ref="P87" si="255">N87/M87</f>
        <v>0.99903714486133155</v>
      </c>
    </row>
    <row r="88" spans="2:16" ht="15" customHeight="1">
      <c r="B88" s="336"/>
      <c r="C88" s="343"/>
      <c r="D88" s="29" t="s">
        <v>8</v>
      </c>
      <c r="E88" s="68">
        <v>376.17599999999999</v>
      </c>
      <c r="F88" s="269"/>
      <c r="G88" s="125">
        <f t="shared" ref="G88" si="256">E88+F88+I87</f>
        <v>950.39900000000171</v>
      </c>
      <c r="H88" s="269">
        <v>924.59900000000005</v>
      </c>
      <c r="I88" s="125">
        <f t="shared" si="214"/>
        <v>25.80000000000166</v>
      </c>
      <c r="J88" s="38">
        <f t="shared" ref="J88:J175" si="257">H88/G88</f>
        <v>0.97285350679030425</v>
      </c>
      <c r="K88" s="340"/>
      <c r="L88" s="338"/>
      <c r="M88" s="338"/>
      <c r="N88" s="338"/>
      <c r="O88" s="338"/>
      <c r="P88" s="369"/>
    </row>
    <row r="89" spans="2:16" ht="15" customHeight="1">
      <c r="B89" s="336"/>
      <c r="C89" s="343" t="s">
        <v>34</v>
      </c>
      <c r="D89" s="29" t="s">
        <v>7</v>
      </c>
      <c r="E89" s="68">
        <v>1.9570000000000001</v>
      </c>
      <c r="F89" s="269"/>
      <c r="G89" s="125">
        <f t="shared" ref="G89" si="258">E89+F89</f>
        <v>1.9570000000000001</v>
      </c>
      <c r="H89" s="269"/>
      <c r="I89" s="125">
        <f t="shared" ref="I89:I176" si="259">G89-H89</f>
        <v>1.9570000000000001</v>
      </c>
      <c r="J89" s="38">
        <f t="shared" si="257"/>
        <v>0</v>
      </c>
      <c r="K89" s="340">
        <f>E89+E90</f>
        <v>1.9970000000000001</v>
      </c>
      <c r="L89" s="338">
        <f t="shared" ref="L89" si="260">F89+F90</f>
        <v>0</v>
      </c>
      <c r="M89" s="338">
        <f t="shared" ref="M89" si="261">K89+L89</f>
        <v>1.9970000000000001</v>
      </c>
      <c r="N89" s="338">
        <f t="shared" ref="N89" si="262">H89+H90</f>
        <v>0</v>
      </c>
      <c r="O89" s="338">
        <f t="shared" ref="O89" si="263">M89-N89</f>
        <v>1.9970000000000001</v>
      </c>
      <c r="P89" s="369">
        <f t="shared" ref="P89" si="264">N89/M89</f>
        <v>0</v>
      </c>
    </row>
    <row r="90" spans="2:16" ht="15" customHeight="1">
      <c r="B90" s="336"/>
      <c r="C90" s="343"/>
      <c r="D90" s="29" t="s">
        <v>8</v>
      </c>
      <c r="E90" s="68">
        <v>0.04</v>
      </c>
      <c r="F90" s="269"/>
      <c r="G90" s="125">
        <f t="shared" ref="G90" si="265">E90+F90+I89</f>
        <v>1.9970000000000001</v>
      </c>
      <c r="H90" s="269"/>
      <c r="I90" s="125">
        <f t="shared" si="259"/>
        <v>1.9970000000000001</v>
      </c>
      <c r="J90" s="38">
        <f t="shared" si="257"/>
        <v>0</v>
      </c>
      <c r="K90" s="340"/>
      <c r="L90" s="338"/>
      <c r="M90" s="338"/>
      <c r="N90" s="338"/>
      <c r="O90" s="338"/>
      <c r="P90" s="369"/>
    </row>
    <row r="91" spans="2:16" ht="15" customHeight="1">
      <c r="B91" s="336"/>
      <c r="C91" s="343" t="s">
        <v>24</v>
      </c>
      <c r="D91" s="29" t="s">
        <v>7</v>
      </c>
      <c r="E91" s="68">
        <f>9149.021+1381.09</f>
        <v>10530.111000000001</v>
      </c>
      <c r="F91" s="258">
        <f>311.304+3031-1501.1+352.32+352.32+704.64+352.32+704.64+704.64+704.64+704.64+1501.1-298.332+68.005+1056.96+1056.96+194.565+700.037</f>
        <v>10700.659000000001</v>
      </c>
      <c r="G91" s="249">
        <f t="shared" ref="G91" si="266">E91+F91</f>
        <v>21230.770000000004</v>
      </c>
      <c r="H91" s="269">
        <v>19884.944</v>
      </c>
      <c r="I91" s="249">
        <f t="shared" si="259"/>
        <v>1345.8260000000046</v>
      </c>
      <c r="J91" s="128">
        <f t="shared" si="257"/>
        <v>0.93660964722428797</v>
      </c>
      <c r="K91" s="340">
        <f>E91+E92</f>
        <v>10745.03</v>
      </c>
      <c r="L91" s="338">
        <f>F91+F92</f>
        <v>10700.659000000001</v>
      </c>
      <c r="M91" s="338">
        <f t="shared" ref="M91" si="267">K91+L91</f>
        <v>21445.689000000002</v>
      </c>
      <c r="N91" s="338">
        <f t="shared" ref="N91" si="268">H91+H92</f>
        <v>21385.507999999998</v>
      </c>
      <c r="O91" s="338">
        <f t="shared" ref="O91" si="269">M91-N91</f>
        <v>60.181000000004133</v>
      </c>
      <c r="P91" s="385">
        <f t="shared" ref="P91" si="270">N91/M91</f>
        <v>0.99719379498602245</v>
      </c>
    </row>
    <row r="92" spans="2:16" ht="15" customHeight="1">
      <c r="B92" s="336"/>
      <c r="C92" s="343"/>
      <c r="D92" s="29" t="s">
        <v>8</v>
      </c>
      <c r="E92" s="68">
        <f>186.731+28.188</f>
        <v>214.91899999999998</v>
      </c>
      <c r="F92" s="258"/>
      <c r="G92" s="249">
        <f t="shared" ref="G92" si="271">E92+F92+I91</f>
        <v>1560.7450000000044</v>
      </c>
      <c r="H92" s="269">
        <v>1500.5640000000001</v>
      </c>
      <c r="I92" s="249">
        <f t="shared" si="259"/>
        <v>60.18100000000436</v>
      </c>
      <c r="J92" s="128">
        <f t="shared" si="257"/>
        <v>0.96144085036312521</v>
      </c>
      <c r="K92" s="340"/>
      <c r="L92" s="338"/>
      <c r="M92" s="338"/>
      <c r="N92" s="338"/>
      <c r="O92" s="338"/>
      <c r="P92" s="385"/>
    </row>
    <row r="93" spans="2:16" ht="15" customHeight="1">
      <c r="B93" s="336"/>
      <c r="C93" s="343" t="s">
        <v>25</v>
      </c>
      <c r="D93" s="29" t="s">
        <v>7</v>
      </c>
      <c r="E93" s="68">
        <v>3180.7240000000002</v>
      </c>
      <c r="F93" s="269">
        <f>91.739+3.708+3000</f>
        <v>3095.4470000000001</v>
      </c>
      <c r="G93" s="249">
        <f t="shared" ref="G93" si="272">E93+F93</f>
        <v>6276.1710000000003</v>
      </c>
      <c r="H93" s="269">
        <v>3177.5619999999999</v>
      </c>
      <c r="I93" s="249">
        <f t="shared" si="259"/>
        <v>3098.6090000000004</v>
      </c>
      <c r="J93" s="128">
        <f t="shared" si="257"/>
        <v>0.50628990191631162</v>
      </c>
      <c r="K93" s="340">
        <f>E93+E94</f>
        <v>3245.6420000000003</v>
      </c>
      <c r="L93" s="338">
        <f t="shared" ref="L93" si="273">F93+F94</f>
        <v>3095.4470000000001</v>
      </c>
      <c r="M93" s="338">
        <f t="shared" ref="M93" si="274">K93+L93</f>
        <v>6341.0889999999999</v>
      </c>
      <c r="N93" s="338">
        <f t="shared" ref="N93" si="275">H93+H94</f>
        <v>6254.5149999999994</v>
      </c>
      <c r="O93" s="338">
        <f t="shared" ref="O93" si="276">M93-N93</f>
        <v>86.574000000000524</v>
      </c>
      <c r="P93" s="386">
        <f t="shared" ref="P93" si="277">N93/M93</f>
        <v>0.98634714005748847</v>
      </c>
    </row>
    <row r="94" spans="2:16" ht="15" customHeight="1">
      <c r="B94" s="336"/>
      <c r="C94" s="343"/>
      <c r="D94" s="29" t="s">
        <v>8</v>
      </c>
      <c r="E94" s="68">
        <v>64.918000000000006</v>
      </c>
      <c r="F94" s="269"/>
      <c r="G94" s="249">
        <f t="shared" ref="G94" si="278">E94+F94+I93</f>
        <v>3163.5270000000005</v>
      </c>
      <c r="H94" s="269">
        <v>3076.953</v>
      </c>
      <c r="I94" s="249">
        <f t="shared" si="259"/>
        <v>86.574000000000524</v>
      </c>
      <c r="J94" s="128">
        <f t="shared" si="257"/>
        <v>0.97263370914804881</v>
      </c>
      <c r="K94" s="340"/>
      <c r="L94" s="338"/>
      <c r="M94" s="338"/>
      <c r="N94" s="338"/>
      <c r="O94" s="338"/>
      <c r="P94" s="386"/>
    </row>
    <row r="95" spans="2:16" ht="15" customHeight="1">
      <c r="B95" s="336"/>
      <c r="C95" s="343" t="s">
        <v>35</v>
      </c>
      <c r="D95" s="29" t="s">
        <v>7</v>
      </c>
      <c r="E95" s="68">
        <v>2700.61</v>
      </c>
      <c r="F95" s="269">
        <f>-2755.729</f>
        <v>-2755.7289999999998</v>
      </c>
      <c r="G95" s="125">
        <f t="shared" ref="G95" si="279">E95+F95</f>
        <v>-55.118999999999687</v>
      </c>
      <c r="H95" s="269"/>
      <c r="I95" s="125">
        <f t="shared" si="259"/>
        <v>-55.118999999999687</v>
      </c>
      <c r="J95" s="38">
        <f t="shared" si="257"/>
        <v>0</v>
      </c>
      <c r="K95" s="340">
        <f>E95+E96</f>
        <v>2755.7290000000003</v>
      </c>
      <c r="L95" s="338">
        <f t="shared" ref="L95" si="280">F95+F96</f>
        <v>-2755.7289999999998</v>
      </c>
      <c r="M95" s="338">
        <f t="shared" ref="M95" si="281">K95+L95</f>
        <v>0</v>
      </c>
      <c r="N95" s="338">
        <f t="shared" ref="N95" si="282">H95+H96</f>
        <v>0</v>
      </c>
      <c r="O95" s="338">
        <f t="shared" ref="O95" si="283">M95-N95</f>
        <v>0</v>
      </c>
      <c r="P95" s="344">
        <v>0</v>
      </c>
    </row>
    <row r="96" spans="2:16" ht="15" customHeight="1">
      <c r="B96" s="336"/>
      <c r="C96" s="343"/>
      <c r="D96" s="29" t="s">
        <v>8</v>
      </c>
      <c r="E96" s="68">
        <v>55.119</v>
      </c>
      <c r="F96" s="269"/>
      <c r="G96" s="125">
        <v>0</v>
      </c>
      <c r="H96" s="269"/>
      <c r="I96" s="125">
        <f t="shared" si="259"/>
        <v>0</v>
      </c>
      <c r="J96" s="38">
        <v>0</v>
      </c>
      <c r="K96" s="340"/>
      <c r="L96" s="338"/>
      <c r="M96" s="338"/>
      <c r="N96" s="338"/>
      <c r="O96" s="338"/>
      <c r="P96" s="344"/>
    </row>
    <row r="97" spans="2:16" ht="15" customHeight="1">
      <c r="B97" s="336"/>
      <c r="C97" s="343" t="s">
        <v>12</v>
      </c>
      <c r="D97" s="68" t="s">
        <v>7</v>
      </c>
      <c r="E97" s="68">
        <f>42115.181+10358.19</f>
        <v>52473.370999999999</v>
      </c>
      <c r="F97" s="135">
        <f>-3000+5500-3000+3000+4000+895+2500+2650+176.16+176.16+352.32+352.32+352.32+176.16+176.16+176.16+176.16+176.16+176.16+176.16+176.16+176.16+176.16+176.16+176.16+176.16+176.16+352.32+704.64+704.64+176.16</f>
        <v>18358.279999999995</v>
      </c>
      <c r="G97" s="269">
        <f t="shared" ref="G97" si="284">E97+F97</f>
        <v>70831.650999999998</v>
      </c>
      <c r="H97" s="269">
        <v>66073.793999999994</v>
      </c>
      <c r="I97" s="269">
        <f t="shared" si="259"/>
        <v>4757.8570000000036</v>
      </c>
      <c r="J97" s="128">
        <f t="shared" si="257"/>
        <v>0.93282865875877996</v>
      </c>
      <c r="K97" s="387">
        <f>E97+E98</f>
        <v>53544.349000000002</v>
      </c>
      <c r="L97" s="388">
        <f t="shared" ref="L97" si="285">F97+F98</f>
        <v>18358.279999999995</v>
      </c>
      <c r="M97" s="388">
        <f t="shared" ref="M97" si="286">K97+L97</f>
        <v>71902.629000000001</v>
      </c>
      <c r="N97" s="388">
        <f t="shared" ref="N97" si="287">H97+H98</f>
        <v>76211.694999999992</v>
      </c>
      <c r="O97" s="388">
        <f t="shared" ref="O97" si="288">M97-N97</f>
        <v>-4309.0659999999916</v>
      </c>
      <c r="P97" s="386">
        <f t="shared" ref="P97" si="289">N97/M97</f>
        <v>1.0599291856212933</v>
      </c>
    </row>
    <row r="98" spans="2:16" ht="15" customHeight="1">
      <c r="B98" s="336"/>
      <c r="C98" s="343"/>
      <c r="D98" s="68" t="s">
        <v>8</v>
      </c>
      <c r="E98" s="68">
        <f>859.568+211.41</f>
        <v>1070.9780000000001</v>
      </c>
      <c r="F98" s="269"/>
      <c r="G98" s="269">
        <f t="shared" ref="G98" si="290">E98+F98+I97</f>
        <v>5828.8350000000037</v>
      </c>
      <c r="H98" s="269">
        <v>10137.901</v>
      </c>
      <c r="I98" s="269">
        <f t="shared" si="259"/>
        <v>-4309.0659999999962</v>
      </c>
      <c r="J98" s="128">
        <f t="shared" si="257"/>
        <v>1.7392671091221477</v>
      </c>
      <c r="K98" s="387"/>
      <c r="L98" s="388"/>
      <c r="M98" s="388"/>
      <c r="N98" s="388"/>
      <c r="O98" s="388"/>
      <c r="P98" s="386"/>
    </row>
    <row r="99" spans="2:16" ht="15" customHeight="1">
      <c r="B99" s="336"/>
      <c r="C99" s="343" t="s">
        <v>36</v>
      </c>
      <c r="D99" s="29" t="s">
        <v>7</v>
      </c>
      <c r="E99" s="68">
        <v>577.64200000000005</v>
      </c>
      <c r="F99" s="269">
        <f>-589.432</f>
        <v>-589.43200000000002</v>
      </c>
      <c r="G99" s="125">
        <f t="shared" ref="G99" si="291">E99+F99</f>
        <v>-11.789999999999964</v>
      </c>
      <c r="H99" s="269"/>
      <c r="I99" s="125">
        <f t="shared" si="259"/>
        <v>-11.789999999999964</v>
      </c>
      <c r="J99" s="38">
        <f t="shared" si="257"/>
        <v>0</v>
      </c>
      <c r="K99" s="340">
        <f>E99+E100</f>
        <v>589.43200000000002</v>
      </c>
      <c r="L99" s="338">
        <f t="shared" ref="L99" si="292">F99+F100</f>
        <v>-589.43200000000002</v>
      </c>
      <c r="M99" s="338">
        <f t="shared" ref="M99" si="293">K99+L99</f>
        <v>0</v>
      </c>
      <c r="N99" s="338">
        <f t="shared" ref="N99" si="294">H99+H100</f>
        <v>0</v>
      </c>
      <c r="O99" s="338">
        <f t="shared" ref="O99" si="295">M99-N99</f>
        <v>0</v>
      </c>
      <c r="P99" s="344">
        <v>0</v>
      </c>
    </row>
    <row r="100" spans="2:16" ht="15" customHeight="1">
      <c r="B100" s="336"/>
      <c r="C100" s="343"/>
      <c r="D100" s="29" t="s">
        <v>8</v>
      </c>
      <c r="E100" s="68">
        <v>11.79</v>
      </c>
      <c r="F100" s="269"/>
      <c r="G100" s="125">
        <v>0</v>
      </c>
      <c r="H100" s="269"/>
      <c r="I100" s="125">
        <f t="shared" si="259"/>
        <v>0</v>
      </c>
      <c r="J100" s="38">
        <v>0</v>
      </c>
      <c r="K100" s="340"/>
      <c r="L100" s="338"/>
      <c r="M100" s="338"/>
      <c r="N100" s="338"/>
      <c r="O100" s="338"/>
      <c r="P100" s="344"/>
    </row>
    <row r="101" spans="2:16" ht="15" customHeight="1">
      <c r="B101" s="336"/>
      <c r="C101" s="343" t="s">
        <v>37</v>
      </c>
      <c r="D101" s="29" t="s">
        <v>7</v>
      </c>
      <c r="E101" s="68">
        <v>75.522999999999996</v>
      </c>
      <c r="F101" s="269"/>
      <c r="G101" s="125">
        <f t="shared" ref="G101" si="296">E101+F101</f>
        <v>75.522999999999996</v>
      </c>
      <c r="H101" s="269"/>
      <c r="I101" s="125">
        <f t="shared" si="259"/>
        <v>75.522999999999996</v>
      </c>
      <c r="J101" s="38">
        <f t="shared" si="257"/>
        <v>0</v>
      </c>
      <c r="K101" s="340">
        <f>E101+E102</f>
        <v>77.063999999999993</v>
      </c>
      <c r="L101" s="338">
        <f t="shared" ref="L101" si="297">F101+F102</f>
        <v>0</v>
      </c>
      <c r="M101" s="338">
        <f t="shared" ref="M101" si="298">K101+L101</f>
        <v>77.063999999999993</v>
      </c>
      <c r="N101" s="338">
        <f t="shared" ref="N101" si="299">H101+H102</f>
        <v>0</v>
      </c>
      <c r="O101" s="338">
        <f t="shared" ref="O101" si="300">M101-N101</f>
        <v>77.063999999999993</v>
      </c>
      <c r="P101" s="369">
        <f t="shared" ref="P101" si="301">N101/M101</f>
        <v>0</v>
      </c>
    </row>
    <row r="102" spans="2:16" ht="15" customHeight="1">
      <c r="B102" s="336"/>
      <c r="C102" s="343"/>
      <c r="D102" s="29" t="s">
        <v>8</v>
      </c>
      <c r="E102" s="68">
        <v>1.5409999999999999</v>
      </c>
      <c r="F102" s="269"/>
      <c r="G102" s="125">
        <f t="shared" ref="G102" si="302">E102+F102+I101</f>
        <v>77.063999999999993</v>
      </c>
      <c r="H102" s="269"/>
      <c r="I102" s="125">
        <f t="shared" si="259"/>
        <v>77.063999999999993</v>
      </c>
      <c r="J102" s="38">
        <f t="shared" si="257"/>
        <v>0</v>
      </c>
      <c r="K102" s="340"/>
      <c r="L102" s="338"/>
      <c r="M102" s="338"/>
      <c r="N102" s="338"/>
      <c r="O102" s="338"/>
      <c r="P102" s="369"/>
    </row>
    <row r="103" spans="2:16" ht="15" customHeight="1">
      <c r="B103" s="336"/>
      <c r="C103" s="343" t="s">
        <v>305</v>
      </c>
      <c r="D103" s="29" t="s">
        <v>7</v>
      </c>
      <c r="E103" s="68">
        <v>33.261000000000003</v>
      </c>
      <c r="F103" s="269"/>
      <c r="G103" s="125">
        <f>E103+F103</f>
        <v>33.261000000000003</v>
      </c>
      <c r="H103" s="269">
        <v>0.8</v>
      </c>
      <c r="I103" s="125">
        <f>G103-H103</f>
        <v>32.461000000000006</v>
      </c>
      <c r="J103" s="38">
        <f t="shared" si="257"/>
        <v>2.4052193259372839E-2</v>
      </c>
      <c r="K103" s="340">
        <f>E103+E104</f>
        <v>33.940000000000005</v>
      </c>
      <c r="L103" s="338">
        <f t="shared" ref="L103:L125" si="303">F103+F104</f>
        <v>0</v>
      </c>
      <c r="M103" s="338">
        <f t="shared" ref="M103:M125" si="304">K103+L103</f>
        <v>33.940000000000005</v>
      </c>
      <c r="N103" s="338">
        <f t="shared" ref="N103:N125" si="305">H103+H104</f>
        <v>0.8</v>
      </c>
      <c r="O103" s="338">
        <f t="shared" ref="O103:O125" si="306">M103-N103</f>
        <v>33.140000000000008</v>
      </c>
      <c r="P103" s="369">
        <f t="shared" ref="P103:P119" si="307">N103/M103</f>
        <v>2.3571007660577487E-2</v>
      </c>
    </row>
    <row r="104" spans="2:16" ht="15" customHeight="1">
      <c r="B104" s="336"/>
      <c r="C104" s="343"/>
      <c r="D104" s="29" t="s">
        <v>8</v>
      </c>
      <c r="E104" s="68">
        <v>0.67900000000000005</v>
      </c>
      <c r="F104" s="269"/>
      <c r="G104" s="125">
        <f>E104+F104+I103</f>
        <v>33.140000000000008</v>
      </c>
      <c r="H104" s="269"/>
      <c r="I104" s="125">
        <f>G104-H104</f>
        <v>33.140000000000008</v>
      </c>
      <c r="J104" s="38">
        <f>H104/G104</f>
        <v>0</v>
      </c>
      <c r="K104" s="340"/>
      <c r="L104" s="338"/>
      <c r="M104" s="338"/>
      <c r="N104" s="338"/>
      <c r="O104" s="338"/>
      <c r="P104" s="369"/>
    </row>
    <row r="105" spans="2:16" ht="15" customHeight="1">
      <c r="B105" s="336"/>
      <c r="C105" s="343" t="s">
        <v>106</v>
      </c>
      <c r="D105" s="29" t="s">
        <v>7</v>
      </c>
      <c r="E105" s="68">
        <v>2071.6379999999999</v>
      </c>
      <c r="F105" s="269">
        <f>-704.64-704.64-704.64</f>
        <v>-2113.92</v>
      </c>
      <c r="G105" s="125">
        <f t="shared" ref="G105" si="308">E105+F105</f>
        <v>-42.282000000000153</v>
      </c>
      <c r="H105" s="269"/>
      <c r="I105" s="125">
        <f t="shared" ref="I105:I126" si="309">G105-H105</f>
        <v>-42.282000000000153</v>
      </c>
      <c r="J105" s="38">
        <f t="shared" si="257"/>
        <v>0</v>
      </c>
      <c r="K105" s="340">
        <f>E105+E106</f>
        <v>2113.92</v>
      </c>
      <c r="L105" s="338">
        <f t="shared" si="303"/>
        <v>-2113.92</v>
      </c>
      <c r="M105" s="338">
        <f t="shared" si="304"/>
        <v>0</v>
      </c>
      <c r="N105" s="338">
        <f t="shared" si="305"/>
        <v>0</v>
      </c>
      <c r="O105" s="338">
        <f t="shared" si="306"/>
        <v>0</v>
      </c>
      <c r="P105" s="344">
        <v>0</v>
      </c>
    </row>
    <row r="106" spans="2:16" ht="15" customHeight="1">
      <c r="B106" s="336"/>
      <c r="C106" s="343"/>
      <c r="D106" s="29" t="s">
        <v>8</v>
      </c>
      <c r="E106" s="68">
        <v>42.281999999999996</v>
      </c>
      <c r="F106" s="269"/>
      <c r="G106" s="125">
        <v>0</v>
      </c>
      <c r="H106" s="269"/>
      <c r="I106" s="125">
        <f t="shared" si="309"/>
        <v>0</v>
      </c>
      <c r="J106" s="38">
        <v>0</v>
      </c>
      <c r="K106" s="340"/>
      <c r="L106" s="338"/>
      <c r="M106" s="338"/>
      <c r="N106" s="338"/>
      <c r="O106" s="338"/>
      <c r="P106" s="344"/>
    </row>
    <row r="107" spans="2:16" ht="15" customHeight="1">
      <c r="B107" s="336"/>
      <c r="C107" s="343" t="s">
        <v>107</v>
      </c>
      <c r="D107" s="29" t="s">
        <v>7</v>
      </c>
      <c r="E107" s="68">
        <v>1726.365</v>
      </c>
      <c r="F107" s="269">
        <f>-427.482-352.32-352.32-352.32-277.158</f>
        <v>-1761.6</v>
      </c>
      <c r="G107" s="125">
        <f t="shared" ref="G107" si="310">E107+F107</f>
        <v>-35.2349999999999</v>
      </c>
      <c r="H107" s="269"/>
      <c r="I107" s="125">
        <f t="shared" si="309"/>
        <v>-35.2349999999999</v>
      </c>
      <c r="J107" s="38">
        <f t="shared" si="257"/>
        <v>0</v>
      </c>
      <c r="K107" s="340">
        <f>E107+E108</f>
        <v>1761.6</v>
      </c>
      <c r="L107" s="338">
        <f t="shared" si="303"/>
        <v>-1761.6</v>
      </c>
      <c r="M107" s="338">
        <f t="shared" si="304"/>
        <v>0</v>
      </c>
      <c r="N107" s="338">
        <f t="shared" si="305"/>
        <v>0</v>
      </c>
      <c r="O107" s="338">
        <f t="shared" si="306"/>
        <v>0</v>
      </c>
      <c r="P107" s="345">
        <v>0</v>
      </c>
    </row>
    <row r="108" spans="2:16" ht="15" customHeight="1">
      <c r="B108" s="336"/>
      <c r="C108" s="343"/>
      <c r="D108" s="29" t="s">
        <v>8</v>
      </c>
      <c r="E108" s="68">
        <v>35.234999999999999</v>
      </c>
      <c r="F108" s="269"/>
      <c r="G108" s="125">
        <v>0</v>
      </c>
      <c r="H108" s="269"/>
      <c r="I108" s="125">
        <f t="shared" si="309"/>
        <v>0</v>
      </c>
      <c r="J108" s="38">
        <v>0</v>
      </c>
      <c r="K108" s="340"/>
      <c r="L108" s="338"/>
      <c r="M108" s="338"/>
      <c r="N108" s="338"/>
      <c r="O108" s="338"/>
      <c r="P108" s="345"/>
    </row>
    <row r="109" spans="2:16" ht="15" customHeight="1">
      <c r="B109" s="336"/>
      <c r="C109" s="343" t="s">
        <v>108</v>
      </c>
      <c r="D109" s="29" t="s">
        <v>7</v>
      </c>
      <c r="E109" s="68">
        <v>1381.0920000000001</v>
      </c>
      <c r="F109" s="135">
        <f>-704.64-704.64</f>
        <v>-1409.28</v>
      </c>
      <c r="G109" s="125">
        <f t="shared" ref="G109" si="311">E109+F109</f>
        <v>-28.187999999999874</v>
      </c>
      <c r="H109" s="269"/>
      <c r="I109" s="125">
        <f t="shared" si="309"/>
        <v>-28.187999999999874</v>
      </c>
      <c r="J109" s="38">
        <f t="shared" si="257"/>
        <v>0</v>
      </c>
      <c r="K109" s="340">
        <f>E109+E110</f>
        <v>1409.2800000000002</v>
      </c>
      <c r="L109" s="338">
        <f t="shared" si="303"/>
        <v>-1409.28</v>
      </c>
      <c r="M109" s="338">
        <f t="shared" si="304"/>
        <v>0</v>
      </c>
      <c r="N109" s="338">
        <f t="shared" si="305"/>
        <v>0</v>
      </c>
      <c r="O109" s="338">
        <f t="shared" si="306"/>
        <v>0</v>
      </c>
      <c r="P109" s="344">
        <v>0</v>
      </c>
    </row>
    <row r="110" spans="2:16" ht="15" customHeight="1">
      <c r="B110" s="336"/>
      <c r="C110" s="343"/>
      <c r="D110" s="29" t="s">
        <v>8</v>
      </c>
      <c r="E110" s="68">
        <v>28.187999999999999</v>
      </c>
      <c r="F110" s="269"/>
      <c r="G110" s="125">
        <v>0</v>
      </c>
      <c r="H110" s="269"/>
      <c r="I110" s="125">
        <f t="shared" si="309"/>
        <v>0</v>
      </c>
      <c r="J110" s="38">
        <v>0</v>
      </c>
      <c r="K110" s="340"/>
      <c r="L110" s="338"/>
      <c r="M110" s="338"/>
      <c r="N110" s="338"/>
      <c r="O110" s="338"/>
      <c r="P110" s="344"/>
    </row>
    <row r="111" spans="2:16" ht="15" customHeight="1">
      <c r="B111" s="336"/>
      <c r="C111" s="343" t="s">
        <v>109</v>
      </c>
      <c r="D111" s="29" t="s">
        <v>7</v>
      </c>
      <c r="E111" s="68">
        <v>3452.73</v>
      </c>
      <c r="F111" s="269">
        <f>-704.64-704.64-704.64-704.64-305.344-399.296</f>
        <v>-3523.2</v>
      </c>
      <c r="G111" s="125">
        <f t="shared" ref="G111" si="312">E111+F111</f>
        <v>-70.4699999999998</v>
      </c>
      <c r="H111" s="269"/>
      <c r="I111" s="125">
        <f t="shared" si="309"/>
        <v>-70.4699999999998</v>
      </c>
      <c r="J111" s="38">
        <f t="shared" si="257"/>
        <v>0</v>
      </c>
      <c r="K111" s="340">
        <f>E111+E112</f>
        <v>3523.2</v>
      </c>
      <c r="L111" s="338">
        <f t="shared" si="303"/>
        <v>-3523.2</v>
      </c>
      <c r="M111" s="338">
        <f t="shared" si="304"/>
        <v>0</v>
      </c>
      <c r="N111" s="338">
        <f t="shared" si="305"/>
        <v>0</v>
      </c>
      <c r="O111" s="338">
        <f t="shared" si="306"/>
        <v>0</v>
      </c>
      <c r="P111" s="344">
        <v>0</v>
      </c>
    </row>
    <row r="112" spans="2:16" ht="15" customHeight="1">
      <c r="B112" s="336"/>
      <c r="C112" s="343"/>
      <c r="D112" s="29" t="s">
        <v>8</v>
      </c>
      <c r="E112" s="68">
        <v>70.47</v>
      </c>
      <c r="F112" s="269"/>
      <c r="G112" s="125">
        <v>0</v>
      </c>
      <c r="H112" s="269"/>
      <c r="I112" s="125">
        <f t="shared" si="309"/>
        <v>0</v>
      </c>
      <c r="J112" s="38">
        <v>0</v>
      </c>
      <c r="K112" s="340"/>
      <c r="L112" s="338"/>
      <c r="M112" s="338"/>
      <c r="N112" s="338"/>
      <c r="O112" s="338"/>
      <c r="P112" s="344"/>
    </row>
    <row r="113" spans="2:16" ht="15" customHeight="1">
      <c r="B113" s="336"/>
      <c r="C113" s="343" t="s">
        <v>110</v>
      </c>
      <c r="D113" s="29" t="s">
        <v>7</v>
      </c>
      <c r="E113" s="68">
        <v>1726.367</v>
      </c>
      <c r="F113" s="135">
        <f>-176.16-176.16-352.32-352.32-352.32-176.16-176.16</f>
        <v>-1761.6000000000001</v>
      </c>
      <c r="G113" s="125">
        <f t="shared" ref="G113" si="313">E113+F113</f>
        <v>-35.233000000000175</v>
      </c>
      <c r="H113" s="269"/>
      <c r="I113" s="125">
        <f t="shared" si="309"/>
        <v>-35.233000000000175</v>
      </c>
      <c r="J113" s="38">
        <f>H113/G113</f>
        <v>0</v>
      </c>
      <c r="K113" s="340">
        <f>E113+E114</f>
        <v>1761.604</v>
      </c>
      <c r="L113" s="338">
        <f t="shared" si="303"/>
        <v>-1761.6000000000001</v>
      </c>
      <c r="M113" s="338">
        <f t="shared" si="304"/>
        <v>3.9999999999054126E-3</v>
      </c>
      <c r="N113" s="338">
        <f t="shared" si="305"/>
        <v>0</v>
      </c>
      <c r="O113" s="383">
        <f t="shared" si="306"/>
        <v>3.9999999999054126E-3</v>
      </c>
      <c r="P113" s="344">
        <f t="shared" si="307"/>
        <v>0</v>
      </c>
    </row>
    <row r="114" spans="2:16" ht="15" customHeight="1">
      <c r="B114" s="336"/>
      <c r="C114" s="343"/>
      <c r="D114" s="29" t="s">
        <v>8</v>
      </c>
      <c r="E114" s="68">
        <v>35.237000000000002</v>
      </c>
      <c r="F114" s="269"/>
      <c r="G114" s="125">
        <f t="shared" ref="G114" si="314">E114+F114+I113</f>
        <v>3.9999999998272529E-3</v>
      </c>
      <c r="H114" s="269"/>
      <c r="I114" s="125">
        <f t="shared" si="309"/>
        <v>3.9999999998272529E-3</v>
      </c>
      <c r="J114" s="38">
        <f t="shared" si="257"/>
        <v>0</v>
      </c>
      <c r="K114" s="340"/>
      <c r="L114" s="338"/>
      <c r="M114" s="338"/>
      <c r="N114" s="338"/>
      <c r="O114" s="383"/>
      <c r="P114" s="344"/>
    </row>
    <row r="115" spans="2:16" ht="15" customHeight="1">
      <c r="B115" s="336"/>
      <c r="C115" s="343" t="s">
        <v>111</v>
      </c>
      <c r="D115" s="29" t="s">
        <v>7</v>
      </c>
      <c r="E115" s="68">
        <v>690.54600000000005</v>
      </c>
      <c r="F115" s="269">
        <f>-692.896</f>
        <v>-692.89599999999996</v>
      </c>
      <c r="G115" s="125">
        <f t="shared" ref="G115" si="315">E115+F115</f>
        <v>-2.3499999999999091</v>
      </c>
      <c r="H115" s="269"/>
      <c r="I115" s="125">
        <f t="shared" si="309"/>
        <v>-2.3499999999999091</v>
      </c>
      <c r="J115" s="38">
        <f t="shared" si="257"/>
        <v>0</v>
      </c>
      <c r="K115" s="340">
        <f>E115+E116</f>
        <v>704.6400000000001</v>
      </c>
      <c r="L115" s="338">
        <f t="shared" si="303"/>
        <v>-692.89599999999996</v>
      </c>
      <c r="M115" s="338">
        <f t="shared" si="304"/>
        <v>11.744000000000142</v>
      </c>
      <c r="N115" s="338">
        <f t="shared" si="305"/>
        <v>0</v>
      </c>
      <c r="O115" s="338">
        <f t="shared" si="306"/>
        <v>11.744000000000142</v>
      </c>
      <c r="P115" s="369">
        <f t="shared" si="307"/>
        <v>0</v>
      </c>
    </row>
    <row r="116" spans="2:16" ht="15" customHeight="1">
      <c r="B116" s="336"/>
      <c r="C116" s="343"/>
      <c r="D116" s="29" t="s">
        <v>8</v>
      </c>
      <c r="E116" s="68">
        <v>14.093999999999999</v>
      </c>
      <c r="F116" s="269"/>
      <c r="G116" s="125">
        <f t="shared" ref="G116" si="316">E116+F116+I115</f>
        <v>11.74400000000009</v>
      </c>
      <c r="H116" s="269"/>
      <c r="I116" s="125">
        <f t="shared" si="309"/>
        <v>11.74400000000009</v>
      </c>
      <c r="J116" s="38">
        <f t="shared" si="257"/>
        <v>0</v>
      </c>
      <c r="K116" s="340"/>
      <c r="L116" s="338"/>
      <c r="M116" s="338"/>
      <c r="N116" s="338"/>
      <c r="O116" s="338"/>
      <c r="P116" s="369"/>
    </row>
    <row r="117" spans="2:16" ht="15" customHeight="1">
      <c r="B117" s="336"/>
      <c r="C117" s="343" t="s">
        <v>112</v>
      </c>
      <c r="D117" s="29" t="s">
        <v>7</v>
      </c>
      <c r="E117" s="68">
        <v>1381.0920000000001</v>
      </c>
      <c r="F117" s="135">
        <f>-704.64-704.64</f>
        <v>-1409.28</v>
      </c>
      <c r="G117" s="125">
        <f t="shared" ref="G117:G121" si="317">E117+F117</f>
        <v>-28.187999999999874</v>
      </c>
      <c r="H117" s="269"/>
      <c r="I117" s="125">
        <f t="shared" si="309"/>
        <v>-28.187999999999874</v>
      </c>
      <c r="J117" s="38">
        <f t="shared" si="257"/>
        <v>0</v>
      </c>
      <c r="K117" s="340">
        <f>E117+E118</f>
        <v>1409.2800000000002</v>
      </c>
      <c r="L117" s="338">
        <f t="shared" si="303"/>
        <v>-1409.28</v>
      </c>
      <c r="M117" s="338">
        <f t="shared" si="304"/>
        <v>0</v>
      </c>
      <c r="N117" s="338">
        <f t="shared" si="305"/>
        <v>0</v>
      </c>
      <c r="O117" s="338">
        <f t="shared" si="306"/>
        <v>0</v>
      </c>
      <c r="P117" s="344">
        <v>0</v>
      </c>
    </row>
    <row r="118" spans="2:16" ht="15" customHeight="1">
      <c r="B118" s="336"/>
      <c r="C118" s="343"/>
      <c r="D118" s="29" t="s">
        <v>8</v>
      </c>
      <c r="E118" s="68">
        <v>28.187999999999999</v>
      </c>
      <c r="F118" s="269"/>
      <c r="G118" s="125">
        <v>0</v>
      </c>
      <c r="H118" s="269"/>
      <c r="I118" s="125">
        <f t="shared" si="309"/>
        <v>0</v>
      </c>
      <c r="J118" s="38">
        <v>0</v>
      </c>
      <c r="K118" s="340"/>
      <c r="L118" s="338"/>
      <c r="M118" s="338"/>
      <c r="N118" s="338"/>
      <c r="O118" s="338"/>
      <c r="P118" s="344"/>
    </row>
    <row r="119" spans="2:16" ht="15" customHeight="1">
      <c r="B119" s="336"/>
      <c r="C119" s="343" t="s">
        <v>113</v>
      </c>
      <c r="D119" s="29" t="s">
        <v>7</v>
      </c>
      <c r="E119" s="68">
        <v>3107.4650000000001</v>
      </c>
      <c r="F119" s="135">
        <f>-176-176.16-176.16-176.16-176.16-176.16-176.16-176.16-176.16-176.16-176.16-176.16-176.16-176.16-176.16-176.16-352.32</f>
        <v>-3170.72</v>
      </c>
      <c r="G119" s="20">
        <f t="shared" si="317"/>
        <v>-63.254999999999654</v>
      </c>
      <c r="H119" s="269"/>
      <c r="I119" s="20">
        <f t="shared" si="309"/>
        <v>-63.254999999999654</v>
      </c>
      <c r="J119" s="128">
        <f t="shared" si="257"/>
        <v>0</v>
      </c>
      <c r="K119" s="340">
        <f>E119+E120</f>
        <v>3170.8960000000002</v>
      </c>
      <c r="L119" s="338">
        <f t="shared" si="303"/>
        <v>-3170.72</v>
      </c>
      <c r="M119" s="338">
        <f t="shared" si="304"/>
        <v>0.17600000000038563</v>
      </c>
      <c r="N119" s="338">
        <f t="shared" si="305"/>
        <v>0</v>
      </c>
      <c r="O119" s="338">
        <f t="shared" si="306"/>
        <v>0.17600000000038563</v>
      </c>
      <c r="P119" s="369">
        <f t="shared" si="307"/>
        <v>0</v>
      </c>
    </row>
    <row r="120" spans="2:16" ht="15" customHeight="1">
      <c r="B120" s="336"/>
      <c r="C120" s="343"/>
      <c r="D120" s="29" t="s">
        <v>8</v>
      </c>
      <c r="E120" s="68">
        <v>63.430999999999997</v>
      </c>
      <c r="F120" s="269"/>
      <c r="G120" s="135">
        <f t="shared" ref="G120" si="318">E120+F120+I119</f>
        <v>0.17600000000034299</v>
      </c>
      <c r="H120" s="269"/>
      <c r="I120" s="20">
        <f t="shared" si="309"/>
        <v>0.17600000000034299</v>
      </c>
      <c r="J120" s="128">
        <f t="shared" si="257"/>
        <v>0</v>
      </c>
      <c r="K120" s="340"/>
      <c r="L120" s="338"/>
      <c r="M120" s="338"/>
      <c r="N120" s="338"/>
      <c r="O120" s="338"/>
      <c r="P120" s="369"/>
    </row>
    <row r="121" spans="2:16" ht="15" customHeight="1">
      <c r="B121" s="336"/>
      <c r="C121" s="343" t="s">
        <v>114</v>
      </c>
      <c r="D121" s="29" t="s">
        <v>7</v>
      </c>
      <c r="E121" s="68">
        <v>1726.365</v>
      </c>
      <c r="F121" s="135">
        <f>-352.32-352.32-704.64-352.32</f>
        <v>-1761.6</v>
      </c>
      <c r="G121" s="125">
        <f t="shared" si="317"/>
        <v>-35.2349999999999</v>
      </c>
      <c r="H121" s="269"/>
      <c r="I121" s="125">
        <f t="shared" si="309"/>
        <v>-35.2349999999999</v>
      </c>
      <c r="J121" s="38">
        <f t="shared" si="257"/>
        <v>0</v>
      </c>
      <c r="K121" s="340">
        <f>E121+E122</f>
        <v>1761.6</v>
      </c>
      <c r="L121" s="338">
        <f t="shared" si="303"/>
        <v>-1761.6</v>
      </c>
      <c r="M121" s="338">
        <f t="shared" si="304"/>
        <v>0</v>
      </c>
      <c r="N121" s="338">
        <f t="shared" si="305"/>
        <v>0</v>
      </c>
      <c r="O121" s="338">
        <f t="shared" si="306"/>
        <v>0</v>
      </c>
      <c r="P121" s="344">
        <v>0</v>
      </c>
    </row>
    <row r="122" spans="2:16" ht="15" customHeight="1">
      <c r="B122" s="336"/>
      <c r="C122" s="343"/>
      <c r="D122" s="29" t="s">
        <v>8</v>
      </c>
      <c r="E122" s="68">
        <v>35.234999999999999</v>
      </c>
      <c r="F122" s="269"/>
      <c r="G122" s="125">
        <v>0</v>
      </c>
      <c r="H122" s="269"/>
      <c r="I122" s="125">
        <f>G122-H122</f>
        <v>0</v>
      </c>
      <c r="J122" s="38">
        <v>0</v>
      </c>
      <c r="K122" s="340"/>
      <c r="L122" s="338"/>
      <c r="M122" s="338"/>
      <c r="N122" s="338"/>
      <c r="O122" s="338"/>
      <c r="P122" s="344"/>
    </row>
    <row r="123" spans="2:16" ht="15" customHeight="1">
      <c r="B123" s="336"/>
      <c r="C123" s="343" t="s">
        <v>115</v>
      </c>
      <c r="D123" s="29" t="s">
        <v>7</v>
      </c>
      <c r="E123" s="68">
        <v>2762.1840000000002</v>
      </c>
      <c r="F123" s="273">
        <f>-704.64-704.64-704.64-704.64</f>
        <v>-2818.56</v>
      </c>
      <c r="G123" s="125">
        <f t="shared" ref="G123:G125" si="319">E123+F123</f>
        <v>-56.375999999999749</v>
      </c>
      <c r="H123" s="269"/>
      <c r="I123" s="125">
        <f t="shared" si="309"/>
        <v>-56.375999999999749</v>
      </c>
      <c r="J123" s="38">
        <f t="shared" si="257"/>
        <v>0</v>
      </c>
      <c r="K123" s="340">
        <f>E123+E124</f>
        <v>2818.5600000000004</v>
      </c>
      <c r="L123" s="338">
        <f t="shared" si="303"/>
        <v>-2818.56</v>
      </c>
      <c r="M123" s="338">
        <f t="shared" si="304"/>
        <v>0</v>
      </c>
      <c r="N123" s="338">
        <f t="shared" si="305"/>
        <v>0</v>
      </c>
      <c r="O123" s="338">
        <f t="shared" si="306"/>
        <v>0</v>
      </c>
      <c r="P123" s="344">
        <v>0</v>
      </c>
    </row>
    <row r="124" spans="2:16" ht="15" customHeight="1">
      <c r="B124" s="336"/>
      <c r="C124" s="343"/>
      <c r="D124" s="29" t="s">
        <v>8</v>
      </c>
      <c r="E124" s="68">
        <v>56.375999999999998</v>
      </c>
      <c r="F124" s="269"/>
      <c r="G124" s="125">
        <v>0</v>
      </c>
      <c r="H124" s="269"/>
      <c r="I124" s="125">
        <f t="shared" si="309"/>
        <v>0</v>
      </c>
      <c r="J124" s="38">
        <v>0</v>
      </c>
      <c r="K124" s="340"/>
      <c r="L124" s="338"/>
      <c r="M124" s="338"/>
      <c r="N124" s="338"/>
      <c r="O124" s="338"/>
      <c r="P124" s="344"/>
    </row>
    <row r="125" spans="2:16" ht="15" customHeight="1">
      <c r="B125" s="336"/>
      <c r="C125" s="343" t="s">
        <v>116</v>
      </c>
      <c r="D125" s="29" t="s">
        <v>7</v>
      </c>
      <c r="E125" s="68">
        <v>690.54600000000005</v>
      </c>
      <c r="F125" s="269">
        <f>-704.64</f>
        <v>-704.64</v>
      </c>
      <c r="G125" s="125">
        <f t="shared" si="319"/>
        <v>-14.093999999999937</v>
      </c>
      <c r="H125" s="269"/>
      <c r="I125" s="125">
        <f t="shared" si="309"/>
        <v>-14.093999999999937</v>
      </c>
      <c r="J125" s="38">
        <f t="shared" si="257"/>
        <v>0</v>
      </c>
      <c r="K125" s="340">
        <f>E125+E126</f>
        <v>704.6400000000001</v>
      </c>
      <c r="L125" s="338">
        <f t="shared" si="303"/>
        <v>-704.64</v>
      </c>
      <c r="M125" s="338">
        <f t="shared" si="304"/>
        <v>0</v>
      </c>
      <c r="N125" s="338">
        <f t="shared" si="305"/>
        <v>0</v>
      </c>
      <c r="O125" s="338">
        <f t="shared" si="306"/>
        <v>0</v>
      </c>
      <c r="P125" s="344">
        <v>0</v>
      </c>
    </row>
    <row r="126" spans="2:16" ht="15" customHeight="1">
      <c r="B126" s="336"/>
      <c r="C126" s="343"/>
      <c r="D126" s="29" t="s">
        <v>8</v>
      </c>
      <c r="E126" s="68">
        <v>14.093999999999999</v>
      </c>
      <c r="F126" s="269"/>
      <c r="G126" s="125">
        <v>0</v>
      </c>
      <c r="H126" s="269"/>
      <c r="I126" s="125">
        <f t="shared" si="309"/>
        <v>0</v>
      </c>
      <c r="J126" s="38">
        <v>0</v>
      </c>
      <c r="K126" s="340"/>
      <c r="L126" s="338"/>
      <c r="M126" s="338"/>
      <c r="N126" s="338"/>
      <c r="O126" s="338"/>
      <c r="P126" s="344"/>
    </row>
    <row r="127" spans="2:16" ht="15" customHeight="1">
      <c r="B127" s="336"/>
      <c r="C127" s="343" t="s">
        <v>169</v>
      </c>
      <c r="D127" s="29" t="s">
        <v>7</v>
      </c>
      <c r="E127" s="68">
        <v>1594.5170000000001</v>
      </c>
      <c r="F127" s="269">
        <f>-1627.061</f>
        <v>-1627.0609999999999</v>
      </c>
      <c r="G127" s="125">
        <f t="shared" ref="G127:G131" si="320">E127+F127</f>
        <v>-32.543999999999869</v>
      </c>
      <c r="H127" s="269"/>
      <c r="I127" s="125">
        <f t="shared" si="259"/>
        <v>-32.543999999999869</v>
      </c>
      <c r="J127" s="38">
        <f t="shared" ref="J127" si="321">H127/G127</f>
        <v>0</v>
      </c>
      <c r="K127" s="340">
        <f>E127+E128</f>
        <v>1627.0610000000001</v>
      </c>
      <c r="L127" s="338">
        <f t="shared" ref="L127:L131" si="322">F127+F128</f>
        <v>-1627.0609999999999</v>
      </c>
      <c r="M127" s="338">
        <f t="shared" ref="M127:M131" si="323">K127+L127</f>
        <v>0</v>
      </c>
      <c r="N127" s="338">
        <f t="shared" ref="N127:N131" si="324">H127+H128</f>
        <v>0</v>
      </c>
      <c r="O127" s="338">
        <f t="shared" ref="O127:O131" si="325">M127-N127</f>
        <v>0</v>
      </c>
      <c r="P127" s="344">
        <v>0</v>
      </c>
    </row>
    <row r="128" spans="2:16" ht="15.75" customHeight="1">
      <c r="B128" s="336"/>
      <c r="C128" s="343"/>
      <c r="D128" s="29" t="s">
        <v>8</v>
      </c>
      <c r="E128" s="68">
        <v>32.543999999999997</v>
      </c>
      <c r="F128" s="269"/>
      <c r="G128" s="125">
        <v>0</v>
      </c>
      <c r="H128" s="269"/>
      <c r="I128" s="125">
        <f t="shared" si="259"/>
        <v>0</v>
      </c>
      <c r="J128" s="38">
        <v>0</v>
      </c>
      <c r="K128" s="340"/>
      <c r="L128" s="338"/>
      <c r="M128" s="338"/>
      <c r="N128" s="338"/>
      <c r="O128" s="338"/>
      <c r="P128" s="344"/>
    </row>
    <row r="129" spans="2:16" ht="15" customHeight="1">
      <c r="B129" s="336"/>
      <c r="C129" s="343" t="s">
        <v>255</v>
      </c>
      <c r="D129" s="29" t="s">
        <v>7</v>
      </c>
      <c r="E129" s="68">
        <v>1035.819</v>
      </c>
      <c r="F129" s="269">
        <f>1056.96-1056.96-1056.96</f>
        <v>-1056.96</v>
      </c>
      <c r="G129" s="127">
        <f t="shared" si="320"/>
        <v>-21.141000000000076</v>
      </c>
      <c r="H129" s="269"/>
      <c r="I129" s="127">
        <f t="shared" si="259"/>
        <v>-21.141000000000076</v>
      </c>
      <c r="J129" s="38">
        <v>0</v>
      </c>
      <c r="K129" s="340">
        <f>E129+E130</f>
        <v>1056.96</v>
      </c>
      <c r="L129" s="338">
        <f t="shared" si="322"/>
        <v>-1056.96</v>
      </c>
      <c r="M129" s="338">
        <f t="shared" si="323"/>
        <v>0</v>
      </c>
      <c r="N129" s="338">
        <f t="shared" si="324"/>
        <v>0</v>
      </c>
      <c r="O129" s="338">
        <f t="shared" si="325"/>
        <v>0</v>
      </c>
      <c r="P129" s="344">
        <v>0</v>
      </c>
    </row>
    <row r="130" spans="2:16" ht="15" customHeight="1">
      <c r="B130" s="336"/>
      <c r="C130" s="343"/>
      <c r="D130" s="29" t="s">
        <v>8</v>
      </c>
      <c r="E130" s="68">
        <v>21.140999999999998</v>
      </c>
      <c r="F130" s="269"/>
      <c r="G130" s="127">
        <v>0</v>
      </c>
      <c r="H130" s="269"/>
      <c r="I130" s="127">
        <f t="shared" si="259"/>
        <v>0</v>
      </c>
      <c r="J130" s="38">
        <v>0</v>
      </c>
      <c r="K130" s="340"/>
      <c r="L130" s="338"/>
      <c r="M130" s="338"/>
      <c r="N130" s="338"/>
      <c r="O130" s="338"/>
      <c r="P130" s="344"/>
    </row>
    <row r="131" spans="2:16" ht="15" customHeight="1">
      <c r="B131" s="336"/>
      <c r="C131" s="343" t="s">
        <v>254</v>
      </c>
      <c r="D131" s="29" t="s">
        <v>7</v>
      </c>
      <c r="E131" s="68">
        <v>1035.819</v>
      </c>
      <c r="F131" s="269">
        <f>-1056.96</f>
        <v>-1056.96</v>
      </c>
      <c r="G131" s="127">
        <f t="shared" si="320"/>
        <v>-21.141000000000076</v>
      </c>
      <c r="H131" s="269"/>
      <c r="I131" s="127">
        <f t="shared" si="259"/>
        <v>-21.141000000000076</v>
      </c>
      <c r="J131" s="38">
        <v>0</v>
      </c>
      <c r="K131" s="340">
        <f>E131+E132</f>
        <v>1056.96</v>
      </c>
      <c r="L131" s="338">
        <f t="shared" si="322"/>
        <v>-1056.96</v>
      </c>
      <c r="M131" s="338">
        <f t="shared" si="323"/>
        <v>0</v>
      </c>
      <c r="N131" s="338">
        <f t="shared" si="324"/>
        <v>0</v>
      </c>
      <c r="O131" s="338">
        <f t="shared" si="325"/>
        <v>0</v>
      </c>
      <c r="P131" s="345">
        <v>0</v>
      </c>
    </row>
    <row r="132" spans="2:16" ht="15.75" customHeight="1" thickBot="1">
      <c r="B132" s="337"/>
      <c r="C132" s="347"/>
      <c r="D132" s="129" t="s">
        <v>8</v>
      </c>
      <c r="E132" s="85">
        <v>21.140999999999998</v>
      </c>
      <c r="F132" s="271"/>
      <c r="G132" s="130">
        <v>0</v>
      </c>
      <c r="H132" s="271"/>
      <c r="I132" s="130">
        <f t="shared" si="259"/>
        <v>0</v>
      </c>
      <c r="J132" s="131">
        <v>0</v>
      </c>
      <c r="K132" s="341"/>
      <c r="L132" s="339"/>
      <c r="M132" s="339"/>
      <c r="N132" s="339"/>
      <c r="O132" s="339"/>
      <c r="P132" s="346"/>
    </row>
    <row r="133" spans="2:16" ht="15" customHeight="1">
      <c r="B133" s="394" t="s">
        <v>44</v>
      </c>
      <c r="C133" s="372" t="s">
        <v>31</v>
      </c>
      <c r="D133" s="28" t="s">
        <v>7</v>
      </c>
      <c r="E133" s="67">
        <v>3071.0129999999999</v>
      </c>
      <c r="F133" s="267">
        <f>1628.627+459.38+61.525</f>
        <v>2149.5320000000002</v>
      </c>
      <c r="G133" s="17">
        <f>E133+F133</f>
        <v>5220.5450000000001</v>
      </c>
      <c r="H133" s="267">
        <v>5281.826</v>
      </c>
      <c r="I133" s="17">
        <f t="shared" si="259"/>
        <v>-61.280999999999949</v>
      </c>
      <c r="J133" s="35">
        <f t="shared" si="257"/>
        <v>1.0117384296084029</v>
      </c>
      <c r="K133" s="378">
        <f>E133+E134</f>
        <v>3133.6689999999999</v>
      </c>
      <c r="L133" s="379">
        <f>F133+F134</f>
        <v>2149.5320000000002</v>
      </c>
      <c r="M133" s="379">
        <f>K133+L133</f>
        <v>5283.201</v>
      </c>
      <c r="N133" s="379">
        <f t="shared" ref="N133" si="326">H133+H134</f>
        <v>5281.826</v>
      </c>
      <c r="O133" s="379">
        <f t="shared" ref="O133" si="327">M133-N133</f>
        <v>1.375</v>
      </c>
      <c r="P133" s="389">
        <f t="shared" ref="P133" si="328">N133/M133</f>
        <v>0.99973974111528219</v>
      </c>
    </row>
    <row r="134" spans="2:16" ht="15.75" customHeight="1">
      <c r="B134" s="395"/>
      <c r="C134" s="373"/>
      <c r="D134" s="29" t="s">
        <v>8</v>
      </c>
      <c r="E134" s="68">
        <v>62.655999999999999</v>
      </c>
      <c r="F134" s="269"/>
      <c r="G134" s="127">
        <f>E134+F134+I133</f>
        <v>1.3750000000000497</v>
      </c>
      <c r="H134" s="269"/>
      <c r="I134" s="127">
        <f t="shared" si="259"/>
        <v>1.3750000000000497</v>
      </c>
      <c r="J134" s="38">
        <f t="shared" si="257"/>
        <v>0</v>
      </c>
      <c r="K134" s="360"/>
      <c r="L134" s="338"/>
      <c r="M134" s="338"/>
      <c r="N134" s="338"/>
      <c r="O134" s="338"/>
      <c r="P134" s="384"/>
    </row>
    <row r="135" spans="2:16" ht="15" customHeight="1">
      <c r="B135" s="395"/>
      <c r="C135" s="373" t="s">
        <v>20</v>
      </c>
      <c r="D135" s="29" t="s">
        <v>7</v>
      </c>
      <c r="E135" s="68">
        <v>27.689</v>
      </c>
      <c r="F135" s="269"/>
      <c r="G135" s="127">
        <f>E135+F135</f>
        <v>27.689</v>
      </c>
      <c r="H135" s="269"/>
      <c r="I135" s="127">
        <f t="shared" si="259"/>
        <v>27.689</v>
      </c>
      <c r="J135" s="38">
        <f t="shared" si="257"/>
        <v>0</v>
      </c>
      <c r="K135" s="360">
        <f t="shared" ref="K135" si="329">E135+E136</f>
        <v>28.254000000000001</v>
      </c>
      <c r="L135" s="338">
        <f t="shared" ref="L135" si="330">F135+F136</f>
        <v>0</v>
      </c>
      <c r="M135" s="338">
        <f t="shared" ref="M135" si="331">K135+L135</f>
        <v>28.254000000000001</v>
      </c>
      <c r="N135" s="338">
        <f t="shared" ref="N135" si="332">H135+H136</f>
        <v>0</v>
      </c>
      <c r="O135" s="338">
        <f t="shared" ref="O135" si="333">M135-N135</f>
        <v>28.254000000000001</v>
      </c>
      <c r="P135" s="369">
        <f t="shared" ref="P135:P137" si="334">N135/M135</f>
        <v>0</v>
      </c>
    </row>
    <row r="136" spans="2:16" ht="15" customHeight="1">
      <c r="B136" s="395"/>
      <c r="C136" s="373"/>
      <c r="D136" s="29" t="s">
        <v>8</v>
      </c>
      <c r="E136" s="68">
        <v>0.56499999999999995</v>
      </c>
      <c r="F136" s="269"/>
      <c r="G136" s="127">
        <f>E136+F136+I135</f>
        <v>28.254000000000001</v>
      </c>
      <c r="H136" s="269"/>
      <c r="I136" s="127">
        <f t="shared" si="259"/>
        <v>28.254000000000001</v>
      </c>
      <c r="J136" s="38">
        <f t="shared" si="257"/>
        <v>0</v>
      </c>
      <c r="K136" s="360"/>
      <c r="L136" s="338"/>
      <c r="M136" s="338"/>
      <c r="N136" s="338"/>
      <c r="O136" s="338"/>
      <c r="P136" s="369"/>
    </row>
    <row r="137" spans="2:16" ht="15" customHeight="1">
      <c r="B137" s="395"/>
      <c r="C137" s="373" t="s">
        <v>27</v>
      </c>
      <c r="D137" s="29" t="s">
        <v>7</v>
      </c>
      <c r="E137" s="68">
        <v>3658.6480000000001</v>
      </c>
      <c r="F137" s="269">
        <f>550+200+196.254+196.254+196.254+196.254+2499.117-1000.29</f>
        <v>3033.8429999999998</v>
      </c>
      <c r="G137" s="127">
        <f t="shared" ref="G137" si="335">E137+F137</f>
        <v>6692.491</v>
      </c>
      <c r="H137" s="269">
        <v>6509.6440000000002</v>
      </c>
      <c r="I137" s="127">
        <f t="shared" si="259"/>
        <v>182.84699999999975</v>
      </c>
      <c r="J137" s="38">
        <f t="shared" si="257"/>
        <v>0.97267878283287945</v>
      </c>
      <c r="K137" s="360">
        <f>E137+E138</f>
        <v>3733.2930000000001</v>
      </c>
      <c r="L137" s="338">
        <f>F137+F138</f>
        <v>3033.8429999999998</v>
      </c>
      <c r="M137" s="338">
        <f t="shared" ref="M137" si="336">K137+L137</f>
        <v>6767.1360000000004</v>
      </c>
      <c r="N137" s="338">
        <f t="shared" ref="N137" si="337">H137+H138</f>
        <v>6627.4340000000002</v>
      </c>
      <c r="O137" s="338">
        <f t="shared" ref="O137" si="338">M137-N137</f>
        <v>139.70200000000023</v>
      </c>
      <c r="P137" s="369">
        <f t="shared" si="334"/>
        <v>0.9793558161089122</v>
      </c>
    </row>
    <row r="138" spans="2:16" ht="15" customHeight="1">
      <c r="B138" s="395"/>
      <c r="C138" s="373"/>
      <c r="D138" s="29" t="s">
        <v>8</v>
      </c>
      <c r="E138" s="68">
        <v>74.644999999999996</v>
      </c>
      <c r="F138" s="269"/>
      <c r="G138" s="127">
        <f t="shared" ref="G138" si="339">E138+F138+I137</f>
        <v>257.49199999999973</v>
      </c>
      <c r="H138" s="269">
        <v>117.79</v>
      </c>
      <c r="I138" s="127">
        <f t="shared" si="259"/>
        <v>139.70199999999971</v>
      </c>
      <c r="J138" s="38">
        <f t="shared" si="257"/>
        <v>0.45745110527705762</v>
      </c>
      <c r="K138" s="360"/>
      <c r="L138" s="338"/>
      <c r="M138" s="338"/>
      <c r="N138" s="338"/>
      <c r="O138" s="338"/>
      <c r="P138" s="369"/>
    </row>
    <row r="139" spans="2:16" ht="15" customHeight="1">
      <c r="B139" s="395"/>
      <c r="C139" s="373" t="s">
        <v>178</v>
      </c>
      <c r="D139" s="29" t="s">
        <v>7</v>
      </c>
      <c r="E139" s="68">
        <v>0.27200000000000002</v>
      </c>
      <c r="F139" s="269"/>
      <c r="G139" s="127">
        <f t="shared" ref="G139" si="340">E139+F139</f>
        <v>0.27200000000000002</v>
      </c>
      <c r="H139" s="269"/>
      <c r="I139" s="127">
        <f t="shared" si="259"/>
        <v>0.27200000000000002</v>
      </c>
      <c r="J139" s="38">
        <f t="shared" si="257"/>
        <v>0</v>
      </c>
      <c r="K139" s="360">
        <f>E139+E140</f>
        <v>0.27800000000000002</v>
      </c>
      <c r="L139" s="338">
        <f t="shared" ref="L139" si="341">F139+F140</f>
        <v>0</v>
      </c>
      <c r="M139" s="338">
        <f t="shared" ref="M139" si="342">K139+L139</f>
        <v>0.27800000000000002</v>
      </c>
      <c r="N139" s="338">
        <f t="shared" ref="N139" si="343">H139+H140</f>
        <v>0</v>
      </c>
      <c r="O139" s="338">
        <f t="shared" ref="O139" si="344">M139-N139</f>
        <v>0.27800000000000002</v>
      </c>
      <c r="P139" s="345">
        <f t="shared" ref="P139" si="345">N139/M139</f>
        <v>0</v>
      </c>
    </row>
    <row r="140" spans="2:16" ht="15" customHeight="1">
      <c r="B140" s="395"/>
      <c r="C140" s="373"/>
      <c r="D140" s="29" t="s">
        <v>8</v>
      </c>
      <c r="E140" s="68">
        <v>6.0000000000000001E-3</v>
      </c>
      <c r="F140" s="269"/>
      <c r="G140" s="127">
        <f t="shared" ref="G140" si="346">E140+F140+I139</f>
        <v>0.27800000000000002</v>
      </c>
      <c r="H140" s="269"/>
      <c r="I140" s="127">
        <f t="shared" si="259"/>
        <v>0.27800000000000002</v>
      </c>
      <c r="J140" s="38">
        <f t="shared" si="257"/>
        <v>0</v>
      </c>
      <c r="K140" s="360"/>
      <c r="L140" s="338"/>
      <c r="M140" s="338"/>
      <c r="N140" s="338"/>
      <c r="O140" s="338"/>
      <c r="P140" s="345"/>
    </row>
    <row r="141" spans="2:16" ht="15" customHeight="1">
      <c r="B141" s="395"/>
      <c r="C141" s="373" t="s">
        <v>21</v>
      </c>
      <c r="D141" s="29" t="s">
        <v>7</v>
      </c>
      <c r="E141" s="68">
        <v>6653.9579999999996</v>
      </c>
      <c r="F141" s="269">
        <f>-1800</f>
        <v>-1800</v>
      </c>
      <c r="G141" s="127">
        <f t="shared" ref="G141" si="347">E141+F141</f>
        <v>4853.9579999999996</v>
      </c>
      <c r="H141" s="269">
        <v>4763</v>
      </c>
      <c r="I141" s="127">
        <f t="shared" si="259"/>
        <v>90.957999999999629</v>
      </c>
      <c r="J141" s="38">
        <f t="shared" si="257"/>
        <v>0.98126106571173466</v>
      </c>
      <c r="K141" s="360">
        <f>E141+E142</f>
        <v>6789.7149999999992</v>
      </c>
      <c r="L141" s="338">
        <f t="shared" ref="L141" si="348">F141+F142</f>
        <v>-1800</v>
      </c>
      <c r="M141" s="338">
        <f t="shared" ref="M141" si="349">K141+L141</f>
        <v>4989.7149999999992</v>
      </c>
      <c r="N141" s="338">
        <f t="shared" ref="N141" si="350">H141+H142</f>
        <v>4763</v>
      </c>
      <c r="O141" s="338">
        <f t="shared" ref="O141" si="351">M141-N141</f>
        <v>226.71499999999924</v>
      </c>
      <c r="P141" s="369">
        <f t="shared" ref="P141" si="352">N141/M141</f>
        <v>0.95456353719601239</v>
      </c>
    </row>
    <row r="142" spans="2:16" ht="15" customHeight="1">
      <c r="B142" s="395"/>
      <c r="C142" s="373"/>
      <c r="D142" s="29" t="s">
        <v>8</v>
      </c>
      <c r="E142" s="68">
        <v>135.75700000000001</v>
      </c>
      <c r="F142" s="269"/>
      <c r="G142" s="127">
        <f t="shared" ref="G142" si="353">E142+F142+I141</f>
        <v>226.71499999999963</v>
      </c>
      <c r="H142" s="269"/>
      <c r="I142" s="127">
        <f t="shared" si="259"/>
        <v>226.71499999999963</v>
      </c>
      <c r="J142" s="38">
        <f t="shared" si="257"/>
        <v>0</v>
      </c>
      <c r="K142" s="360"/>
      <c r="L142" s="338"/>
      <c r="M142" s="338"/>
      <c r="N142" s="338"/>
      <c r="O142" s="338"/>
      <c r="P142" s="369"/>
    </row>
    <row r="143" spans="2:16" ht="15" customHeight="1">
      <c r="B143" s="395"/>
      <c r="C143" s="373" t="s">
        <v>32</v>
      </c>
      <c r="D143" s="29" t="s">
        <v>7</v>
      </c>
      <c r="E143" s="68">
        <v>0.81699999999999995</v>
      </c>
      <c r="F143" s="269"/>
      <c r="G143" s="127">
        <f t="shared" ref="G143" si="354">E143+F143</f>
        <v>0.81699999999999995</v>
      </c>
      <c r="H143" s="269"/>
      <c r="I143" s="127">
        <f t="shared" si="259"/>
        <v>0.81699999999999995</v>
      </c>
      <c r="J143" s="38">
        <f t="shared" si="257"/>
        <v>0</v>
      </c>
      <c r="K143" s="360">
        <f>E143+E144</f>
        <v>0.83399999999999996</v>
      </c>
      <c r="L143" s="338">
        <f t="shared" ref="L143" si="355">F143+F144</f>
        <v>0</v>
      </c>
      <c r="M143" s="338">
        <f t="shared" ref="M143" si="356">K143+L143</f>
        <v>0.83399999999999996</v>
      </c>
      <c r="N143" s="338">
        <f t="shared" ref="N143" si="357">H143+H144</f>
        <v>0</v>
      </c>
      <c r="O143" s="338">
        <f t="shared" ref="O143" si="358">M143-N143</f>
        <v>0.83399999999999996</v>
      </c>
      <c r="P143" s="369">
        <f t="shared" ref="P143" si="359">N143/M143</f>
        <v>0</v>
      </c>
    </row>
    <row r="144" spans="2:16" ht="15" customHeight="1">
      <c r="B144" s="395"/>
      <c r="C144" s="373"/>
      <c r="D144" s="29" t="s">
        <v>8</v>
      </c>
      <c r="E144" s="68">
        <v>1.7000000000000001E-2</v>
      </c>
      <c r="F144" s="269"/>
      <c r="G144" s="127">
        <f t="shared" ref="G144" si="360">E144+F144+I143</f>
        <v>0.83399999999999996</v>
      </c>
      <c r="H144" s="269"/>
      <c r="I144" s="127">
        <f t="shared" si="259"/>
        <v>0.83399999999999996</v>
      </c>
      <c r="J144" s="38">
        <f t="shared" si="257"/>
        <v>0</v>
      </c>
      <c r="K144" s="360"/>
      <c r="L144" s="338"/>
      <c r="M144" s="338"/>
      <c r="N144" s="338"/>
      <c r="O144" s="338"/>
      <c r="P144" s="369"/>
    </row>
    <row r="145" spans="2:16" ht="15" customHeight="1">
      <c r="B145" s="395"/>
      <c r="C145" s="373" t="s">
        <v>10</v>
      </c>
      <c r="D145" s="29" t="s">
        <v>7</v>
      </c>
      <c r="E145" s="68">
        <v>155.58500000000001</v>
      </c>
      <c r="F145" s="269">
        <f>-158.759</f>
        <v>-158.75899999999999</v>
      </c>
      <c r="G145" s="127">
        <f t="shared" ref="G145" si="361">E145+F145</f>
        <v>-3.1739999999999782</v>
      </c>
      <c r="H145" s="269"/>
      <c r="I145" s="127">
        <f t="shared" si="259"/>
        <v>-3.1739999999999782</v>
      </c>
      <c r="J145" s="38">
        <f t="shared" si="257"/>
        <v>0</v>
      </c>
      <c r="K145" s="360">
        <f>E145+E146</f>
        <v>158.75900000000001</v>
      </c>
      <c r="L145" s="338">
        <f t="shared" ref="L145" si="362">F145+F146</f>
        <v>-158.75899999999999</v>
      </c>
      <c r="M145" s="338">
        <f t="shared" ref="M145" si="363">K145+L145</f>
        <v>0</v>
      </c>
      <c r="N145" s="338">
        <f t="shared" ref="N145" si="364">H145+H146</f>
        <v>0</v>
      </c>
      <c r="O145" s="338">
        <f t="shared" ref="O145" si="365">M145-N145</f>
        <v>0</v>
      </c>
      <c r="P145" s="345">
        <v>0</v>
      </c>
    </row>
    <row r="146" spans="2:16" ht="15" customHeight="1">
      <c r="B146" s="395"/>
      <c r="C146" s="373"/>
      <c r="D146" s="29" t="s">
        <v>8</v>
      </c>
      <c r="E146" s="68">
        <v>3.1739999999999999</v>
      </c>
      <c r="F146" s="269"/>
      <c r="G146" s="127">
        <v>0</v>
      </c>
      <c r="H146" s="269"/>
      <c r="I146" s="127">
        <f t="shared" si="259"/>
        <v>0</v>
      </c>
      <c r="J146" s="38">
        <v>0</v>
      </c>
      <c r="K146" s="360"/>
      <c r="L146" s="338"/>
      <c r="M146" s="338"/>
      <c r="N146" s="338"/>
      <c r="O146" s="338"/>
      <c r="P146" s="345"/>
    </row>
    <row r="147" spans="2:16" ht="15" customHeight="1">
      <c r="B147" s="395"/>
      <c r="C147" s="373" t="s">
        <v>33</v>
      </c>
      <c r="D147" s="29" t="s">
        <v>7</v>
      </c>
      <c r="E147" s="68">
        <v>1456.2249999999999</v>
      </c>
      <c r="F147" s="269">
        <f>196.254+196.254+196.254-588.762</f>
        <v>0</v>
      </c>
      <c r="G147" s="127">
        <f t="shared" ref="G147" si="366">E147+F147</f>
        <v>1456.2249999999999</v>
      </c>
      <c r="H147" s="269">
        <v>1345.0909999999999</v>
      </c>
      <c r="I147" s="127">
        <f t="shared" si="259"/>
        <v>111.13400000000001</v>
      </c>
      <c r="J147" s="38">
        <f t="shared" si="257"/>
        <v>0.92368349671238992</v>
      </c>
      <c r="K147" s="360">
        <f>E147+E148</f>
        <v>1485.9359999999999</v>
      </c>
      <c r="L147" s="338">
        <f t="shared" ref="L147" si="367">F147+F148</f>
        <v>0</v>
      </c>
      <c r="M147" s="338">
        <f t="shared" ref="M147" si="368">K147+L147</f>
        <v>1485.9359999999999</v>
      </c>
      <c r="N147" s="338">
        <f t="shared" ref="N147" si="369">H147+H148</f>
        <v>1345.0909999999999</v>
      </c>
      <c r="O147" s="338">
        <f t="shared" ref="O147" si="370">M147-N147</f>
        <v>140.84500000000003</v>
      </c>
      <c r="P147" s="369">
        <f t="shared" ref="P147" si="371">N147/M147</f>
        <v>0.90521462566355482</v>
      </c>
    </row>
    <row r="148" spans="2:16" ht="15" customHeight="1">
      <c r="B148" s="395"/>
      <c r="C148" s="373"/>
      <c r="D148" s="29" t="s">
        <v>8</v>
      </c>
      <c r="E148" s="68">
        <v>29.710999999999999</v>
      </c>
      <c r="F148" s="269"/>
      <c r="G148" s="127">
        <f t="shared" ref="G148" si="372">E148+F148+I147</f>
        <v>140.84500000000003</v>
      </c>
      <c r="H148" s="269"/>
      <c r="I148" s="127">
        <f t="shared" si="259"/>
        <v>140.84500000000003</v>
      </c>
      <c r="J148" s="38">
        <f t="shared" si="257"/>
        <v>0</v>
      </c>
      <c r="K148" s="360"/>
      <c r="L148" s="338"/>
      <c r="M148" s="338"/>
      <c r="N148" s="338"/>
      <c r="O148" s="338"/>
      <c r="P148" s="369"/>
    </row>
    <row r="149" spans="2:16" ht="15" customHeight="1">
      <c r="B149" s="395"/>
      <c r="C149" s="373" t="s">
        <v>22</v>
      </c>
      <c r="D149" s="29" t="s">
        <v>7</v>
      </c>
      <c r="E149" s="68">
        <v>2620.4160000000002</v>
      </c>
      <c r="F149" s="269">
        <f>196.254+196.254+196.254-588.762-113</f>
        <v>-113</v>
      </c>
      <c r="G149" s="127">
        <f t="shared" ref="G149" si="373">E149+F149</f>
        <v>2507.4160000000002</v>
      </c>
      <c r="H149" s="269">
        <v>2559.953</v>
      </c>
      <c r="I149" s="127">
        <f t="shared" si="259"/>
        <v>-52.536999999999807</v>
      </c>
      <c r="J149" s="38">
        <f t="shared" si="257"/>
        <v>1.0209526460706959</v>
      </c>
      <c r="K149" s="360">
        <f>E149+E150</f>
        <v>2673.8790000000004</v>
      </c>
      <c r="L149" s="338">
        <f t="shared" ref="L149" si="374">F149+F150</f>
        <v>-113</v>
      </c>
      <c r="M149" s="338">
        <f t="shared" ref="M149" si="375">K149+L149</f>
        <v>2560.8790000000004</v>
      </c>
      <c r="N149" s="338">
        <f t="shared" ref="N149" si="376">H149+H150</f>
        <v>2559.953</v>
      </c>
      <c r="O149" s="338">
        <f t="shared" ref="O149" si="377">M149-N149</f>
        <v>0.92600000000038563</v>
      </c>
      <c r="P149" s="369">
        <f t="shared" ref="P149" si="378">N149/M149</f>
        <v>0.9996384054068933</v>
      </c>
    </row>
    <row r="150" spans="2:16" ht="15" customHeight="1">
      <c r="B150" s="395"/>
      <c r="C150" s="373"/>
      <c r="D150" s="29" t="s">
        <v>8</v>
      </c>
      <c r="E150" s="68">
        <v>53.463000000000001</v>
      </c>
      <c r="F150" s="269"/>
      <c r="G150" s="127">
        <f t="shared" ref="G150" si="379">E150+F150+I149</f>
        <v>0.92600000000019378</v>
      </c>
      <c r="H150" s="269"/>
      <c r="I150" s="127">
        <f t="shared" si="259"/>
        <v>0.92600000000019378</v>
      </c>
      <c r="J150" s="38">
        <f t="shared" si="257"/>
        <v>0</v>
      </c>
      <c r="K150" s="360"/>
      <c r="L150" s="338"/>
      <c r="M150" s="338"/>
      <c r="N150" s="338"/>
      <c r="O150" s="338"/>
      <c r="P150" s="369"/>
    </row>
    <row r="151" spans="2:16" ht="15" customHeight="1">
      <c r="B151" s="395"/>
      <c r="C151" s="373" t="s">
        <v>39</v>
      </c>
      <c r="D151" s="29" t="s">
        <v>7</v>
      </c>
      <c r="E151" s="68">
        <f>0.272+576.99</f>
        <v>577.26200000000006</v>
      </c>
      <c r="F151" s="269">
        <f>-196.254-196.254-196.254</f>
        <v>-588.76199999999994</v>
      </c>
      <c r="G151" s="127">
        <f t="shared" ref="G151" si="380">E151+F151</f>
        <v>-11.499999999999886</v>
      </c>
      <c r="H151" s="269"/>
      <c r="I151" s="127">
        <f t="shared" si="259"/>
        <v>-11.499999999999886</v>
      </c>
      <c r="J151" s="38">
        <f t="shared" si="257"/>
        <v>0</v>
      </c>
      <c r="K151" s="360">
        <f>E151+E152</f>
        <v>589.04000000000008</v>
      </c>
      <c r="L151" s="338">
        <f t="shared" ref="L151" si="381">F151+F152</f>
        <v>-588.76199999999994</v>
      </c>
      <c r="M151" s="338">
        <f t="shared" ref="M151" si="382">K151+L151</f>
        <v>0.2780000000001337</v>
      </c>
      <c r="N151" s="338">
        <f t="shared" ref="N151" si="383">H151+H152</f>
        <v>0</v>
      </c>
      <c r="O151" s="338">
        <f t="shared" ref="O151" si="384">M151-N151</f>
        <v>0.2780000000001337</v>
      </c>
      <c r="P151" s="345">
        <f t="shared" ref="P151" si="385">N151/M151</f>
        <v>0</v>
      </c>
    </row>
    <row r="152" spans="2:16" ht="15" customHeight="1">
      <c r="B152" s="395"/>
      <c r="C152" s="373"/>
      <c r="D152" s="29" t="s">
        <v>8</v>
      </c>
      <c r="E152" s="68">
        <f>0.006+11.772</f>
        <v>11.778</v>
      </c>
      <c r="F152" s="269"/>
      <c r="G152" s="127">
        <f t="shared" ref="G152" si="386">E152+F152+I151</f>
        <v>0.27800000000011416</v>
      </c>
      <c r="H152" s="269"/>
      <c r="I152" s="127">
        <f t="shared" si="259"/>
        <v>0.27800000000011416</v>
      </c>
      <c r="J152" s="38">
        <f t="shared" si="257"/>
        <v>0</v>
      </c>
      <c r="K152" s="360"/>
      <c r="L152" s="338"/>
      <c r="M152" s="338"/>
      <c r="N152" s="338"/>
      <c r="O152" s="338"/>
      <c r="P152" s="345"/>
    </row>
    <row r="153" spans="2:16" ht="15" customHeight="1">
      <c r="B153" s="395"/>
      <c r="C153" s="373" t="s">
        <v>24</v>
      </c>
      <c r="D153" s="29" t="s">
        <v>7</v>
      </c>
      <c r="E153" s="68">
        <f>1492.689+288.495</f>
        <v>1781.1840000000002</v>
      </c>
      <c r="F153" s="269">
        <f>1501.1-1501.1+298.321+245.318+294.381+294.381-700.037-45</f>
        <v>387.36399999999981</v>
      </c>
      <c r="G153" s="127">
        <f t="shared" ref="G153" si="387">E153+F153</f>
        <v>2168.5479999999998</v>
      </c>
      <c r="H153" s="269">
        <v>2190.38</v>
      </c>
      <c r="I153" s="127">
        <f t="shared" si="259"/>
        <v>-21.832000000000335</v>
      </c>
      <c r="J153" s="38">
        <f t="shared" si="257"/>
        <v>1.010067565947353</v>
      </c>
      <c r="K153" s="360">
        <f>E153+E154</f>
        <v>1817.5240000000001</v>
      </c>
      <c r="L153" s="338">
        <f t="shared" ref="L153" si="388">F153+F154</f>
        <v>387.36399999999981</v>
      </c>
      <c r="M153" s="338">
        <f t="shared" ref="M153" si="389">K153+L153</f>
        <v>2204.8879999999999</v>
      </c>
      <c r="N153" s="338">
        <f t="shared" ref="N153" si="390">H153+H154</f>
        <v>2190.38</v>
      </c>
      <c r="O153" s="338">
        <f t="shared" ref="O153" si="391">M153-N153</f>
        <v>14.507999999999811</v>
      </c>
      <c r="P153" s="369">
        <f t="shared" ref="P153" si="392">N153/M153</f>
        <v>0.99342007394479914</v>
      </c>
    </row>
    <row r="154" spans="2:16" ht="15" customHeight="1">
      <c r="B154" s="395"/>
      <c r="C154" s="373"/>
      <c r="D154" s="29" t="s">
        <v>8</v>
      </c>
      <c r="E154" s="68">
        <f>30.454+5.886</f>
        <v>36.340000000000003</v>
      </c>
      <c r="F154" s="269"/>
      <c r="G154" s="127">
        <f t="shared" ref="G154" si="393">E154+F154+I153</f>
        <v>14.507999999999669</v>
      </c>
      <c r="H154" s="269"/>
      <c r="I154" s="127">
        <f t="shared" si="259"/>
        <v>14.507999999999669</v>
      </c>
      <c r="J154" s="38">
        <f t="shared" si="257"/>
        <v>0</v>
      </c>
      <c r="K154" s="360"/>
      <c r="L154" s="338"/>
      <c r="M154" s="338"/>
      <c r="N154" s="338"/>
      <c r="O154" s="338"/>
      <c r="P154" s="369"/>
    </row>
    <row r="155" spans="2:16" ht="15" customHeight="1">
      <c r="B155" s="395"/>
      <c r="C155" s="373" t="s">
        <v>25</v>
      </c>
      <c r="D155" s="29" t="s">
        <v>7</v>
      </c>
      <c r="E155" s="68">
        <v>1312.5239999999999</v>
      </c>
      <c r="F155" s="269">
        <f>-91.739</f>
        <v>-91.739000000000004</v>
      </c>
      <c r="G155" s="127">
        <f t="shared" ref="G155" si="394">E155+F155</f>
        <v>1220.7849999999999</v>
      </c>
      <c r="H155" s="269">
        <v>1237.5640000000001</v>
      </c>
      <c r="I155" s="127">
        <f t="shared" si="259"/>
        <v>-16.779000000000224</v>
      </c>
      <c r="J155" s="38">
        <f t="shared" si="257"/>
        <v>1.0137444349332603</v>
      </c>
      <c r="K155" s="360">
        <f>E155+E156</f>
        <v>1339.3029999999999</v>
      </c>
      <c r="L155" s="338">
        <f t="shared" ref="L155" si="395">F155+F156</f>
        <v>-91.739000000000004</v>
      </c>
      <c r="M155" s="338">
        <f t="shared" ref="M155" si="396">K155+L155</f>
        <v>1247.5639999999999</v>
      </c>
      <c r="N155" s="338">
        <f t="shared" ref="N155" si="397">H155+H156</f>
        <v>1237.5640000000001</v>
      </c>
      <c r="O155" s="338">
        <f t="shared" ref="O155" si="398">M155-N155</f>
        <v>9.9999999999997726</v>
      </c>
      <c r="P155" s="384">
        <f t="shared" ref="P155" si="399">N155/M155</f>
        <v>0.99198437915810345</v>
      </c>
    </row>
    <row r="156" spans="2:16" ht="15" customHeight="1">
      <c r="B156" s="395"/>
      <c r="C156" s="373"/>
      <c r="D156" s="29" t="s">
        <v>8</v>
      </c>
      <c r="E156" s="68">
        <v>26.779</v>
      </c>
      <c r="F156" s="269"/>
      <c r="G156" s="127">
        <f t="shared" ref="G156" si="400">E156+F156+I155</f>
        <v>9.9999999999997762</v>
      </c>
      <c r="H156" s="269"/>
      <c r="I156" s="127">
        <f t="shared" si="259"/>
        <v>9.9999999999997762</v>
      </c>
      <c r="J156" s="38">
        <f t="shared" si="257"/>
        <v>0</v>
      </c>
      <c r="K156" s="360"/>
      <c r="L156" s="338"/>
      <c r="M156" s="338"/>
      <c r="N156" s="338"/>
      <c r="O156" s="338"/>
      <c r="P156" s="384"/>
    </row>
    <row r="157" spans="2:16" ht="15" customHeight="1">
      <c r="B157" s="395"/>
      <c r="C157" s="373" t="s">
        <v>12</v>
      </c>
      <c r="D157" s="29" t="s">
        <v>7</v>
      </c>
      <c r="E157" s="68">
        <f>6682.519+817.403</f>
        <v>7499.9220000000005</v>
      </c>
      <c r="F157" s="269">
        <f>1245+3000+3000+49.064+98.127+98.127+98.127+98.127+98.127+49.064+98.127+98.127+49.064+49.064-2650</f>
        <v>5478.1450000000041</v>
      </c>
      <c r="G157" s="127">
        <f t="shared" ref="G157" si="401">E157+F157</f>
        <v>12978.067000000005</v>
      </c>
      <c r="H157" s="269">
        <v>12709.847</v>
      </c>
      <c r="I157" s="127">
        <f t="shared" si="259"/>
        <v>268.2200000000048</v>
      </c>
      <c r="J157" s="38">
        <f t="shared" si="257"/>
        <v>0.97933282360154217</v>
      </c>
      <c r="K157" s="360">
        <f t="shared" ref="K157" si="402">E157+E158</f>
        <v>7652.9390000000003</v>
      </c>
      <c r="L157" s="338">
        <f t="shared" ref="L157" si="403">F157+F158</f>
        <v>5478.1450000000041</v>
      </c>
      <c r="M157" s="338">
        <f t="shared" ref="M157" si="404">K157+L157</f>
        <v>13131.084000000004</v>
      </c>
      <c r="N157" s="338">
        <f t="shared" ref="N157" si="405">H157+H158</f>
        <v>12709.847</v>
      </c>
      <c r="O157" s="338">
        <f t="shared" ref="O157" si="406">M157-N157</f>
        <v>421.23700000000463</v>
      </c>
      <c r="P157" s="369">
        <f t="shared" ref="P157" si="407">N157/M157</f>
        <v>0.96792062254723188</v>
      </c>
    </row>
    <row r="158" spans="2:16" ht="15" customHeight="1">
      <c r="B158" s="395"/>
      <c r="C158" s="373"/>
      <c r="D158" s="29" t="s">
        <v>8</v>
      </c>
      <c r="E158" s="68">
        <f>136.34+16.677</f>
        <v>153.017</v>
      </c>
      <c r="F158" s="269"/>
      <c r="G158" s="127">
        <f t="shared" ref="G158" si="408">E158+F158+I157</f>
        <v>421.2370000000048</v>
      </c>
      <c r="H158" s="269"/>
      <c r="I158" s="127">
        <f t="shared" si="259"/>
        <v>421.2370000000048</v>
      </c>
      <c r="J158" s="38">
        <f t="shared" si="257"/>
        <v>0</v>
      </c>
      <c r="K158" s="360"/>
      <c r="L158" s="338"/>
      <c r="M158" s="338"/>
      <c r="N158" s="338"/>
      <c r="O158" s="338"/>
      <c r="P158" s="369"/>
    </row>
    <row r="159" spans="2:16" ht="15" customHeight="1">
      <c r="B159" s="395"/>
      <c r="C159" s="373" t="s">
        <v>36</v>
      </c>
      <c r="D159" s="29" t="s">
        <v>7</v>
      </c>
      <c r="E159" s="68">
        <v>60.295000000000002</v>
      </c>
      <c r="F159" s="269">
        <f>-61.525</f>
        <v>-61.524999999999999</v>
      </c>
      <c r="G159" s="127">
        <f t="shared" ref="G159" si="409">E159+F159</f>
        <v>-1.2299999999999969</v>
      </c>
      <c r="H159" s="269"/>
      <c r="I159" s="127">
        <f t="shared" si="259"/>
        <v>-1.2299999999999969</v>
      </c>
      <c r="J159" s="38">
        <f t="shared" si="257"/>
        <v>0</v>
      </c>
      <c r="K159" s="360">
        <f>E159+E160</f>
        <v>61.524999999999999</v>
      </c>
      <c r="L159" s="338">
        <f t="shared" ref="L159" si="410">F159+F160</f>
        <v>-61.524999999999999</v>
      </c>
      <c r="M159" s="338">
        <f t="shared" ref="M159" si="411">K159+L159</f>
        <v>0</v>
      </c>
      <c r="N159" s="338">
        <f t="shared" ref="N159" si="412">H159+H160</f>
        <v>0</v>
      </c>
      <c r="O159" s="338">
        <f t="shared" ref="O159" si="413">M159-N159</f>
        <v>0</v>
      </c>
      <c r="P159" s="345">
        <v>0</v>
      </c>
    </row>
    <row r="160" spans="2:16" ht="15" customHeight="1">
      <c r="B160" s="395"/>
      <c r="C160" s="373"/>
      <c r="D160" s="29" t="s">
        <v>8</v>
      </c>
      <c r="E160" s="68">
        <v>1.23</v>
      </c>
      <c r="F160" s="269"/>
      <c r="G160" s="127">
        <v>0</v>
      </c>
      <c r="H160" s="269"/>
      <c r="I160" s="127">
        <f t="shared" si="259"/>
        <v>0</v>
      </c>
      <c r="J160" s="38">
        <v>0</v>
      </c>
      <c r="K160" s="360"/>
      <c r="L160" s="338"/>
      <c r="M160" s="338"/>
      <c r="N160" s="338"/>
      <c r="O160" s="338"/>
      <c r="P160" s="345"/>
    </row>
    <row r="161" spans="2:16" ht="15" customHeight="1">
      <c r="B161" s="395"/>
      <c r="C161" s="373" t="s">
        <v>37</v>
      </c>
      <c r="D161" s="29" t="s">
        <v>7</v>
      </c>
      <c r="E161" s="68">
        <v>53.82</v>
      </c>
      <c r="F161" s="269"/>
      <c r="G161" s="127">
        <f t="shared" ref="G161" si="414">E161+F161</f>
        <v>53.82</v>
      </c>
      <c r="H161" s="269"/>
      <c r="I161" s="127">
        <f t="shared" si="259"/>
        <v>53.82</v>
      </c>
      <c r="J161" s="38">
        <f t="shared" si="257"/>
        <v>0</v>
      </c>
      <c r="K161" s="360">
        <f>E161+E162</f>
        <v>54.917999999999999</v>
      </c>
      <c r="L161" s="338">
        <f t="shared" ref="L161" si="415">F161+F162</f>
        <v>0</v>
      </c>
      <c r="M161" s="338">
        <f t="shared" ref="M161" si="416">K161+L161</f>
        <v>54.917999999999999</v>
      </c>
      <c r="N161" s="338">
        <f t="shared" ref="N161" si="417">H161+H162</f>
        <v>0</v>
      </c>
      <c r="O161" s="338">
        <f t="shared" ref="O161" si="418">M161-N161</f>
        <v>54.917999999999999</v>
      </c>
      <c r="P161" s="369">
        <f t="shared" ref="P161" si="419">N161/M161</f>
        <v>0</v>
      </c>
    </row>
    <row r="162" spans="2:16" ht="15" customHeight="1">
      <c r="B162" s="395"/>
      <c r="C162" s="373"/>
      <c r="D162" s="29" t="s">
        <v>8</v>
      </c>
      <c r="E162" s="68">
        <v>1.0980000000000001</v>
      </c>
      <c r="F162" s="269"/>
      <c r="G162" s="127">
        <f t="shared" ref="G162" si="420">E162+F162+I161</f>
        <v>54.917999999999999</v>
      </c>
      <c r="H162" s="269"/>
      <c r="I162" s="127">
        <f t="shared" si="259"/>
        <v>54.917999999999999</v>
      </c>
      <c r="J162" s="38">
        <f t="shared" si="257"/>
        <v>0</v>
      </c>
      <c r="K162" s="360"/>
      <c r="L162" s="338"/>
      <c r="M162" s="338"/>
      <c r="N162" s="338"/>
      <c r="O162" s="338"/>
      <c r="P162" s="369"/>
    </row>
    <row r="163" spans="2:16" ht="15" customHeight="1">
      <c r="B163" s="395"/>
      <c r="C163" s="373" t="s">
        <v>16</v>
      </c>
      <c r="D163" s="29" t="s">
        <v>7</v>
      </c>
      <c r="E163" s="68">
        <v>96.165999999999997</v>
      </c>
      <c r="F163" s="269">
        <f>-49.064-49.064</f>
        <v>-98.128</v>
      </c>
      <c r="G163" s="127">
        <f t="shared" ref="G163" si="421">E163+F163</f>
        <v>-1.9620000000000033</v>
      </c>
      <c r="H163" s="269"/>
      <c r="I163" s="127">
        <f t="shared" si="259"/>
        <v>-1.9620000000000033</v>
      </c>
      <c r="J163" s="38">
        <f t="shared" si="257"/>
        <v>0</v>
      </c>
      <c r="K163" s="360">
        <f>E163+E164</f>
        <v>98.128</v>
      </c>
      <c r="L163" s="338">
        <f t="shared" ref="L163" si="422">F163+F164</f>
        <v>-98.128</v>
      </c>
      <c r="M163" s="338">
        <f t="shared" ref="M163" si="423">K163+L163</f>
        <v>0</v>
      </c>
      <c r="N163" s="338">
        <f t="shared" ref="N163" si="424">H163+H164</f>
        <v>0</v>
      </c>
      <c r="O163" s="338">
        <f t="shared" ref="O163" si="425">M163-N163</f>
        <v>0</v>
      </c>
      <c r="P163" s="345">
        <v>0</v>
      </c>
    </row>
    <row r="164" spans="2:16" ht="15" customHeight="1">
      <c r="B164" s="395"/>
      <c r="C164" s="373"/>
      <c r="D164" s="29" t="s">
        <v>8</v>
      </c>
      <c r="E164" s="68">
        <v>1.962</v>
      </c>
      <c r="F164" s="269"/>
      <c r="G164" s="127">
        <v>0</v>
      </c>
      <c r="H164" s="269"/>
      <c r="I164" s="127">
        <v>0</v>
      </c>
      <c r="J164" s="38">
        <v>0</v>
      </c>
      <c r="K164" s="360"/>
      <c r="L164" s="338"/>
      <c r="M164" s="338"/>
      <c r="N164" s="338"/>
      <c r="O164" s="338"/>
      <c r="P164" s="345"/>
    </row>
    <row r="165" spans="2:16" ht="15" customHeight="1">
      <c r="B165" s="395"/>
      <c r="C165" s="373" t="s">
        <v>15</v>
      </c>
      <c r="D165" s="29" t="s">
        <v>7</v>
      </c>
      <c r="E165" s="68">
        <v>576.99099999999999</v>
      </c>
      <c r="F165" s="269">
        <f>-49.064-98.127-98.127-98.127-98.127-98.127-49.064</f>
        <v>-588.76299999999992</v>
      </c>
      <c r="G165" s="127">
        <f t="shared" ref="G165" si="426">E165+F165</f>
        <v>-11.771999999999935</v>
      </c>
      <c r="H165" s="269"/>
      <c r="I165" s="127">
        <f t="shared" si="259"/>
        <v>-11.771999999999935</v>
      </c>
      <c r="J165" s="38">
        <f t="shared" si="257"/>
        <v>0</v>
      </c>
      <c r="K165" s="360">
        <f>E165+E166</f>
        <v>588.76300000000003</v>
      </c>
      <c r="L165" s="338">
        <f t="shared" ref="L165" si="427">F165+F166</f>
        <v>-588.76299999999992</v>
      </c>
      <c r="M165" s="338">
        <f t="shared" ref="M165" si="428">K165+L165</f>
        <v>0</v>
      </c>
      <c r="N165" s="338">
        <f t="shared" ref="N165" si="429">H165+H166</f>
        <v>0</v>
      </c>
      <c r="O165" s="338">
        <f t="shared" ref="O165" si="430">M165-N165</f>
        <v>0</v>
      </c>
      <c r="P165" s="345">
        <v>0</v>
      </c>
    </row>
    <row r="166" spans="2:16" ht="15" customHeight="1">
      <c r="B166" s="395"/>
      <c r="C166" s="373"/>
      <c r="D166" s="29" t="s">
        <v>8</v>
      </c>
      <c r="E166" s="68">
        <v>11.772</v>
      </c>
      <c r="F166" s="269"/>
      <c r="G166" s="127">
        <v>0</v>
      </c>
      <c r="H166" s="269"/>
      <c r="I166" s="127">
        <v>0</v>
      </c>
      <c r="J166" s="38">
        <v>0</v>
      </c>
      <c r="K166" s="360"/>
      <c r="L166" s="338"/>
      <c r="M166" s="338"/>
      <c r="N166" s="338"/>
      <c r="O166" s="338"/>
      <c r="P166" s="345"/>
    </row>
    <row r="167" spans="2:16" ht="15" customHeight="1">
      <c r="B167" s="395"/>
      <c r="C167" s="373" t="s">
        <v>40</v>
      </c>
      <c r="D167" s="29" t="s">
        <v>7</v>
      </c>
      <c r="E167" s="68">
        <v>288.495</v>
      </c>
      <c r="F167" s="269">
        <f>-98.127-98.127-98.1</f>
        <v>-294.35399999999998</v>
      </c>
      <c r="G167" s="127">
        <f t="shared" ref="G167:G173" si="431">E167+F167</f>
        <v>-5.8589999999999804</v>
      </c>
      <c r="H167" s="269"/>
      <c r="I167" s="127">
        <f t="shared" si="259"/>
        <v>-5.8589999999999804</v>
      </c>
      <c r="J167" s="38">
        <f t="shared" si="257"/>
        <v>0</v>
      </c>
      <c r="K167" s="360">
        <f>E167+E168</f>
        <v>294.38100000000003</v>
      </c>
      <c r="L167" s="338">
        <f t="shared" ref="L167" si="432">F167+F168</f>
        <v>-294.35399999999998</v>
      </c>
      <c r="M167" s="338">
        <f t="shared" ref="M167" si="433">K167+L167</f>
        <v>2.7000000000043656E-2</v>
      </c>
      <c r="N167" s="338">
        <f t="shared" ref="N167" si="434">H167+H168</f>
        <v>0</v>
      </c>
      <c r="O167" s="338">
        <f t="shared" ref="O167" si="435">M167-N167</f>
        <v>2.7000000000043656E-2</v>
      </c>
      <c r="P167" s="369">
        <f>N167/M167</f>
        <v>0</v>
      </c>
    </row>
    <row r="168" spans="2:16" ht="15" customHeight="1">
      <c r="B168" s="395"/>
      <c r="C168" s="373"/>
      <c r="D168" s="29" t="s">
        <v>8</v>
      </c>
      <c r="E168" s="68">
        <v>5.8860000000000001</v>
      </c>
      <c r="F168" s="269"/>
      <c r="G168" s="127">
        <f t="shared" ref="G168" si="436">E168+F168+I167</f>
        <v>2.7000000000019675E-2</v>
      </c>
      <c r="H168" s="269"/>
      <c r="I168" s="127">
        <f t="shared" si="259"/>
        <v>2.7000000000019675E-2</v>
      </c>
      <c r="J168" s="38">
        <f t="shared" si="257"/>
        <v>0</v>
      </c>
      <c r="K168" s="360"/>
      <c r="L168" s="338"/>
      <c r="M168" s="338"/>
      <c r="N168" s="338"/>
      <c r="O168" s="338"/>
      <c r="P168" s="369"/>
    </row>
    <row r="169" spans="2:16" ht="15" customHeight="1">
      <c r="B169" s="395"/>
      <c r="C169" s="373" t="s">
        <v>116</v>
      </c>
      <c r="D169" s="29" t="s">
        <v>7</v>
      </c>
      <c r="E169" s="68">
        <v>769.32</v>
      </c>
      <c r="F169" s="269">
        <f>-196.254-196.254-196.254-196.254</f>
        <v>-785.01599999999996</v>
      </c>
      <c r="G169" s="134">
        <f t="shared" si="431"/>
        <v>-15.695999999999913</v>
      </c>
      <c r="H169" s="269"/>
      <c r="I169" s="134">
        <f t="shared" si="259"/>
        <v>-15.695999999999913</v>
      </c>
      <c r="J169" s="38">
        <f t="shared" si="257"/>
        <v>0</v>
      </c>
      <c r="K169" s="360">
        <f>E169+E170</f>
        <v>785.01600000000008</v>
      </c>
      <c r="L169" s="338">
        <f t="shared" ref="L169" si="437">F169+F170</f>
        <v>-785.01599999999996</v>
      </c>
      <c r="M169" s="338">
        <f t="shared" ref="M169" si="438">K169+L169</f>
        <v>0</v>
      </c>
      <c r="N169" s="338">
        <f t="shared" ref="N169" si="439">H169+H170</f>
        <v>0</v>
      </c>
      <c r="O169" s="338">
        <f t="shared" ref="O169" si="440">M169-N169</f>
        <v>0</v>
      </c>
      <c r="P169" s="344">
        <v>0</v>
      </c>
    </row>
    <row r="170" spans="2:16" ht="15" customHeight="1">
      <c r="B170" s="395"/>
      <c r="C170" s="373"/>
      <c r="D170" s="29" t="s">
        <v>8</v>
      </c>
      <c r="E170" s="68">
        <v>15.696</v>
      </c>
      <c r="F170" s="269"/>
      <c r="G170" s="134">
        <v>0</v>
      </c>
      <c r="H170" s="269"/>
      <c r="I170" s="134">
        <f t="shared" si="259"/>
        <v>0</v>
      </c>
      <c r="J170" s="38">
        <v>0</v>
      </c>
      <c r="K170" s="360"/>
      <c r="L170" s="338"/>
      <c r="M170" s="338"/>
      <c r="N170" s="338"/>
      <c r="O170" s="338"/>
      <c r="P170" s="344"/>
    </row>
    <row r="171" spans="2:16" ht="15" customHeight="1">
      <c r="B171" s="395"/>
      <c r="C171" s="375" t="s">
        <v>255</v>
      </c>
      <c r="D171" s="29" t="s">
        <v>7</v>
      </c>
      <c r="E171" s="68">
        <f>240.413+288.495</f>
        <v>528.90800000000002</v>
      </c>
      <c r="F171" s="269">
        <f>294.381-245.318-294.381-294.381</f>
        <v>-539.69899999999996</v>
      </c>
      <c r="G171" s="134">
        <f t="shared" si="431"/>
        <v>-10.79099999999994</v>
      </c>
      <c r="H171" s="269"/>
      <c r="I171" s="134">
        <f t="shared" si="259"/>
        <v>-10.79099999999994</v>
      </c>
      <c r="J171" s="38">
        <v>0</v>
      </c>
      <c r="K171" s="360">
        <f>E171+E172</f>
        <v>539.69900000000007</v>
      </c>
      <c r="L171" s="338">
        <f>F171+F172</f>
        <v>-539.69899999999996</v>
      </c>
      <c r="M171" s="338">
        <f>K171+L171</f>
        <v>0</v>
      </c>
      <c r="N171" s="338">
        <f>H171+H172</f>
        <v>0</v>
      </c>
      <c r="O171" s="338">
        <f>M171-N171</f>
        <v>0</v>
      </c>
      <c r="P171" s="390">
        <v>0</v>
      </c>
    </row>
    <row r="172" spans="2:16" ht="15" customHeight="1">
      <c r="B172" s="395"/>
      <c r="C172" s="376"/>
      <c r="D172" s="29" t="s">
        <v>8</v>
      </c>
      <c r="E172" s="68">
        <f>4.905+5.886</f>
        <v>10.791</v>
      </c>
      <c r="F172" s="269"/>
      <c r="G172" s="134">
        <v>0</v>
      </c>
      <c r="H172" s="269"/>
      <c r="I172" s="134">
        <f t="shared" si="259"/>
        <v>0</v>
      </c>
      <c r="J172" s="38">
        <v>0</v>
      </c>
      <c r="K172" s="360"/>
      <c r="L172" s="338"/>
      <c r="M172" s="338"/>
      <c r="N172" s="338"/>
      <c r="O172" s="338"/>
      <c r="P172" s="390"/>
    </row>
    <row r="173" spans="2:16" ht="15" customHeight="1">
      <c r="B173" s="395"/>
      <c r="C173" s="375" t="s">
        <v>254</v>
      </c>
      <c r="D173" s="29" t="s">
        <v>7</v>
      </c>
      <c r="E173" s="68">
        <f>288.495</f>
        <v>288.495</v>
      </c>
      <c r="F173" s="269">
        <f>-294.381</f>
        <v>-294.38099999999997</v>
      </c>
      <c r="G173" s="174">
        <f t="shared" si="431"/>
        <v>-5.8859999999999673</v>
      </c>
      <c r="H173" s="269"/>
      <c r="I173" s="174">
        <f t="shared" si="259"/>
        <v>-5.8859999999999673</v>
      </c>
      <c r="J173" s="38">
        <v>0</v>
      </c>
      <c r="K173" s="360">
        <f>E173+E174</f>
        <v>294.38100000000003</v>
      </c>
      <c r="L173" s="338">
        <f>F173+F174</f>
        <v>-294.38099999999997</v>
      </c>
      <c r="M173" s="338">
        <f>K173+L173</f>
        <v>0</v>
      </c>
      <c r="N173" s="338">
        <f>H173+H174</f>
        <v>0</v>
      </c>
      <c r="O173" s="338">
        <f>M173-N173</f>
        <v>0</v>
      </c>
      <c r="P173" s="344">
        <v>0</v>
      </c>
    </row>
    <row r="174" spans="2:16" ht="15" customHeight="1">
      <c r="B174" s="395"/>
      <c r="C174" s="376"/>
      <c r="D174" s="29" t="s">
        <v>8</v>
      </c>
      <c r="E174" s="68">
        <f>5.886</f>
        <v>5.8860000000000001</v>
      </c>
      <c r="F174" s="269"/>
      <c r="G174" s="174">
        <v>0</v>
      </c>
      <c r="H174" s="269"/>
      <c r="I174" s="174">
        <f t="shared" si="259"/>
        <v>0</v>
      </c>
      <c r="J174" s="38">
        <v>0</v>
      </c>
      <c r="K174" s="360"/>
      <c r="L174" s="338"/>
      <c r="M174" s="338"/>
      <c r="N174" s="338"/>
      <c r="O174" s="338"/>
      <c r="P174" s="344"/>
    </row>
    <row r="175" spans="2:16" ht="15.75" customHeight="1">
      <c r="B175" s="395"/>
      <c r="C175" s="373" t="s">
        <v>29</v>
      </c>
      <c r="D175" s="29" t="s">
        <v>7</v>
      </c>
      <c r="E175" s="68">
        <v>576.99</v>
      </c>
      <c r="F175" s="269">
        <f>-196.254-196.254-196.254</f>
        <v>-588.76199999999994</v>
      </c>
      <c r="G175" s="127">
        <f t="shared" ref="G175" si="441">E175+F175</f>
        <v>-11.771999999999935</v>
      </c>
      <c r="H175" s="262"/>
      <c r="I175" s="127">
        <f t="shared" si="259"/>
        <v>-11.771999999999935</v>
      </c>
      <c r="J175" s="38">
        <f t="shared" si="257"/>
        <v>0</v>
      </c>
      <c r="K175" s="360">
        <f>E175+E176</f>
        <v>588.76200000000006</v>
      </c>
      <c r="L175" s="338">
        <f t="shared" ref="L175" si="442">F175+F176</f>
        <v>-588.76199999999994</v>
      </c>
      <c r="M175" s="338">
        <f t="shared" ref="M175" si="443">K175+L175</f>
        <v>0</v>
      </c>
      <c r="N175" s="338">
        <f t="shared" ref="N175" si="444">H175+H176</f>
        <v>0</v>
      </c>
      <c r="O175" s="338">
        <f t="shared" ref="O175" si="445">M175-N175</f>
        <v>0</v>
      </c>
      <c r="P175" s="344">
        <v>0</v>
      </c>
    </row>
    <row r="176" spans="2:16" ht="15.75" customHeight="1" thickBot="1">
      <c r="B176" s="396"/>
      <c r="C176" s="374"/>
      <c r="D176" s="30" t="s">
        <v>8</v>
      </c>
      <c r="E176" s="69">
        <v>11.772</v>
      </c>
      <c r="F176" s="231"/>
      <c r="G176" s="14">
        <v>0</v>
      </c>
      <c r="H176" s="244"/>
      <c r="I176" s="14">
        <f t="shared" si="259"/>
        <v>0</v>
      </c>
      <c r="J176" s="36">
        <v>0</v>
      </c>
      <c r="K176" s="361"/>
      <c r="L176" s="362"/>
      <c r="M176" s="362"/>
      <c r="N176" s="362"/>
      <c r="O176" s="362"/>
      <c r="P176" s="364"/>
    </row>
    <row r="177" spans="6:6">
      <c r="F177" s="52">
        <f>SUM(F5:F176)</f>
        <v>12588.159000000003</v>
      </c>
    </row>
  </sheetData>
  <mergeCells count="607">
    <mergeCell ref="B133:B176"/>
    <mergeCell ref="O123:O124"/>
    <mergeCell ref="O125:O126"/>
    <mergeCell ref="P105:P106"/>
    <mergeCell ref="P107:P108"/>
    <mergeCell ref="P109:P110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O105:O106"/>
    <mergeCell ref="O107:O108"/>
    <mergeCell ref="O109:O110"/>
    <mergeCell ref="O111:O112"/>
    <mergeCell ref="O113:O114"/>
    <mergeCell ref="O115:O116"/>
    <mergeCell ref="O117:O118"/>
    <mergeCell ref="O119:O120"/>
    <mergeCell ref="O121:O122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B2:P2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M105:M106"/>
    <mergeCell ref="M107:M108"/>
    <mergeCell ref="M109:M110"/>
    <mergeCell ref="M111:M112"/>
    <mergeCell ref="M113:M114"/>
    <mergeCell ref="M115:M116"/>
    <mergeCell ref="M117:M118"/>
    <mergeCell ref="K25:K26"/>
    <mergeCell ref="L25:L26"/>
    <mergeCell ref="M25:M26"/>
    <mergeCell ref="K29:K30"/>
    <mergeCell ref="L29:L30"/>
    <mergeCell ref="M29:M30"/>
    <mergeCell ref="K33:K34"/>
    <mergeCell ref="L33:L34"/>
    <mergeCell ref="M33:M34"/>
    <mergeCell ref="K35:K36"/>
    <mergeCell ref="L35:L36"/>
    <mergeCell ref="M35:M36"/>
    <mergeCell ref="N25:N26"/>
    <mergeCell ref="O25:O26"/>
    <mergeCell ref="P25:P26"/>
    <mergeCell ref="P169:P170"/>
    <mergeCell ref="P165:P166"/>
    <mergeCell ref="K167:K168"/>
    <mergeCell ref="L167:L168"/>
    <mergeCell ref="M167:M168"/>
    <mergeCell ref="N167:N168"/>
    <mergeCell ref="O167:O168"/>
    <mergeCell ref="P167:P168"/>
    <mergeCell ref="K165:K166"/>
    <mergeCell ref="L165:L166"/>
    <mergeCell ref="M165:M166"/>
    <mergeCell ref="N165:N166"/>
    <mergeCell ref="O165:O166"/>
    <mergeCell ref="P161:P162"/>
    <mergeCell ref="K163:K164"/>
    <mergeCell ref="L163:L164"/>
    <mergeCell ref="M163:M164"/>
    <mergeCell ref="N163:N164"/>
    <mergeCell ref="O163:O164"/>
    <mergeCell ref="P163:P164"/>
    <mergeCell ref="K161:K162"/>
    <mergeCell ref="K175:K176"/>
    <mergeCell ref="L175:L176"/>
    <mergeCell ref="M175:M176"/>
    <mergeCell ref="N175:N176"/>
    <mergeCell ref="O175:O176"/>
    <mergeCell ref="P175:P176"/>
    <mergeCell ref="K169:K170"/>
    <mergeCell ref="L169:L170"/>
    <mergeCell ref="M169:M170"/>
    <mergeCell ref="N169:N170"/>
    <mergeCell ref="O169:O170"/>
    <mergeCell ref="K171:K172"/>
    <mergeCell ref="L171:L172"/>
    <mergeCell ref="M171:M172"/>
    <mergeCell ref="N171:N172"/>
    <mergeCell ref="O171:O172"/>
    <mergeCell ref="P171:P172"/>
    <mergeCell ref="K173:K174"/>
    <mergeCell ref="L173:L174"/>
    <mergeCell ref="M173:M174"/>
    <mergeCell ref="N173:N174"/>
    <mergeCell ref="O173:O174"/>
    <mergeCell ref="P173:P174"/>
    <mergeCell ref="L161:L162"/>
    <mergeCell ref="M161:M162"/>
    <mergeCell ref="N161:N162"/>
    <mergeCell ref="O161:O162"/>
    <mergeCell ref="P157:P158"/>
    <mergeCell ref="K159:K160"/>
    <mergeCell ref="L159:L160"/>
    <mergeCell ref="M159:M160"/>
    <mergeCell ref="N159:N160"/>
    <mergeCell ref="O159:O160"/>
    <mergeCell ref="P159:P160"/>
    <mergeCell ref="K157:K158"/>
    <mergeCell ref="L157:L158"/>
    <mergeCell ref="M157:M158"/>
    <mergeCell ref="N157:N158"/>
    <mergeCell ref="O157:O158"/>
    <mergeCell ref="P153:P154"/>
    <mergeCell ref="K155:K156"/>
    <mergeCell ref="L155:L156"/>
    <mergeCell ref="M155:M156"/>
    <mergeCell ref="N155:N156"/>
    <mergeCell ref="O155:O156"/>
    <mergeCell ref="P155:P156"/>
    <mergeCell ref="K153:K154"/>
    <mergeCell ref="L153:L154"/>
    <mergeCell ref="M153:M154"/>
    <mergeCell ref="N153:N154"/>
    <mergeCell ref="O153:O154"/>
    <mergeCell ref="P149:P150"/>
    <mergeCell ref="K151:K152"/>
    <mergeCell ref="L151:L152"/>
    <mergeCell ref="M151:M152"/>
    <mergeCell ref="N151:N152"/>
    <mergeCell ref="O151:O152"/>
    <mergeCell ref="P151:P152"/>
    <mergeCell ref="K149:K150"/>
    <mergeCell ref="L149:L150"/>
    <mergeCell ref="M149:M150"/>
    <mergeCell ref="N149:N150"/>
    <mergeCell ref="O149:O150"/>
    <mergeCell ref="P145:P146"/>
    <mergeCell ref="K147:K148"/>
    <mergeCell ref="L147:L148"/>
    <mergeCell ref="M147:M148"/>
    <mergeCell ref="N147:N148"/>
    <mergeCell ref="O147:O148"/>
    <mergeCell ref="P147:P148"/>
    <mergeCell ref="K145:K146"/>
    <mergeCell ref="L145:L146"/>
    <mergeCell ref="M145:M146"/>
    <mergeCell ref="N145:N146"/>
    <mergeCell ref="O145:O146"/>
    <mergeCell ref="P141:P142"/>
    <mergeCell ref="K143:K144"/>
    <mergeCell ref="L143:L144"/>
    <mergeCell ref="M143:M144"/>
    <mergeCell ref="N143:N144"/>
    <mergeCell ref="O143:O144"/>
    <mergeCell ref="P143:P144"/>
    <mergeCell ref="K141:K142"/>
    <mergeCell ref="L141:L142"/>
    <mergeCell ref="M141:M142"/>
    <mergeCell ref="N141:N142"/>
    <mergeCell ref="O141:O142"/>
    <mergeCell ref="P137:P138"/>
    <mergeCell ref="K139:K140"/>
    <mergeCell ref="L139:L140"/>
    <mergeCell ref="M139:M140"/>
    <mergeCell ref="N139:N140"/>
    <mergeCell ref="O139:O140"/>
    <mergeCell ref="P139:P140"/>
    <mergeCell ref="K137:K138"/>
    <mergeCell ref="L137:L138"/>
    <mergeCell ref="M137:M138"/>
    <mergeCell ref="N137:N138"/>
    <mergeCell ref="O137:O138"/>
    <mergeCell ref="P133:P134"/>
    <mergeCell ref="K135:K136"/>
    <mergeCell ref="L135:L136"/>
    <mergeCell ref="M135:M136"/>
    <mergeCell ref="N135:N136"/>
    <mergeCell ref="O135:O136"/>
    <mergeCell ref="P135:P136"/>
    <mergeCell ref="K133:K134"/>
    <mergeCell ref="L133:L134"/>
    <mergeCell ref="M133:M134"/>
    <mergeCell ref="N133:N134"/>
    <mergeCell ref="O133:O134"/>
    <mergeCell ref="P103:P104"/>
    <mergeCell ref="K127:K128"/>
    <mergeCell ref="L127:L128"/>
    <mergeCell ref="M127:M128"/>
    <mergeCell ref="N127:N128"/>
    <mergeCell ref="O127:O128"/>
    <mergeCell ref="P127:P128"/>
    <mergeCell ref="K103:K104"/>
    <mergeCell ref="L103:L104"/>
    <mergeCell ref="M103:M104"/>
    <mergeCell ref="N103:N104"/>
    <mergeCell ref="O103:O104"/>
    <mergeCell ref="K121:K122"/>
    <mergeCell ref="K123:K124"/>
    <mergeCell ref="K125:K126"/>
    <mergeCell ref="L121:L122"/>
    <mergeCell ref="L123:L124"/>
    <mergeCell ref="L125:L126"/>
    <mergeCell ref="M119:M120"/>
    <mergeCell ref="M121:M122"/>
    <mergeCell ref="M123:M124"/>
    <mergeCell ref="M125:M126"/>
    <mergeCell ref="N105:N106"/>
    <mergeCell ref="N107:N108"/>
    <mergeCell ref="P99:P100"/>
    <mergeCell ref="K101:K102"/>
    <mergeCell ref="L101:L102"/>
    <mergeCell ref="M101:M102"/>
    <mergeCell ref="N101:N102"/>
    <mergeCell ref="O101:O102"/>
    <mergeCell ref="P101:P102"/>
    <mergeCell ref="K99:K100"/>
    <mergeCell ref="L99:L100"/>
    <mergeCell ref="M99:M100"/>
    <mergeCell ref="N99:N100"/>
    <mergeCell ref="O99:O100"/>
    <mergeCell ref="P95:P96"/>
    <mergeCell ref="K97:K98"/>
    <mergeCell ref="L97:L98"/>
    <mergeCell ref="M97:M98"/>
    <mergeCell ref="N97:N98"/>
    <mergeCell ref="O97:O98"/>
    <mergeCell ref="P97:P98"/>
    <mergeCell ref="K95:K96"/>
    <mergeCell ref="L95:L96"/>
    <mergeCell ref="M95:M96"/>
    <mergeCell ref="N95:N96"/>
    <mergeCell ref="O95:O96"/>
    <mergeCell ref="P91:P92"/>
    <mergeCell ref="K93:K94"/>
    <mergeCell ref="L93:L94"/>
    <mergeCell ref="M93:M94"/>
    <mergeCell ref="N93:N94"/>
    <mergeCell ref="O93:O94"/>
    <mergeCell ref="P93:P94"/>
    <mergeCell ref="K91:K92"/>
    <mergeCell ref="L91:L92"/>
    <mergeCell ref="M91:M92"/>
    <mergeCell ref="N91:N92"/>
    <mergeCell ref="O91:O92"/>
    <mergeCell ref="P87:P88"/>
    <mergeCell ref="K89:K90"/>
    <mergeCell ref="L89:L90"/>
    <mergeCell ref="M89:M90"/>
    <mergeCell ref="N89:N90"/>
    <mergeCell ref="O89:O90"/>
    <mergeCell ref="P89:P90"/>
    <mergeCell ref="K87:K88"/>
    <mergeCell ref="L87:L88"/>
    <mergeCell ref="M87:M88"/>
    <mergeCell ref="N87:N88"/>
    <mergeCell ref="O87:O88"/>
    <mergeCell ref="P83:P84"/>
    <mergeCell ref="K85:K86"/>
    <mergeCell ref="L85:L86"/>
    <mergeCell ref="M85:M86"/>
    <mergeCell ref="N85:N86"/>
    <mergeCell ref="O85:O86"/>
    <mergeCell ref="P85:P86"/>
    <mergeCell ref="K83:K84"/>
    <mergeCell ref="L83:L84"/>
    <mergeCell ref="M83:M84"/>
    <mergeCell ref="N83:N84"/>
    <mergeCell ref="O83:O84"/>
    <mergeCell ref="P79:P80"/>
    <mergeCell ref="K81:K82"/>
    <mergeCell ref="L81:L82"/>
    <mergeCell ref="M81:M82"/>
    <mergeCell ref="N81:N82"/>
    <mergeCell ref="O81:O82"/>
    <mergeCell ref="P81:P82"/>
    <mergeCell ref="K79:K80"/>
    <mergeCell ref="L79:L80"/>
    <mergeCell ref="M79:M80"/>
    <mergeCell ref="N79:N80"/>
    <mergeCell ref="O79:O80"/>
    <mergeCell ref="P75:P76"/>
    <mergeCell ref="K77:K78"/>
    <mergeCell ref="L77:L78"/>
    <mergeCell ref="M77:M78"/>
    <mergeCell ref="N77:N78"/>
    <mergeCell ref="O77:O78"/>
    <mergeCell ref="P77:P78"/>
    <mergeCell ref="K75:K76"/>
    <mergeCell ref="L75:L76"/>
    <mergeCell ref="M75:M76"/>
    <mergeCell ref="N75:N76"/>
    <mergeCell ref="O75:O76"/>
    <mergeCell ref="P67:P68"/>
    <mergeCell ref="K69:K70"/>
    <mergeCell ref="L69:L70"/>
    <mergeCell ref="M69:M70"/>
    <mergeCell ref="N69:N70"/>
    <mergeCell ref="O69:O70"/>
    <mergeCell ref="P69:P70"/>
    <mergeCell ref="K67:K68"/>
    <mergeCell ref="L67:L68"/>
    <mergeCell ref="M67:M68"/>
    <mergeCell ref="N67:N68"/>
    <mergeCell ref="O67:O68"/>
    <mergeCell ref="P63:P64"/>
    <mergeCell ref="K65:K66"/>
    <mergeCell ref="L65:L66"/>
    <mergeCell ref="M65:M66"/>
    <mergeCell ref="N65:N66"/>
    <mergeCell ref="O65:O66"/>
    <mergeCell ref="P65:P66"/>
    <mergeCell ref="K63:K64"/>
    <mergeCell ref="L63:L64"/>
    <mergeCell ref="M63:M64"/>
    <mergeCell ref="N63:N64"/>
    <mergeCell ref="O63:O64"/>
    <mergeCell ref="P59:P60"/>
    <mergeCell ref="K61:K62"/>
    <mergeCell ref="L61:L62"/>
    <mergeCell ref="M61:M62"/>
    <mergeCell ref="N61:N62"/>
    <mergeCell ref="O61:O62"/>
    <mergeCell ref="P61:P62"/>
    <mergeCell ref="K59:K60"/>
    <mergeCell ref="L59:L60"/>
    <mergeCell ref="M59:M60"/>
    <mergeCell ref="N59:N60"/>
    <mergeCell ref="O59:O60"/>
    <mergeCell ref="P55:P56"/>
    <mergeCell ref="K57:K58"/>
    <mergeCell ref="L57:L58"/>
    <mergeCell ref="M57:M58"/>
    <mergeCell ref="N57:N58"/>
    <mergeCell ref="O57:O58"/>
    <mergeCell ref="P57:P58"/>
    <mergeCell ref="K55:K56"/>
    <mergeCell ref="L55:L56"/>
    <mergeCell ref="M55:M56"/>
    <mergeCell ref="N55:N56"/>
    <mergeCell ref="O55:O56"/>
    <mergeCell ref="P51:P52"/>
    <mergeCell ref="K53:K54"/>
    <mergeCell ref="L53:L54"/>
    <mergeCell ref="M53:M54"/>
    <mergeCell ref="N53:N54"/>
    <mergeCell ref="O53:O54"/>
    <mergeCell ref="P53:P54"/>
    <mergeCell ref="K51:K52"/>
    <mergeCell ref="L51:L52"/>
    <mergeCell ref="M51:M52"/>
    <mergeCell ref="N51:N52"/>
    <mergeCell ref="O51:O52"/>
    <mergeCell ref="P47:P48"/>
    <mergeCell ref="K49:K50"/>
    <mergeCell ref="L49:L50"/>
    <mergeCell ref="M49:M50"/>
    <mergeCell ref="N49:N50"/>
    <mergeCell ref="O49:O50"/>
    <mergeCell ref="P49:P50"/>
    <mergeCell ref="K47:K48"/>
    <mergeCell ref="L47:L48"/>
    <mergeCell ref="M47:M48"/>
    <mergeCell ref="N47:N48"/>
    <mergeCell ref="O47:O48"/>
    <mergeCell ref="P43:P44"/>
    <mergeCell ref="K45:K46"/>
    <mergeCell ref="L45:L46"/>
    <mergeCell ref="M45:M46"/>
    <mergeCell ref="N45:N46"/>
    <mergeCell ref="O45:O46"/>
    <mergeCell ref="P45:P46"/>
    <mergeCell ref="K43:K44"/>
    <mergeCell ref="L43:L44"/>
    <mergeCell ref="M43:M44"/>
    <mergeCell ref="N43:N44"/>
    <mergeCell ref="O43:O44"/>
    <mergeCell ref="P39:P40"/>
    <mergeCell ref="K41:K42"/>
    <mergeCell ref="L41:L42"/>
    <mergeCell ref="M41:M42"/>
    <mergeCell ref="N41:N42"/>
    <mergeCell ref="O41:O42"/>
    <mergeCell ref="P41:P42"/>
    <mergeCell ref="K39:K40"/>
    <mergeCell ref="L39:L40"/>
    <mergeCell ref="M39:M40"/>
    <mergeCell ref="N39:N40"/>
    <mergeCell ref="O39:O40"/>
    <mergeCell ref="P21:P22"/>
    <mergeCell ref="K23:K24"/>
    <mergeCell ref="L23:L24"/>
    <mergeCell ref="M23:M24"/>
    <mergeCell ref="N23:N24"/>
    <mergeCell ref="O23:O24"/>
    <mergeCell ref="P23:P24"/>
    <mergeCell ref="K21:K22"/>
    <mergeCell ref="L21:L22"/>
    <mergeCell ref="M21:M22"/>
    <mergeCell ref="N21:N22"/>
    <mergeCell ref="O21:O22"/>
    <mergeCell ref="N13:N14"/>
    <mergeCell ref="O13:O14"/>
    <mergeCell ref="P17:P18"/>
    <mergeCell ref="K19:K20"/>
    <mergeCell ref="L19:L20"/>
    <mergeCell ref="M19:M20"/>
    <mergeCell ref="N19:N20"/>
    <mergeCell ref="O19:O20"/>
    <mergeCell ref="P19:P20"/>
    <mergeCell ref="K17:K18"/>
    <mergeCell ref="L17:L18"/>
    <mergeCell ref="M17:M18"/>
    <mergeCell ref="N17:N18"/>
    <mergeCell ref="O17:O18"/>
    <mergeCell ref="C165:C166"/>
    <mergeCell ref="C167:C168"/>
    <mergeCell ref="C169:C170"/>
    <mergeCell ref="C175:C176"/>
    <mergeCell ref="C155:C156"/>
    <mergeCell ref="C157:C158"/>
    <mergeCell ref="C159:C160"/>
    <mergeCell ref="C161:C162"/>
    <mergeCell ref="C163:C164"/>
    <mergeCell ref="C171:C172"/>
    <mergeCell ref="C173:C174"/>
    <mergeCell ref="C145:C146"/>
    <mergeCell ref="C147:C148"/>
    <mergeCell ref="C149:C150"/>
    <mergeCell ref="C151:C152"/>
    <mergeCell ref="C153:C154"/>
    <mergeCell ref="C135:C136"/>
    <mergeCell ref="C137:C138"/>
    <mergeCell ref="C139:C140"/>
    <mergeCell ref="C141:C142"/>
    <mergeCell ref="C143:C144"/>
    <mergeCell ref="C133:C134"/>
    <mergeCell ref="C127:C128"/>
    <mergeCell ref="C19:C20"/>
    <mergeCell ref="C21:C22"/>
    <mergeCell ref="C23:C24"/>
    <mergeCell ref="C41:C42"/>
    <mergeCell ref="C43:C44"/>
    <mergeCell ref="C87:C88"/>
    <mergeCell ref="C89:C90"/>
    <mergeCell ref="C25:C26"/>
    <mergeCell ref="C91:C92"/>
    <mergeCell ref="C105:C106"/>
    <mergeCell ref="C125:C126"/>
    <mergeCell ref="C69:C70"/>
    <mergeCell ref="C55:C56"/>
    <mergeCell ref="C57:C58"/>
    <mergeCell ref="C59:C60"/>
    <mergeCell ref="C61:C62"/>
    <mergeCell ref="C63:C64"/>
    <mergeCell ref="C65:C66"/>
    <mergeCell ref="C117:C118"/>
    <mergeCell ref="C123:C124"/>
    <mergeCell ref="C119:C120"/>
    <mergeCell ref="C121:C122"/>
    <mergeCell ref="C11:C12"/>
    <mergeCell ref="C13:C14"/>
    <mergeCell ref="C15:C16"/>
    <mergeCell ref="C67:C68"/>
    <mergeCell ref="C39:C40"/>
    <mergeCell ref="C53:C54"/>
    <mergeCell ref="C17:C18"/>
    <mergeCell ref="C45:C46"/>
    <mergeCell ref="C47:C48"/>
    <mergeCell ref="C49:C50"/>
    <mergeCell ref="C51:C52"/>
    <mergeCell ref="C29:C30"/>
    <mergeCell ref="C33:C34"/>
    <mergeCell ref="C35:C36"/>
    <mergeCell ref="C5:C6"/>
    <mergeCell ref="C7:C8"/>
    <mergeCell ref="C9:C10"/>
    <mergeCell ref="C81:C82"/>
    <mergeCell ref="C83:C84"/>
    <mergeCell ref="C85:C86"/>
    <mergeCell ref="C107:C108"/>
    <mergeCell ref="P5:P6"/>
    <mergeCell ref="K7:K8"/>
    <mergeCell ref="L7:L8"/>
    <mergeCell ref="M7:M8"/>
    <mergeCell ref="N7:N8"/>
    <mergeCell ref="O7:O8"/>
    <mergeCell ref="P7:P8"/>
    <mergeCell ref="K5:K6"/>
    <mergeCell ref="L5:L6"/>
    <mergeCell ref="M5:M6"/>
    <mergeCell ref="N5:N6"/>
    <mergeCell ref="O5:O6"/>
    <mergeCell ref="P9:P10"/>
    <mergeCell ref="K11:K12"/>
    <mergeCell ref="L11:L12"/>
    <mergeCell ref="M11:M12"/>
    <mergeCell ref="N11:N12"/>
    <mergeCell ref="O11:O12"/>
    <mergeCell ref="P11:P12"/>
    <mergeCell ref="K9:K10"/>
    <mergeCell ref="L9:L10"/>
    <mergeCell ref="M9:M10"/>
    <mergeCell ref="N9:N10"/>
    <mergeCell ref="O9:O10"/>
    <mergeCell ref="P13:P14"/>
    <mergeCell ref="C27:C28"/>
    <mergeCell ref="K27:K28"/>
    <mergeCell ref="L27:L28"/>
    <mergeCell ref="M27:M28"/>
    <mergeCell ref="N27:N28"/>
    <mergeCell ref="O27:O28"/>
    <mergeCell ref="P27:P28"/>
    <mergeCell ref="K15:K16"/>
    <mergeCell ref="L15:L16"/>
    <mergeCell ref="M15:M16"/>
    <mergeCell ref="N15:N16"/>
    <mergeCell ref="O15:O16"/>
    <mergeCell ref="P15:P16"/>
    <mergeCell ref="K13:K14"/>
    <mergeCell ref="L13:L14"/>
    <mergeCell ref="M13:M14"/>
    <mergeCell ref="N29:N30"/>
    <mergeCell ref="O29:O30"/>
    <mergeCell ref="P29:P30"/>
    <mergeCell ref="C37:C38"/>
    <mergeCell ref="C31:C32"/>
    <mergeCell ref="K31:K32"/>
    <mergeCell ref="K37:K38"/>
    <mergeCell ref="L31:L32"/>
    <mergeCell ref="L37:L38"/>
    <mergeCell ref="M31:M32"/>
    <mergeCell ref="M37:M38"/>
    <mergeCell ref="N31:N32"/>
    <mergeCell ref="N37:N38"/>
    <mergeCell ref="N33:N34"/>
    <mergeCell ref="O33:O34"/>
    <mergeCell ref="P33:P34"/>
    <mergeCell ref="N35:N36"/>
    <mergeCell ref="O35:O36"/>
    <mergeCell ref="P35:P36"/>
    <mergeCell ref="P129:P130"/>
    <mergeCell ref="P131:P132"/>
    <mergeCell ref="C129:C130"/>
    <mergeCell ref="C131:C132"/>
    <mergeCell ref="O31:O32"/>
    <mergeCell ref="O37:O38"/>
    <mergeCell ref="P31:P32"/>
    <mergeCell ref="P37:P38"/>
    <mergeCell ref="B5:B38"/>
    <mergeCell ref="C73:C74"/>
    <mergeCell ref="B39:B74"/>
    <mergeCell ref="C71:C72"/>
    <mergeCell ref="K71:K72"/>
    <mergeCell ref="K73:K74"/>
    <mergeCell ref="L71:L72"/>
    <mergeCell ref="L73:L74"/>
    <mergeCell ref="M71:M72"/>
    <mergeCell ref="M73:M74"/>
    <mergeCell ref="N71:N72"/>
    <mergeCell ref="N73:N74"/>
    <mergeCell ref="O71:O72"/>
    <mergeCell ref="O73:O74"/>
    <mergeCell ref="P71:P72"/>
    <mergeCell ref="P73:P74"/>
    <mergeCell ref="B75:B132"/>
    <mergeCell ref="L129:L130"/>
    <mergeCell ref="L131:L132"/>
    <mergeCell ref="M129:M130"/>
    <mergeCell ref="M131:M132"/>
    <mergeCell ref="N129:N130"/>
    <mergeCell ref="N131:N132"/>
    <mergeCell ref="O129:O130"/>
    <mergeCell ref="O131:O132"/>
    <mergeCell ref="K129:K130"/>
    <mergeCell ref="K131:K132"/>
    <mergeCell ref="C75:C76"/>
    <mergeCell ref="C111:C112"/>
    <mergeCell ref="C113:C114"/>
    <mergeCell ref="C115:C116"/>
    <mergeCell ref="C103:C104"/>
    <mergeCell ref="C77:C78"/>
    <mergeCell ref="C79:C80"/>
    <mergeCell ref="C101:C102"/>
    <mergeCell ref="C93:C94"/>
    <mergeCell ref="C95:C96"/>
    <mergeCell ref="C97:C98"/>
    <mergeCell ref="C99:C100"/>
    <mergeCell ref="C109:C110"/>
  </mergeCells>
  <conditionalFormatting sqref="R169">
    <cfRule type="colorScale" priority="6">
      <colorScale>
        <cfvo type="min"/>
        <cfvo type="max"/>
        <color rgb="FFFF3300"/>
        <color rgb="FFFFEF9C"/>
      </colorScale>
    </cfRule>
  </conditionalFormatting>
  <conditionalFormatting sqref="P75:P76">
    <cfRule type="cellIs" dxfId="1" priority="3" operator="greaterThan">
      <formula>90</formula>
    </cfRule>
  </conditionalFormatting>
  <conditionalFormatting sqref="P5:P35 P37:P176">
    <cfRule type="cellIs" dxfId="0" priority="18" operator="greaterThan">
      <formula>0.9</formula>
    </cfRule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{A9AA56DB-3989-4D7E-BF87-962E21A1B3AD}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123 G125 G107 G175 G135:G145 G127 G6:G13 M6 M5 M37:M38 G40:G47 G49:G65 M39:M74 G97:G99 G101:G105 G77:G83 G109 G85:G95 G147:G159 G113:G117 G161:G163 G165 G167:G168 G37:G38 G111 G15:G32 M8:M32 G67:G73 G119:G121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AA56DB-3989-4D7E-BF87-962E21A1B3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P5:P35 P37:P176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266"/>
  <sheetViews>
    <sheetView showGridLines="0" zoomScale="90" zoomScaleNormal="90" workbookViewId="0">
      <selection activeCell="D6" sqref="D6:D8"/>
    </sheetView>
  </sheetViews>
  <sheetFormatPr baseColWidth="10" defaultColWidth="11.42578125" defaultRowHeight="15"/>
  <cols>
    <col min="1" max="1" width="52.42578125" style="45" customWidth="1"/>
    <col min="2" max="2" width="11.42578125" style="45"/>
    <col min="3" max="3" width="15.28515625" style="45" bestFit="1" customWidth="1"/>
    <col min="4" max="4" width="28.5703125" style="45" bestFit="1" customWidth="1"/>
    <col min="5" max="5" width="11.42578125" style="45"/>
    <col min="6" max="6" width="15" style="45" bestFit="1" customWidth="1"/>
    <col min="7" max="7" width="15.7109375" style="94" customWidth="1"/>
    <col min="8" max="8" width="15" style="45" customWidth="1"/>
    <col min="9" max="9" width="11" style="45" customWidth="1"/>
    <col min="10" max="16384" width="11.42578125" style="45"/>
  </cols>
  <sheetData>
    <row r="1" spans="1:9" ht="15.75" thickBot="1">
      <c r="B1" s="82"/>
      <c r="C1" s="82"/>
      <c r="D1" s="82"/>
      <c r="E1" s="82"/>
      <c r="F1" s="82"/>
      <c r="G1" s="93"/>
      <c r="H1" s="82"/>
      <c r="I1" s="82"/>
    </row>
    <row r="2" spans="1:9" ht="15.75">
      <c r="B2" s="449" t="s">
        <v>126</v>
      </c>
      <c r="C2" s="450"/>
      <c r="D2" s="450"/>
      <c r="E2" s="450"/>
      <c r="F2" s="450"/>
      <c r="G2" s="450"/>
      <c r="H2" s="450"/>
      <c r="I2" s="451"/>
    </row>
    <row r="3" spans="1:9" ht="15.75" thickBot="1">
      <c r="B3" s="452">
        <v>43465</v>
      </c>
      <c r="C3" s="453"/>
      <c r="D3" s="453"/>
      <c r="E3" s="453"/>
      <c r="F3" s="453"/>
      <c r="G3" s="453"/>
      <c r="H3" s="453"/>
      <c r="I3" s="454"/>
    </row>
    <row r="4" spans="1:9" ht="15.75" thickBot="1">
      <c r="A4" s="83"/>
      <c r="B4" s="84"/>
      <c r="C4" s="84"/>
      <c r="D4" s="84"/>
      <c r="E4" s="84"/>
      <c r="F4" s="84"/>
      <c r="G4" s="84"/>
      <c r="H4" s="84"/>
      <c r="I4" s="84"/>
    </row>
    <row r="5" spans="1:9" ht="45.75" thickBot="1">
      <c r="B5" s="76" t="s">
        <v>117</v>
      </c>
      <c r="C5" s="77" t="s">
        <v>118</v>
      </c>
      <c r="D5" s="78" t="s">
        <v>129</v>
      </c>
      <c r="E5" s="77" t="s">
        <v>119</v>
      </c>
      <c r="F5" s="79" t="s">
        <v>120</v>
      </c>
      <c r="G5" s="78" t="s">
        <v>268</v>
      </c>
      <c r="H5" s="80" t="s">
        <v>121</v>
      </c>
      <c r="I5" s="81" t="s">
        <v>199</v>
      </c>
    </row>
    <row r="6" spans="1:9">
      <c r="B6" s="433" t="s">
        <v>122</v>
      </c>
      <c r="C6" s="445" t="s">
        <v>127</v>
      </c>
      <c r="D6" s="439" t="s">
        <v>128</v>
      </c>
      <c r="E6" s="412">
        <v>1500</v>
      </c>
      <c r="F6" s="4" t="s">
        <v>124</v>
      </c>
      <c r="G6" s="177">
        <v>690.88300000000004</v>
      </c>
      <c r="H6" s="410">
        <f>E6-G9</f>
        <v>0</v>
      </c>
      <c r="I6" s="455">
        <f>G9/E6</f>
        <v>1</v>
      </c>
    </row>
    <row r="7" spans="1:9">
      <c r="B7" s="434"/>
      <c r="C7" s="446"/>
      <c r="D7" s="440"/>
      <c r="E7" s="448"/>
      <c r="F7" s="5" t="s">
        <v>123</v>
      </c>
      <c r="G7" s="178">
        <v>809.11699999999996</v>
      </c>
      <c r="H7" s="423"/>
      <c r="I7" s="456"/>
    </row>
    <row r="8" spans="1:9" ht="15.75" thickBot="1">
      <c r="B8" s="435"/>
      <c r="C8" s="447"/>
      <c r="D8" s="441"/>
      <c r="E8" s="413"/>
      <c r="F8" s="6" t="s">
        <v>125</v>
      </c>
      <c r="G8" s="179"/>
      <c r="H8" s="411"/>
      <c r="I8" s="457"/>
    </row>
    <row r="9" spans="1:9" ht="15.75" thickBot="1">
      <c r="G9" s="7">
        <f>SUM(G6:G8)</f>
        <v>1500</v>
      </c>
    </row>
    <row r="10" spans="1:9">
      <c r="G10" s="123"/>
    </row>
    <row r="11" spans="1:9" ht="15.75" thickBot="1">
      <c r="G11" s="123"/>
    </row>
    <row r="12" spans="1:9" ht="45.75" thickBot="1">
      <c r="B12" s="76" t="s">
        <v>117</v>
      </c>
      <c r="C12" s="77" t="s">
        <v>118</v>
      </c>
      <c r="D12" s="78" t="s">
        <v>129</v>
      </c>
      <c r="E12" s="77" t="s">
        <v>119</v>
      </c>
      <c r="F12" s="79" t="s">
        <v>120</v>
      </c>
      <c r="G12" s="78" t="s">
        <v>268</v>
      </c>
      <c r="H12" s="80" t="s">
        <v>121</v>
      </c>
      <c r="I12" s="81" t="s">
        <v>199</v>
      </c>
    </row>
    <row r="13" spans="1:9">
      <c r="B13" s="433" t="s">
        <v>122</v>
      </c>
      <c r="C13" s="445" t="s">
        <v>247</v>
      </c>
      <c r="D13" s="439" t="s">
        <v>128</v>
      </c>
      <c r="E13" s="412">
        <v>500</v>
      </c>
      <c r="F13" s="4" t="s">
        <v>124</v>
      </c>
      <c r="G13" s="177">
        <v>500</v>
      </c>
      <c r="H13" s="410">
        <f>E13-G16</f>
        <v>0</v>
      </c>
      <c r="I13" s="458">
        <f>G16/E13</f>
        <v>1</v>
      </c>
    </row>
    <row r="14" spans="1:9">
      <c r="B14" s="434"/>
      <c r="C14" s="446"/>
      <c r="D14" s="440"/>
      <c r="E14" s="448"/>
      <c r="F14" s="5" t="s">
        <v>123</v>
      </c>
      <c r="G14" s="178"/>
      <c r="H14" s="423"/>
      <c r="I14" s="459"/>
    </row>
    <row r="15" spans="1:9" ht="15.75" thickBot="1">
      <c r="B15" s="435"/>
      <c r="C15" s="447"/>
      <c r="D15" s="441"/>
      <c r="E15" s="413"/>
      <c r="F15" s="6" t="s">
        <v>125</v>
      </c>
      <c r="G15" s="179"/>
      <c r="H15" s="411"/>
      <c r="I15" s="460"/>
    </row>
    <row r="16" spans="1:9" ht="15.75" thickBot="1">
      <c r="G16" s="7">
        <f>SUM(G13:G15)</f>
        <v>500</v>
      </c>
    </row>
    <row r="17" spans="2:9">
      <c r="G17" s="123"/>
    </row>
    <row r="18" spans="2:9" ht="15.75" thickBot="1">
      <c r="G18" s="123"/>
    </row>
    <row r="19" spans="2:9" ht="45.75" thickBot="1">
      <c r="B19" s="76" t="s">
        <v>117</v>
      </c>
      <c r="C19" s="77" t="s">
        <v>118</v>
      </c>
      <c r="D19" s="78" t="s">
        <v>129</v>
      </c>
      <c r="E19" s="77" t="s">
        <v>119</v>
      </c>
      <c r="F19" s="79" t="s">
        <v>120</v>
      </c>
      <c r="G19" s="78" t="s">
        <v>268</v>
      </c>
      <c r="H19" s="80" t="s">
        <v>121</v>
      </c>
      <c r="I19" s="81" t="s">
        <v>199</v>
      </c>
    </row>
    <row r="20" spans="2:9">
      <c r="B20" s="433" t="s">
        <v>122</v>
      </c>
      <c r="C20" s="445" t="s">
        <v>274</v>
      </c>
      <c r="D20" s="439" t="s">
        <v>128</v>
      </c>
      <c r="E20" s="412">
        <v>500</v>
      </c>
      <c r="F20" s="4" t="s">
        <v>124</v>
      </c>
      <c r="G20" s="177">
        <v>500</v>
      </c>
      <c r="H20" s="400">
        <f>E20-G23</f>
        <v>0</v>
      </c>
      <c r="I20" s="436">
        <f>G23/E20</f>
        <v>1</v>
      </c>
    </row>
    <row r="21" spans="2:9">
      <c r="B21" s="434"/>
      <c r="C21" s="446"/>
      <c r="D21" s="440"/>
      <c r="E21" s="448"/>
      <c r="F21" s="5" t="s">
        <v>123</v>
      </c>
      <c r="G21" s="178"/>
      <c r="H21" s="401"/>
      <c r="I21" s="437"/>
    </row>
    <row r="22" spans="2:9" ht="15.75" thickBot="1">
      <c r="B22" s="435"/>
      <c r="C22" s="447"/>
      <c r="D22" s="441"/>
      <c r="E22" s="413"/>
      <c r="F22" s="6" t="s">
        <v>125</v>
      </c>
      <c r="G22" s="179"/>
      <c r="H22" s="402"/>
      <c r="I22" s="438"/>
    </row>
    <row r="23" spans="2:9" ht="15.75" thickBot="1">
      <c r="G23" s="157">
        <f>SUM(G20:G22)</f>
        <v>500</v>
      </c>
    </row>
    <row r="24" spans="2:9">
      <c r="G24" s="123"/>
    </row>
    <row r="25" spans="2:9" ht="15.75" thickBot="1">
      <c r="G25" s="123"/>
    </row>
    <row r="26" spans="2:9" ht="45.75" thickBot="1">
      <c r="B26" s="76" t="s">
        <v>117</v>
      </c>
      <c r="C26" s="77" t="s">
        <v>118</v>
      </c>
      <c r="D26" s="78" t="s">
        <v>129</v>
      </c>
      <c r="E26" s="77" t="s">
        <v>119</v>
      </c>
      <c r="F26" s="154" t="s">
        <v>120</v>
      </c>
      <c r="G26" s="156" t="s">
        <v>268</v>
      </c>
      <c r="H26" s="155" t="s">
        <v>121</v>
      </c>
      <c r="I26" s="81" t="s">
        <v>199</v>
      </c>
    </row>
    <row r="27" spans="2:9">
      <c r="B27" s="433" t="s">
        <v>122</v>
      </c>
      <c r="C27" s="445" t="s">
        <v>304</v>
      </c>
      <c r="D27" s="439" t="s">
        <v>128</v>
      </c>
      <c r="E27" s="412">
        <v>3000</v>
      </c>
      <c r="F27" s="4" t="s">
        <v>124</v>
      </c>
      <c r="G27" s="180">
        <v>1657.5519999999999</v>
      </c>
      <c r="H27" s="400">
        <f>E27-G30</f>
        <v>0</v>
      </c>
      <c r="I27" s="458">
        <f>G30/E27</f>
        <v>1</v>
      </c>
    </row>
    <row r="28" spans="2:9">
      <c r="B28" s="434"/>
      <c r="C28" s="446"/>
      <c r="D28" s="440"/>
      <c r="E28" s="448"/>
      <c r="F28" s="5" t="s">
        <v>123</v>
      </c>
      <c r="G28" s="181">
        <v>1342.4480000000001</v>
      </c>
      <c r="H28" s="401"/>
      <c r="I28" s="459"/>
    </row>
    <row r="29" spans="2:9" ht="15.75" thickBot="1">
      <c r="B29" s="435"/>
      <c r="C29" s="447"/>
      <c r="D29" s="441"/>
      <c r="E29" s="413"/>
      <c r="F29" s="6" t="s">
        <v>125</v>
      </c>
      <c r="G29" s="176"/>
      <c r="H29" s="402"/>
      <c r="I29" s="460"/>
    </row>
    <row r="30" spans="2:9" ht="15.75" thickBot="1">
      <c r="B30" s="148"/>
      <c r="C30" s="149"/>
      <c r="D30" s="150"/>
      <c r="E30" s="151"/>
      <c r="F30" s="152"/>
      <c r="G30" s="157">
        <f>SUM(G27:G29)</f>
        <v>3000</v>
      </c>
      <c r="H30" s="151"/>
      <c r="I30" s="153"/>
    </row>
    <row r="31" spans="2:9">
      <c r="B31" s="148"/>
      <c r="C31" s="149"/>
      <c r="D31" s="150"/>
      <c r="E31" s="151"/>
      <c r="F31" s="152"/>
      <c r="G31" s="123"/>
      <c r="H31" s="151"/>
      <c r="I31" s="153"/>
    </row>
    <row r="32" spans="2:9" ht="15.75" thickBot="1">
      <c r="B32" s="148"/>
      <c r="C32" s="149"/>
      <c r="D32" s="150"/>
      <c r="E32" s="151"/>
      <c r="F32" s="152"/>
      <c r="G32" s="123"/>
      <c r="H32" s="151"/>
      <c r="I32" s="153"/>
    </row>
    <row r="33" spans="2:9" ht="45.75" thickBot="1">
      <c r="B33" s="76" t="s">
        <v>117</v>
      </c>
      <c r="C33" s="77" t="s">
        <v>118</v>
      </c>
      <c r="D33" s="78" t="s">
        <v>129</v>
      </c>
      <c r="E33" s="77" t="s">
        <v>119</v>
      </c>
      <c r="F33" s="154" t="s">
        <v>120</v>
      </c>
      <c r="G33" s="156" t="s">
        <v>268</v>
      </c>
      <c r="H33" s="155" t="s">
        <v>121</v>
      </c>
      <c r="I33" s="81" t="s">
        <v>199</v>
      </c>
    </row>
    <row r="34" spans="2:9">
      <c r="B34" s="433" t="s">
        <v>122</v>
      </c>
      <c r="C34" s="445" t="s">
        <v>343</v>
      </c>
      <c r="D34" s="439" t="s">
        <v>128</v>
      </c>
      <c r="E34" s="412">
        <v>2000</v>
      </c>
      <c r="F34" s="4" t="s">
        <v>124</v>
      </c>
      <c r="G34" s="180">
        <v>988.22</v>
      </c>
      <c r="H34" s="400">
        <f>E34-G37</f>
        <v>0</v>
      </c>
      <c r="I34" s="436">
        <f>G37/E34</f>
        <v>1</v>
      </c>
    </row>
    <row r="35" spans="2:9">
      <c r="B35" s="434"/>
      <c r="C35" s="446"/>
      <c r="D35" s="440"/>
      <c r="E35" s="448"/>
      <c r="F35" s="5" t="s">
        <v>123</v>
      </c>
      <c r="G35" s="181">
        <v>1011.78</v>
      </c>
      <c r="H35" s="401"/>
      <c r="I35" s="437"/>
    </row>
    <row r="36" spans="2:9" ht="15.75" thickBot="1">
      <c r="B36" s="435"/>
      <c r="C36" s="447"/>
      <c r="D36" s="441"/>
      <c r="E36" s="413"/>
      <c r="F36" s="6" t="s">
        <v>125</v>
      </c>
      <c r="G36" s="176"/>
      <c r="H36" s="402"/>
      <c r="I36" s="438"/>
    </row>
    <row r="37" spans="2:9" ht="15.75" thickBot="1">
      <c r="B37" s="148"/>
      <c r="C37" s="149"/>
      <c r="D37" s="150"/>
      <c r="E37" s="151"/>
      <c r="F37" s="152"/>
      <c r="G37" s="157">
        <f>SUM(G34:G36)</f>
        <v>2000</v>
      </c>
      <c r="H37" s="151"/>
      <c r="I37" s="153"/>
    </row>
    <row r="38" spans="2:9">
      <c r="B38" s="148"/>
      <c r="C38" s="149"/>
      <c r="D38" s="150"/>
      <c r="E38" s="151"/>
      <c r="F38" s="152"/>
      <c r="G38" s="123"/>
      <c r="H38" s="151"/>
      <c r="I38" s="153"/>
    </row>
    <row r="39" spans="2:9" ht="22.5" customHeight="1" thickBot="1">
      <c r="B39" s="148"/>
      <c r="C39" s="149"/>
      <c r="D39" s="150"/>
      <c r="E39" s="151"/>
      <c r="F39" s="152"/>
      <c r="G39" s="123"/>
      <c r="H39" s="151"/>
      <c r="I39" s="153"/>
    </row>
    <row r="40" spans="2:9" ht="45.75" thickBot="1">
      <c r="B40" s="76" t="s">
        <v>117</v>
      </c>
      <c r="C40" s="77" t="s">
        <v>118</v>
      </c>
      <c r="D40" s="78" t="s">
        <v>129</v>
      </c>
      <c r="E40" s="77" t="s">
        <v>119</v>
      </c>
      <c r="F40" s="154" t="s">
        <v>120</v>
      </c>
      <c r="G40" s="156" t="s">
        <v>268</v>
      </c>
      <c r="H40" s="155" t="s">
        <v>121</v>
      </c>
      <c r="I40" s="81" t="s">
        <v>199</v>
      </c>
    </row>
    <row r="41" spans="2:9">
      <c r="B41" s="433" t="s">
        <v>122</v>
      </c>
      <c r="C41" s="445" t="s">
        <v>347</v>
      </c>
      <c r="D41" s="439" t="s">
        <v>128</v>
      </c>
      <c r="E41" s="412">
        <v>600</v>
      </c>
      <c r="F41" s="4" t="s">
        <v>124</v>
      </c>
      <c r="G41" s="180">
        <v>559.44500000000005</v>
      </c>
      <c r="H41" s="400">
        <f>E41-G44</f>
        <v>0</v>
      </c>
      <c r="I41" s="436">
        <f>G44/E41</f>
        <v>1</v>
      </c>
    </row>
    <row r="42" spans="2:9">
      <c r="B42" s="434"/>
      <c r="C42" s="446"/>
      <c r="D42" s="440"/>
      <c r="E42" s="448"/>
      <c r="F42" s="5" t="s">
        <v>123</v>
      </c>
      <c r="G42" s="181">
        <v>40.555</v>
      </c>
      <c r="H42" s="401"/>
      <c r="I42" s="437"/>
    </row>
    <row r="43" spans="2:9" ht="15.75" thickBot="1">
      <c r="B43" s="435"/>
      <c r="C43" s="447"/>
      <c r="D43" s="441"/>
      <c r="E43" s="413"/>
      <c r="F43" s="6" t="s">
        <v>125</v>
      </c>
      <c r="G43" s="176"/>
      <c r="H43" s="402"/>
      <c r="I43" s="438"/>
    </row>
    <row r="44" spans="2:9" ht="15.75" thickBot="1">
      <c r="B44" s="148"/>
      <c r="C44" s="149"/>
      <c r="D44" s="150"/>
      <c r="E44" s="151"/>
      <c r="F44" s="152"/>
      <c r="G44" s="157">
        <f>SUM(G41:G43)</f>
        <v>600</v>
      </c>
      <c r="H44" s="151"/>
      <c r="I44" s="153"/>
    </row>
    <row r="45" spans="2:9">
      <c r="B45" s="148"/>
      <c r="C45" s="149"/>
      <c r="D45" s="150"/>
      <c r="E45" s="151"/>
      <c r="F45" s="152"/>
      <c r="G45" s="123"/>
      <c r="H45" s="151"/>
      <c r="I45" s="153"/>
    </row>
    <row r="46" spans="2:9" ht="15.75" thickBot="1">
      <c r="B46" s="148"/>
      <c r="C46" s="149"/>
      <c r="D46" s="150"/>
      <c r="E46" s="151"/>
      <c r="F46" s="152"/>
      <c r="G46" s="123"/>
      <c r="H46" s="151"/>
      <c r="I46" s="153"/>
    </row>
    <row r="47" spans="2:9" ht="45.75" thickBot="1">
      <c r="B47" s="76" t="s">
        <v>117</v>
      </c>
      <c r="C47" s="77" t="s">
        <v>118</v>
      </c>
      <c r="D47" s="78" t="s">
        <v>129</v>
      </c>
      <c r="E47" s="77" t="s">
        <v>119</v>
      </c>
      <c r="F47" s="154" t="s">
        <v>120</v>
      </c>
      <c r="G47" s="156" t="s">
        <v>268</v>
      </c>
      <c r="H47" s="155" t="s">
        <v>121</v>
      </c>
      <c r="I47" s="81" t="s">
        <v>199</v>
      </c>
    </row>
    <row r="48" spans="2:9">
      <c r="B48" s="415" t="s">
        <v>122</v>
      </c>
      <c r="C48" s="418" t="s">
        <v>171</v>
      </c>
      <c r="D48" s="421" t="s">
        <v>172</v>
      </c>
      <c r="E48" s="442">
        <v>3500</v>
      </c>
      <c r="F48" s="136" t="s">
        <v>173</v>
      </c>
      <c r="G48" s="182">
        <f>608.804+812.545</f>
        <v>1421.3489999999999</v>
      </c>
      <c r="H48" s="442">
        <f>E48-G53</f>
        <v>0</v>
      </c>
      <c r="I48" s="443">
        <f>G53/E48</f>
        <v>1</v>
      </c>
    </row>
    <row r="49" spans="2:9" ht="30">
      <c r="B49" s="415"/>
      <c r="C49" s="418"/>
      <c r="D49" s="421"/>
      <c r="E49" s="423"/>
      <c r="F49" s="5" t="s">
        <v>174</v>
      </c>
      <c r="G49" s="178">
        <v>516.42100000000005</v>
      </c>
      <c r="H49" s="423"/>
      <c r="I49" s="443"/>
    </row>
    <row r="50" spans="2:9">
      <c r="B50" s="415"/>
      <c r="C50" s="418"/>
      <c r="D50" s="421"/>
      <c r="E50" s="423"/>
      <c r="F50" s="5" t="s">
        <v>175</v>
      </c>
      <c r="G50" s="178">
        <f>447.889+470.2</f>
        <v>918.08899999999994</v>
      </c>
      <c r="H50" s="423"/>
      <c r="I50" s="443"/>
    </row>
    <row r="51" spans="2:9">
      <c r="B51" s="415"/>
      <c r="C51" s="418"/>
      <c r="D51" s="421"/>
      <c r="E51" s="423"/>
      <c r="F51" s="5" t="s">
        <v>176</v>
      </c>
      <c r="G51" s="182">
        <v>365.37099999999998</v>
      </c>
      <c r="H51" s="423"/>
      <c r="I51" s="443"/>
    </row>
    <row r="52" spans="2:9" ht="15.75" thickBot="1">
      <c r="B52" s="416"/>
      <c r="C52" s="419"/>
      <c r="D52" s="422"/>
      <c r="E52" s="411"/>
      <c r="F52" s="6" t="s">
        <v>177</v>
      </c>
      <c r="G52" s="183">
        <v>278.77</v>
      </c>
      <c r="H52" s="411"/>
      <c r="I52" s="444"/>
    </row>
    <row r="53" spans="2:9" ht="15.75" thickBot="1">
      <c r="G53" s="194">
        <f>SUM(G48:G52)</f>
        <v>3500</v>
      </c>
    </row>
    <row r="54" spans="2:9">
      <c r="G54" s="45"/>
    </row>
    <row r="55" spans="2:9" ht="15.75" thickBot="1">
      <c r="G55" s="45"/>
    </row>
    <row r="56" spans="2:9" ht="45.75" thickBot="1">
      <c r="B56" s="76" t="s">
        <v>117</v>
      </c>
      <c r="C56" s="77" t="s">
        <v>118</v>
      </c>
      <c r="D56" s="78" t="s">
        <v>129</v>
      </c>
      <c r="E56" s="77" t="s">
        <v>119</v>
      </c>
      <c r="F56" s="79" t="s">
        <v>120</v>
      </c>
      <c r="G56" s="78" t="s">
        <v>268</v>
      </c>
      <c r="H56" s="80" t="s">
        <v>121</v>
      </c>
      <c r="I56" s="81" t="s">
        <v>199</v>
      </c>
    </row>
    <row r="57" spans="2:9">
      <c r="B57" s="414" t="s">
        <v>122</v>
      </c>
      <c r="C57" s="417" t="s">
        <v>208</v>
      </c>
      <c r="D57" s="420" t="s">
        <v>172</v>
      </c>
      <c r="E57" s="410">
        <v>1377</v>
      </c>
      <c r="F57" s="4" t="s">
        <v>173</v>
      </c>
      <c r="G57" s="175"/>
      <c r="H57" s="400">
        <f>E57-G62</f>
        <v>0</v>
      </c>
      <c r="I57" s="403">
        <f>G62/E57</f>
        <v>1</v>
      </c>
    </row>
    <row r="58" spans="2:9" ht="30">
      <c r="B58" s="415"/>
      <c r="C58" s="418"/>
      <c r="D58" s="421"/>
      <c r="E58" s="423"/>
      <c r="F58" s="5" t="s">
        <v>174</v>
      </c>
      <c r="G58" s="178">
        <v>430.16300000000001</v>
      </c>
      <c r="H58" s="401"/>
      <c r="I58" s="404"/>
    </row>
    <row r="59" spans="2:9">
      <c r="B59" s="415"/>
      <c r="C59" s="418"/>
      <c r="D59" s="421"/>
      <c r="E59" s="423"/>
      <c r="F59" s="5" t="s">
        <v>175</v>
      </c>
      <c r="G59" s="175">
        <v>438.64699999999999</v>
      </c>
      <c r="H59" s="401"/>
      <c r="I59" s="404"/>
    </row>
    <row r="60" spans="2:9">
      <c r="B60" s="415"/>
      <c r="C60" s="418"/>
      <c r="D60" s="421"/>
      <c r="E60" s="423"/>
      <c r="F60" s="5" t="s">
        <v>176</v>
      </c>
      <c r="G60" s="184">
        <v>508.19</v>
      </c>
      <c r="H60" s="401"/>
      <c r="I60" s="404"/>
    </row>
    <row r="61" spans="2:9" ht="15.75" thickBot="1">
      <c r="B61" s="416"/>
      <c r="C61" s="419"/>
      <c r="D61" s="422"/>
      <c r="E61" s="411"/>
      <c r="F61" s="6" t="s">
        <v>177</v>
      </c>
      <c r="G61" s="185"/>
      <c r="H61" s="402"/>
      <c r="I61" s="405"/>
    </row>
    <row r="62" spans="2:9" ht="15.75" thickBot="1">
      <c r="G62" s="193">
        <f>SUM(G57:G61)</f>
        <v>1377</v>
      </c>
    </row>
    <row r="63" spans="2:9">
      <c r="G63" s="45"/>
    </row>
    <row r="64" spans="2:9" ht="15.75" thickBot="1">
      <c r="G64" s="45"/>
    </row>
    <row r="65" spans="2:9" ht="45.75" thickBot="1">
      <c r="B65" s="76" t="s">
        <v>117</v>
      </c>
      <c r="C65" s="77" t="s">
        <v>118</v>
      </c>
      <c r="D65" s="78" t="s">
        <v>129</v>
      </c>
      <c r="E65" s="77" t="s">
        <v>119</v>
      </c>
      <c r="F65" s="79" t="s">
        <v>120</v>
      </c>
      <c r="G65" s="78" t="s">
        <v>268</v>
      </c>
      <c r="H65" s="80" t="s">
        <v>121</v>
      </c>
      <c r="I65" s="81" t="s">
        <v>199</v>
      </c>
    </row>
    <row r="66" spans="2:9">
      <c r="B66" s="414" t="s">
        <v>122</v>
      </c>
      <c r="C66" s="417" t="s">
        <v>360</v>
      </c>
      <c r="D66" s="420" t="s">
        <v>172</v>
      </c>
      <c r="E66" s="410">
        <v>2000</v>
      </c>
      <c r="F66" s="4" t="s">
        <v>173</v>
      </c>
      <c r="G66" s="175">
        <v>589.33500000000004</v>
      </c>
      <c r="H66" s="400">
        <f>E66-G71</f>
        <v>0</v>
      </c>
      <c r="I66" s="403">
        <f>G71/E66</f>
        <v>1</v>
      </c>
    </row>
    <row r="67" spans="2:9" ht="30">
      <c r="B67" s="415"/>
      <c r="C67" s="418"/>
      <c r="D67" s="421"/>
      <c r="E67" s="423"/>
      <c r="F67" s="5" t="s">
        <v>174</v>
      </c>
      <c r="G67" s="178">
        <v>385.33</v>
      </c>
      <c r="H67" s="401"/>
      <c r="I67" s="404"/>
    </row>
    <row r="68" spans="2:9">
      <c r="B68" s="415"/>
      <c r="C68" s="418"/>
      <c r="D68" s="421"/>
      <c r="E68" s="423"/>
      <c r="F68" s="5" t="s">
        <v>175</v>
      </c>
      <c r="G68" s="175"/>
      <c r="H68" s="401"/>
      <c r="I68" s="404"/>
    </row>
    <row r="69" spans="2:9">
      <c r="B69" s="415"/>
      <c r="C69" s="418"/>
      <c r="D69" s="421"/>
      <c r="E69" s="423"/>
      <c r="F69" s="5" t="s">
        <v>176</v>
      </c>
      <c r="G69" s="184">
        <v>1025.335</v>
      </c>
      <c r="H69" s="401"/>
      <c r="I69" s="404"/>
    </row>
    <row r="70" spans="2:9" ht="15.75" thickBot="1">
      <c r="B70" s="416"/>
      <c r="C70" s="419"/>
      <c r="D70" s="422"/>
      <c r="E70" s="411"/>
      <c r="F70" s="6" t="s">
        <v>177</v>
      </c>
      <c r="G70" s="185"/>
      <c r="H70" s="402"/>
      <c r="I70" s="405"/>
    </row>
    <row r="71" spans="2:9" ht="15.75" thickBot="1">
      <c r="G71" s="193">
        <f>SUM(G66:G70)</f>
        <v>2000</v>
      </c>
    </row>
    <row r="72" spans="2:9">
      <c r="G72" s="45"/>
    </row>
    <row r="73" spans="2:9" ht="15.75" thickBot="1">
      <c r="G73" s="45"/>
    </row>
    <row r="74" spans="2:9" ht="45.75" thickBot="1">
      <c r="B74" s="76" t="s">
        <v>117</v>
      </c>
      <c r="C74" s="77" t="s">
        <v>118</v>
      </c>
      <c r="D74" s="78" t="s">
        <v>129</v>
      </c>
      <c r="E74" s="77" t="s">
        <v>119</v>
      </c>
      <c r="F74" s="79" t="s">
        <v>120</v>
      </c>
      <c r="G74" s="78" t="s">
        <v>268</v>
      </c>
      <c r="H74" s="80" t="s">
        <v>121</v>
      </c>
      <c r="I74" s="81" t="s">
        <v>199</v>
      </c>
    </row>
    <row r="75" spans="2:9">
      <c r="B75" s="414" t="s">
        <v>122</v>
      </c>
      <c r="C75" s="417" t="s">
        <v>259</v>
      </c>
      <c r="D75" s="420" t="s">
        <v>172</v>
      </c>
      <c r="E75" s="410">
        <v>3500</v>
      </c>
      <c r="F75" s="4" t="s">
        <v>173</v>
      </c>
      <c r="G75" s="175">
        <v>575.00599999999997</v>
      </c>
      <c r="H75" s="400">
        <f>E75-G80</f>
        <v>0</v>
      </c>
      <c r="I75" s="430">
        <f>G80/E75</f>
        <v>1</v>
      </c>
    </row>
    <row r="76" spans="2:9" ht="30">
      <c r="B76" s="415"/>
      <c r="C76" s="418"/>
      <c r="D76" s="421"/>
      <c r="E76" s="423"/>
      <c r="F76" s="5" t="s">
        <v>174</v>
      </c>
      <c r="G76" s="178">
        <v>705.52700000000004</v>
      </c>
      <c r="H76" s="401"/>
      <c r="I76" s="431"/>
    </row>
    <row r="77" spans="2:9">
      <c r="B77" s="415"/>
      <c r="C77" s="418"/>
      <c r="D77" s="421"/>
      <c r="E77" s="423"/>
      <c r="F77" s="5" t="s">
        <v>175</v>
      </c>
      <c r="G77" s="175">
        <v>704.07799999999997</v>
      </c>
      <c r="H77" s="401"/>
      <c r="I77" s="431"/>
    </row>
    <row r="78" spans="2:9">
      <c r="B78" s="415"/>
      <c r="C78" s="418"/>
      <c r="D78" s="421"/>
      <c r="E78" s="423"/>
      <c r="F78" s="5" t="s">
        <v>176</v>
      </c>
      <c r="G78" s="184">
        <v>532.31700000000001</v>
      </c>
      <c r="H78" s="401"/>
      <c r="I78" s="431"/>
    </row>
    <row r="79" spans="2:9" ht="15.75" thickBot="1">
      <c r="B79" s="416"/>
      <c r="C79" s="419"/>
      <c r="D79" s="422"/>
      <c r="E79" s="411"/>
      <c r="F79" s="6" t="s">
        <v>260</v>
      </c>
      <c r="G79" s="185">
        <v>983.072</v>
      </c>
      <c r="H79" s="402"/>
      <c r="I79" s="432"/>
    </row>
    <row r="80" spans="2:9" ht="15.75" thickBot="1">
      <c r="G80" s="143">
        <f>SUM(G75:G79)</f>
        <v>3500</v>
      </c>
    </row>
    <row r="81" spans="2:9">
      <c r="G81" s="45"/>
    </row>
    <row r="82" spans="2:9" ht="15.75" thickBot="1">
      <c r="G82" s="45"/>
    </row>
    <row r="83" spans="2:9" ht="45.75" thickBot="1">
      <c r="B83" s="76" t="s">
        <v>117</v>
      </c>
      <c r="C83" s="77" t="s">
        <v>118</v>
      </c>
      <c r="D83" s="78" t="s">
        <v>129</v>
      </c>
      <c r="E83" s="77" t="s">
        <v>119</v>
      </c>
      <c r="F83" s="79" t="s">
        <v>120</v>
      </c>
      <c r="G83" s="78" t="s">
        <v>268</v>
      </c>
      <c r="H83" s="80" t="s">
        <v>121</v>
      </c>
      <c r="I83" s="81" t="s">
        <v>199</v>
      </c>
    </row>
    <row r="84" spans="2:9">
      <c r="B84" s="414" t="s">
        <v>122</v>
      </c>
      <c r="C84" s="417" t="s">
        <v>276</v>
      </c>
      <c r="D84" s="420" t="s">
        <v>172</v>
      </c>
      <c r="E84" s="410">
        <v>3500</v>
      </c>
      <c r="F84" s="4" t="s">
        <v>173</v>
      </c>
      <c r="G84" s="175">
        <v>1424.3119999999999</v>
      </c>
      <c r="H84" s="400">
        <f>E84-G89</f>
        <v>0</v>
      </c>
      <c r="I84" s="397">
        <f>G89/E84</f>
        <v>1</v>
      </c>
    </row>
    <row r="85" spans="2:9" ht="30">
      <c r="B85" s="415"/>
      <c r="C85" s="418"/>
      <c r="D85" s="421"/>
      <c r="E85" s="423"/>
      <c r="F85" s="5" t="s">
        <v>174</v>
      </c>
      <c r="G85" s="178"/>
      <c r="H85" s="401"/>
      <c r="I85" s="398"/>
    </row>
    <row r="86" spans="2:9">
      <c r="B86" s="415"/>
      <c r="C86" s="418"/>
      <c r="D86" s="421"/>
      <c r="E86" s="423"/>
      <c r="F86" s="5" t="s">
        <v>175</v>
      </c>
      <c r="G86" s="175">
        <v>605.4</v>
      </c>
      <c r="H86" s="401"/>
      <c r="I86" s="398"/>
    </row>
    <row r="87" spans="2:9">
      <c r="B87" s="415"/>
      <c r="C87" s="418"/>
      <c r="D87" s="421"/>
      <c r="E87" s="423"/>
      <c r="F87" s="5" t="s">
        <v>176</v>
      </c>
      <c r="G87" s="184">
        <v>1086.223</v>
      </c>
      <c r="H87" s="401"/>
      <c r="I87" s="398"/>
    </row>
    <row r="88" spans="2:9" ht="15.75" thickBot="1">
      <c r="B88" s="416"/>
      <c r="C88" s="419"/>
      <c r="D88" s="422"/>
      <c r="E88" s="411"/>
      <c r="F88" s="6" t="s">
        <v>260</v>
      </c>
      <c r="G88" s="185">
        <v>384.065</v>
      </c>
      <c r="H88" s="402"/>
      <c r="I88" s="399"/>
    </row>
    <row r="89" spans="2:9" ht="15.75" thickBot="1">
      <c r="G89" s="143">
        <f>SUM(G84:G88)</f>
        <v>3500</v>
      </c>
    </row>
    <row r="90" spans="2:9">
      <c r="G90" s="159"/>
    </row>
    <row r="91" spans="2:9" ht="15.75" thickBot="1">
      <c r="G91" s="45"/>
    </row>
    <row r="92" spans="2:9" ht="45.75" thickBot="1">
      <c r="B92" s="76" t="s">
        <v>117</v>
      </c>
      <c r="C92" s="77" t="s">
        <v>118</v>
      </c>
      <c r="D92" s="78" t="s">
        <v>129</v>
      </c>
      <c r="E92" s="77" t="s">
        <v>119</v>
      </c>
      <c r="F92" s="79" t="s">
        <v>120</v>
      </c>
      <c r="G92" s="78" t="s">
        <v>268</v>
      </c>
      <c r="H92" s="80" t="s">
        <v>121</v>
      </c>
      <c r="I92" s="81" t="s">
        <v>199</v>
      </c>
    </row>
    <row r="93" spans="2:9">
      <c r="B93" s="414" t="s">
        <v>122</v>
      </c>
      <c r="C93" s="417" t="s">
        <v>317</v>
      </c>
      <c r="D93" s="420" t="s">
        <v>172</v>
      </c>
      <c r="E93" s="410">
        <v>1667.69</v>
      </c>
      <c r="F93" s="4" t="s">
        <v>173</v>
      </c>
      <c r="G93" s="175"/>
      <c r="H93" s="400">
        <f>E93-G98</f>
        <v>0</v>
      </c>
      <c r="I93" s="397">
        <f>G98/E93</f>
        <v>1</v>
      </c>
    </row>
    <row r="94" spans="2:9" ht="30">
      <c r="B94" s="415"/>
      <c r="C94" s="418"/>
      <c r="D94" s="421"/>
      <c r="E94" s="423"/>
      <c r="F94" s="5" t="s">
        <v>174</v>
      </c>
      <c r="G94" s="178">
        <v>679.21500000000003</v>
      </c>
      <c r="H94" s="401"/>
      <c r="I94" s="398"/>
    </row>
    <row r="95" spans="2:9">
      <c r="B95" s="415"/>
      <c r="C95" s="418"/>
      <c r="D95" s="421"/>
      <c r="E95" s="423"/>
      <c r="F95" s="5" t="s">
        <v>175</v>
      </c>
      <c r="G95" s="175">
        <v>797.5</v>
      </c>
      <c r="H95" s="401"/>
      <c r="I95" s="398"/>
    </row>
    <row r="96" spans="2:9">
      <c r="B96" s="415"/>
      <c r="C96" s="418"/>
      <c r="D96" s="421"/>
      <c r="E96" s="423"/>
      <c r="F96" s="5" t="s">
        <v>176</v>
      </c>
      <c r="G96" s="184">
        <v>190.97499999999999</v>
      </c>
      <c r="H96" s="401"/>
      <c r="I96" s="398"/>
    </row>
    <row r="97" spans="2:9" ht="15.75" thickBot="1">
      <c r="B97" s="416"/>
      <c r="C97" s="419"/>
      <c r="D97" s="422"/>
      <c r="E97" s="411"/>
      <c r="F97" s="6" t="s">
        <v>260</v>
      </c>
      <c r="G97" s="185"/>
      <c r="H97" s="402"/>
      <c r="I97" s="399"/>
    </row>
    <row r="98" spans="2:9" ht="15.75" thickBot="1">
      <c r="G98" s="143">
        <f>SUM(G93:G97)</f>
        <v>1667.69</v>
      </c>
    </row>
    <row r="99" spans="2:9">
      <c r="G99" s="45"/>
    </row>
    <row r="100" spans="2:9" ht="15.75" thickBot="1">
      <c r="G100" s="45"/>
    </row>
    <row r="101" spans="2:9" ht="45.75" thickBot="1">
      <c r="B101" s="76" t="s">
        <v>117</v>
      </c>
      <c r="C101" s="77" t="s">
        <v>118</v>
      </c>
      <c r="D101" s="78" t="s">
        <v>129</v>
      </c>
      <c r="E101" s="77" t="s">
        <v>119</v>
      </c>
      <c r="F101" s="79" t="s">
        <v>120</v>
      </c>
      <c r="G101" s="78" t="s">
        <v>268</v>
      </c>
      <c r="H101" s="80" t="s">
        <v>121</v>
      </c>
      <c r="I101" s="81" t="s">
        <v>199</v>
      </c>
    </row>
    <row r="102" spans="2:9">
      <c r="B102" s="414" t="s">
        <v>122</v>
      </c>
      <c r="C102" s="417" t="s">
        <v>337</v>
      </c>
      <c r="D102" s="420" t="s">
        <v>172</v>
      </c>
      <c r="E102" s="410">
        <v>2450</v>
      </c>
      <c r="F102" s="4" t="s">
        <v>173</v>
      </c>
      <c r="G102" s="175">
        <v>1164.019</v>
      </c>
      <c r="H102" s="400">
        <f>E102-G107</f>
        <v>0</v>
      </c>
      <c r="I102" s="430">
        <f>G107/E102</f>
        <v>1</v>
      </c>
    </row>
    <row r="103" spans="2:9" ht="30">
      <c r="B103" s="415"/>
      <c r="C103" s="418"/>
      <c r="D103" s="421"/>
      <c r="E103" s="423"/>
      <c r="F103" s="5" t="s">
        <v>174</v>
      </c>
      <c r="G103" s="178">
        <v>327.90499999999997</v>
      </c>
      <c r="H103" s="401"/>
      <c r="I103" s="431"/>
    </row>
    <row r="104" spans="2:9">
      <c r="B104" s="415"/>
      <c r="C104" s="418"/>
      <c r="D104" s="421"/>
      <c r="E104" s="423"/>
      <c r="F104" s="5" t="s">
        <v>175</v>
      </c>
      <c r="G104" s="175">
        <v>663.53099999999995</v>
      </c>
      <c r="H104" s="401"/>
      <c r="I104" s="431"/>
    </row>
    <row r="105" spans="2:9">
      <c r="B105" s="415"/>
      <c r="C105" s="418"/>
      <c r="D105" s="421"/>
      <c r="E105" s="423"/>
      <c r="F105" s="5" t="s">
        <v>176</v>
      </c>
      <c r="G105" s="184">
        <v>28</v>
      </c>
      <c r="H105" s="401"/>
      <c r="I105" s="431"/>
    </row>
    <row r="106" spans="2:9" ht="15.75" thickBot="1">
      <c r="B106" s="416"/>
      <c r="C106" s="419"/>
      <c r="D106" s="422"/>
      <c r="E106" s="411"/>
      <c r="F106" s="6" t="s">
        <v>260</v>
      </c>
      <c r="G106" s="185">
        <v>266.54500000000002</v>
      </c>
      <c r="H106" s="402"/>
      <c r="I106" s="432"/>
    </row>
    <row r="107" spans="2:9" ht="15.75" thickBot="1">
      <c r="G107" s="143">
        <f>SUM(G102:G106)</f>
        <v>2450</v>
      </c>
    </row>
    <row r="108" spans="2:9">
      <c r="G108" s="45"/>
    </row>
    <row r="109" spans="2:9" ht="15.75" thickBot="1">
      <c r="G109" s="45"/>
    </row>
    <row r="110" spans="2:9" ht="45.75" thickBot="1">
      <c r="B110" s="76" t="s">
        <v>117</v>
      </c>
      <c r="C110" s="77" t="s">
        <v>118</v>
      </c>
      <c r="D110" s="78" t="s">
        <v>129</v>
      </c>
      <c r="E110" s="77" t="s">
        <v>119</v>
      </c>
      <c r="F110" s="79" t="s">
        <v>120</v>
      </c>
      <c r="G110" s="78" t="s">
        <v>268</v>
      </c>
      <c r="H110" s="80" t="s">
        <v>121</v>
      </c>
      <c r="I110" s="81" t="s">
        <v>199</v>
      </c>
    </row>
    <row r="111" spans="2:9">
      <c r="B111" s="414" t="s">
        <v>122</v>
      </c>
      <c r="C111" s="417" t="s">
        <v>355</v>
      </c>
      <c r="D111" s="420" t="s">
        <v>172</v>
      </c>
      <c r="E111" s="410">
        <v>2000</v>
      </c>
      <c r="F111" s="4" t="s">
        <v>173</v>
      </c>
      <c r="G111" s="175"/>
      <c r="H111" s="400">
        <f>E111-G116</f>
        <v>0</v>
      </c>
      <c r="I111" s="397">
        <f>G116/E111</f>
        <v>1</v>
      </c>
    </row>
    <row r="112" spans="2:9" ht="30">
      <c r="B112" s="415"/>
      <c r="C112" s="418"/>
      <c r="D112" s="421"/>
      <c r="E112" s="423"/>
      <c r="F112" s="5" t="s">
        <v>174</v>
      </c>
      <c r="G112" s="178"/>
      <c r="H112" s="401"/>
      <c r="I112" s="398"/>
    </row>
    <row r="113" spans="2:9">
      <c r="B113" s="415"/>
      <c r="C113" s="418"/>
      <c r="D113" s="421"/>
      <c r="E113" s="423"/>
      <c r="F113" s="5" t="s">
        <v>175</v>
      </c>
      <c r="G113" s="175"/>
      <c r="H113" s="401"/>
      <c r="I113" s="398"/>
    </row>
    <row r="114" spans="2:9">
      <c r="B114" s="415"/>
      <c r="C114" s="418"/>
      <c r="D114" s="421"/>
      <c r="E114" s="423"/>
      <c r="F114" s="5" t="s">
        <v>176</v>
      </c>
      <c r="G114" s="184">
        <v>956.72500000000002</v>
      </c>
      <c r="H114" s="401"/>
      <c r="I114" s="398"/>
    </row>
    <row r="115" spans="2:9" ht="15.75" thickBot="1">
      <c r="B115" s="416"/>
      <c r="C115" s="419"/>
      <c r="D115" s="422"/>
      <c r="E115" s="411"/>
      <c r="F115" s="6" t="s">
        <v>260</v>
      </c>
      <c r="G115" s="185">
        <v>1043.2750000000001</v>
      </c>
      <c r="H115" s="402"/>
      <c r="I115" s="399"/>
    </row>
    <row r="116" spans="2:9" ht="15.75" thickBot="1">
      <c r="G116" s="143">
        <f>SUM(G111:G115)</f>
        <v>2000</v>
      </c>
    </row>
    <row r="117" spans="2:9">
      <c r="G117" s="45"/>
    </row>
    <row r="118" spans="2:9" ht="15.75" thickBot="1">
      <c r="G118" s="45"/>
    </row>
    <row r="119" spans="2:9" ht="45.75" thickBot="1">
      <c r="B119" s="76" t="s">
        <v>117</v>
      </c>
      <c r="C119" s="77" t="s">
        <v>118</v>
      </c>
      <c r="D119" s="78" t="s">
        <v>129</v>
      </c>
      <c r="E119" s="77" t="s">
        <v>119</v>
      </c>
      <c r="F119" s="79" t="s">
        <v>120</v>
      </c>
      <c r="G119" s="78" t="s">
        <v>268</v>
      </c>
      <c r="H119" s="80" t="s">
        <v>121</v>
      </c>
      <c r="I119" s="81" t="s">
        <v>199</v>
      </c>
    </row>
    <row r="120" spans="2:9">
      <c r="B120" s="414" t="s">
        <v>122</v>
      </c>
      <c r="C120" s="417" t="s">
        <v>369</v>
      </c>
      <c r="D120" s="420" t="s">
        <v>172</v>
      </c>
      <c r="E120" s="410">
        <v>500</v>
      </c>
      <c r="F120" s="4" t="s">
        <v>173</v>
      </c>
      <c r="G120" s="175">
        <v>207.59</v>
      </c>
      <c r="H120" s="400">
        <f>E120-G125</f>
        <v>0</v>
      </c>
      <c r="I120" s="397">
        <f>G125/E120</f>
        <v>1</v>
      </c>
    </row>
    <row r="121" spans="2:9" ht="30">
      <c r="B121" s="415"/>
      <c r="C121" s="418"/>
      <c r="D121" s="421"/>
      <c r="E121" s="423"/>
      <c r="F121" s="5" t="s">
        <v>174</v>
      </c>
      <c r="G121" s="178"/>
      <c r="H121" s="401"/>
      <c r="I121" s="398"/>
    </row>
    <row r="122" spans="2:9">
      <c r="B122" s="415"/>
      <c r="C122" s="418"/>
      <c r="D122" s="421"/>
      <c r="E122" s="423"/>
      <c r="F122" s="5" t="s">
        <v>175</v>
      </c>
      <c r="G122" s="175"/>
      <c r="H122" s="401"/>
      <c r="I122" s="398"/>
    </row>
    <row r="123" spans="2:9">
      <c r="B123" s="415"/>
      <c r="C123" s="418"/>
      <c r="D123" s="421"/>
      <c r="E123" s="423"/>
      <c r="F123" s="5" t="s">
        <v>176</v>
      </c>
      <c r="G123" s="184">
        <v>292.41000000000003</v>
      </c>
      <c r="H123" s="401"/>
      <c r="I123" s="398"/>
    </row>
    <row r="124" spans="2:9" ht="15.75" thickBot="1">
      <c r="B124" s="416"/>
      <c r="C124" s="419"/>
      <c r="D124" s="422"/>
      <c r="E124" s="411"/>
      <c r="F124" s="6" t="s">
        <v>260</v>
      </c>
      <c r="G124" s="185"/>
      <c r="H124" s="402"/>
      <c r="I124" s="399"/>
    </row>
    <row r="125" spans="2:9" ht="15.75" thickBot="1">
      <c r="G125" s="143">
        <f>SUM(G120:G124)</f>
        <v>500</v>
      </c>
    </row>
    <row r="126" spans="2:9">
      <c r="G126" s="45"/>
    </row>
    <row r="127" spans="2:9">
      <c r="G127" s="45"/>
    </row>
    <row r="128" spans="2:9">
      <c r="G128" s="45"/>
    </row>
    <row r="129" spans="2:9" ht="15.75" thickBot="1"/>
    <row r="130" spans="2:9" ht="45.75" thickBot="1">
      <c r="B130" s="76" t="s">
        <v>117</v>
      </c>
      <c r="C130" s="77" t="s">
        <v>118</v>
      </c>
      <c r="D130" s="78" t="s">
        <v>129</v>
      </c>
      <c r="E130" s="77" t="s">
        <v>119</v>
      </c>
      <c r="F130" s="79" t="s">
        <v>120</v>
      </c>
      <c r="G130" s="78" t="s">
        <v>268</v>
      </c>
      <c r="H130" s="80" t="s">
        <v>121</v>
      </c>
      <c r="I130" s="81" t="s">
        <v>199</v>
      </c>
    </row>
    <row r="131" spans="2:9">
      <c r="B131" s="414" t="s">
        <v>122</v>
      </c>
      <c r="C131" s="417" t="s">
        <v>205</v>
      </c>
      <c r="D131" s="420" t="s">
        <v>22</v>
      </c>
      <c r="E131" s="410">
        <v>15000</v>
      </c>
      <c r="F131" s="4" t="s">
        <v>206</v>
      </c>
      <c r="G131" s="175">
        <v>7053.6490000000003</v>
      </c>
      <c r="H131" s="412">
        <f>E131-G133</f>
        <v>0</v>
      </c>
      <c r="I131" s="408">
        <f>G133/E131</f>
        <v>1</v>
      </c>
    </row>
    <row r="132" spans="2:9" ht="15.75" thickBot="1">
      <c r="B132" s="416"/>
      <c r="C132" s="419"/>
      <c r="D132" s="422"/>
      <c r="E132" s="411"/>
      <c r="F132" s="108" t="s">
        <v>207</v>
      </c>
      <c r="G132" s="176">
        <v>7946.3509999999997</v>
      </c>
      <c r="H132" s="413"/>
      <c r="I132" s="409"/>
    </row>
    <row r="133" spans="2:9" ht="15.75" thickBot="1">
      <c r="G133" s="143">
        <f>SUM(G131:G132)</f>
        <v>15000</v>
      </c>
    </row>
    <row r="135" spans="2:9" ht="15.75" thickBot="1"/>
    <row r="136" spans="2:9" ht="45.75" thickBot="1">
      <c r="B136" s="76" t="s">
        <v>117</v>
      </c>
      <c r="C136" s="77" t="s">
        <v>118</v>
      </c>
      <c r="D136" s="78" t="s">
        <v>129</v>
      </c>
      <c r="E136" s="77" t="s">
        <v>119</v>
      </c>
      <c r="F136" s="79" t="s">
        <v>120</v>
      </c>
      <c r="G136" s="78" t="s">
        <v>268</v>
      </c>
      <c r="H136" s="80" t="s">
        <v>121</v>
      </c>
      <c r="I136" s="81" t="s">
        <v>199</v>
      </c>
    </row>
    <row r="137" spans="2:9">
      <c r="B137" s="414" t="s">
        <v>122</v>
      </c>
      <c r="C137" s="417" t="s">
        <v>273</v>
      </c>
      <c r="D137" s="420" t="s">
        <v>22</v>
      </c>
      <c r="E137" s="410">
        <v>2000</v>
      </c>
      <c r="F137" s="4" t="s">
        <v>206</v>
      </c>
      <c r="G137" s="175">
        <v>1946.4059999999999</v>
      </c>
      <c r="H137" s="412">
        <f>E137-G139</f>
        <v>0</v>
      </c>
      <c r="I137" s="406">
        <f>G139/E137</f>
        <v>1</v>
      </c>
    </row>
    <row r="138" spans="2:9" ht="15.75" thickBot="1">
      <c r="B138" s="416"/>
      <c r="C138" s="419"/>
      <c r="D138" s="422"/>
      <c r="E138" s="411"/>
      <c r="F138" s="108" t="s">
        <v>207</v>
      </c>
      <c r="G138" s="176">
        <v>53.594000000000001</v>
      </c>
      <c r="H138" s="413"/>
      <c r="I138" s="407"/>
    </row>
    <row r="139" spans="2:9" ht="15.75" thickBot="1">
      <c r="G139" s="143">
        <f>SUM(G137:G138)</f>
        <v>2000</v>
      </c>
    </row>
    <row r="141" spans="2:9" ht="15.75" thickBot="1"/>
    <row r="142" spans="2:9" ht="45.75" thickBot="1">
      <c r="B142" s="76" t="s">
        <v>117</v>
      </c>
      <c r="C142" s="77" t="s">
        <v>118</v>
      </c>
      <c r="D142" s="78" t="s">
        <v>129</v>
      </c>
      <c r="E142" s="77" t="s">
        <v>119</v>
      </c>
      <c r="F142" s="79" t="s">
        <v>120</v>
      </c>
      <c r="G142" s="78" t="s">
        <v>268</v>
      </c>
      <c r="H142" s="80" t="s">
        <v>121</v>
      </c>
      <c r="I142" s="81" t="s">
        <v>199</v>
      </c>
    </row>
    <row r="143" spans="2:9">
      <c r="B143" s="414" t="s">
        <v>122</v>
      </c>
      <c r="C143" s="417" t="s">
        <v>327</v>
      </c>
      <c r="D143" s="420" t="s">
        <v>22</v>
      </c>
      <c r="E143" s="410">
        <v>2450</v>
      </c>
      <c r="F143" s="4" t="s">
        <v>206</v>
      </c>
      <c r="G143" s="175">
        <v>1176.1610000000001</v>
      </c>
      <c r="H143" s="412">
        <f>E143-G145</f>
        <v>0</v>
      </c>
      <c r="I143" s="406">
        <f>G145/E143</f>
        <v>1</v>
      </c>
    </row>
    <row r="144" spans="2:9" ht="15.75" thickBot="1">
      <c r="B144" s="416"/>
      <c r="C144" s="419"/>
      <c r="D144" s="422"/>
      <c r="E144" s="411"/>
      <c r="F144" s="108" t="s">
        <v>207</v>
      </c>
      <c r="G144" s="176">
        <v>1273.8389999999999</v>
      </c>
      <c r="H144" s="413"/>
      <c r="I144" s="407"/>
    </row>
    <row r="145" spans="2:9" ht="15.75" thickBot="1">
      <c r="G145" s="143">
        <f>SUM(G143:G144)</f>
        <v>2450</v>
      </c>
    </row>
    <row r="147" spans="2:9" ht="15.75" thickBot="1"/>
    <row r="148" spans="2:9" ht="45.75" thickBot="1">
      <c r="B148" s="76" t="s">
        <v>117</v>
      </c>
      <c r="C148" s="77" t="s">
        <v>118</v>
      </c>
      <c r="D148" s="78" t="s">
        <v>129</v>
      </c>
      <c r="E148" s="77" t="s">
        <v>119</v>
      </c>
      <c r="F148" s="79" t="s">
        <v>120</v>
      </c>
      <c r="G148" s="78" t="s">
        <v>268</v>
      </c>
      <c r="H148" s="80" t="s">
        <v>121</v>
      </c>
      <c r="I148" s="81" t="s">
        <v>199</v>
      </c>
    </row>
    <row r="149" spans="2:9">
      <c r="B149" s="414" t="s">
        <v>122</v>
      </c>
      <c r="C149" s="417" t="s">
        <v>352</v>
      </c>
      <c r="D149" s="420" t="s">
        <v>22</v>
      </c>
      <c r="E149" s="410">
        <v>2021</v>
      </c>
      <c r="F149" s="4" t="s">
        <v>206</v>
      </c>
      <c r="G149" s="175">
        <v>1468.5550000000001</v>
      </c>
      <c r="H149" s="412">
        <f>E149-G151</f>
        <v>0</v>
      </c>
      <c r="I149" s="406">
        <f>G151/E149</f>
        <v>1</v>
      </c>
    </row>
    <row r="150" spans="2:9" ht="15.75" thickBot="1">
      <c r="B150" s="416"/>
      <c r="C150" s="419"/>
      <c r="D150" s="422"/>
      <c r="E150" s="411"/>
      <c r="F150" s="108" t="s">
        <v>207</v>
      </c>
      <c r="G150" s="176">
        <v>552.44500000000005</v>
      </c>
      <c r="H150" s="413"/>
      <c r="I150" s="407"/>
    </row>
    <row r="151" spans="2:9" ht="15.75" thickBot="1">
      <c r="G151" s="143">
        <f>SUM(G149:G150)</f>
        <v>2021</v>
      </c>
    </row>
    <row r="153" spans="2:9" ht="15.75" thickBot="1"/>
    <row r="154" spans="2:9" ht="45.75" thickBot="1">
      <c r="B154" s="76" t="s">
        <v>117</v>
      </c>
      <c r="C154" s="77" t="s">
        <v>118</v>
      </c>
      <c r="D154" s="78" t="s">
        <v>129</v>
      </c>
      <c r="E154" s="77" t="s">
        <v>119</v>
      </c>
      <c r="F154" s="79" t="s">
        <v>120</v>
      </c>
      <c r="G154" s="78" t="s">
        <v>268</v>
      </c>
      <c r="H154" s="80" t="s">
        <v>121</v>
      </c>
      <c r="I154" s="81" t="s">
        <v>199</v>
      </c>
    </row>
    <row r="155" spans="2:9">
      <c r="B155" s="414" t="s">
        <v>122</v>
      </c>
      <c r="C155" s="417" t="s">
        <v>353</v>
      </c>
      <c r="D155" s="420" t="s">
        <v>22</v>
      </c>
      <c r="E155" s="410">
        <v>500</v>
      </c>
      <c r="F155" s="4" t="s">
        <v>206</v>
      </c>
      <c r="G155" s="175">
        <v>500</v>
      </c>
      <c r="H155" s="412">
        <f>E155-G157</f>
        <v>0</v>
      </c>
      <c r="I155" s="408">
        <f>G157/E155</f>
        <v>1</v>
      </c>
    </row>
    <row r="156" spans="2:9" ht="15.75" thickBot="1">
      <c r="B156" s="416"/>
      <c r="C156" s="419"/>
      <c r="D156" s="422"/>
      <c r="E156" s="411"/>
      <c r="F156" s="108" t="s">
        <v>207</v>
      </c>
      <c r="G156" s="176"/>
      <c r="H156" s="413"/>
      <c r="I156" s="409"/>
    </row>
    <row r="157" spans="2:9" ht="15.75" thickBot="1">
      <c r="G157" s="143">
        <f>SUM(G155:G156)</f>
        <v>500</v>
      </c>
    </row>
    <row r="159" spans="2:9" ht="15.75" thickBot="1"/>
    <row r="160" spans="2:9" ht="45.75" thickBot="1">
      <c r="B160" s="76" t="s">
        <v>117</v>
      </c>
      <c r="C160" s="77" t="s">
        <v>118</v>
      </c>
      <c r="D160" s="78" t="s">
        <v>129</v>
      </c>
      <c r="E160" s="77" t="s">
        <v>119</v>
      </c>
      <c r="F160" s="79" t="s">
        <v>120</v>
      </c>
      <c r="G160" s="78" t="s">
        <v>268</v>
      </c>
      <c r="H160" s="80" t="s">
        <v>121</v>
      </c>
      <c r="I160" s="81" t="s">
        <v>199</v>
      </c>
    </row>
    <row r="161" spans="2:9">
      <c r="B161" s="414" t="s">
        <v>122</v>
      </c>
      <c r="C161" s="417" t="s">
        <v>354</v>
      </c>
      <c r="D161" s="420" t="s">
        <v>22</v>
      </c>
      <c r="E161" s="410">
        <v>1400</v>
      </c>
      <c r="F161" s="4" t="s">
        <v>206</v>
      </c>
      <c r="G161" s="175">
        <v>360.69099999999997</v>
      </c>
      <c r="H161" s="412">
        <f>E161-G163</f>
        <v>0</v>
      </c>
      <c r="I161" s="406">
        <f>G163/E161</f>
        <v>1</v>
      </c>
    </row>
    <row r="162" spans="2:9" ht="15.75" thickBot="1">
      <c r="B162" s="416"/>
      <c r="C162" s="419"/>
      <c r="D162" s="422"/>
      <c r="E162" s="411"/>
      <c r="F162" s="108" t="s">
        <v>207</v>
      </c>
      <c r="G162" s="176">
        <v>1039.309</v>
      </c>
      <c r="H162" s="413"/>
      <c r="I162" s="407"/>
    </row>
    <row r="163" spans="2:9" ht="15.75" thickBot="1">
      <c r="G163" s="143">
        <f>SUM(G161:G162)</f>
        <v>1400</v>
      </c>
    </row>
    <row r="165" spans="2:9" ht="15.75" thickBot="1"/>
    <row r="166" spans="2:9" ht="45.75" thickBot="1">
      <c r="B166" s="76" t="s">
        <v>117</v>
      </c>
      <c r="C166" s="77" t="s">
        <v>118</v>
      </c>
      <c r="D166" s="78" t="s">
        <v>129</v>
      </c>
      <c r="E166" s="77" t="s">
        <v>119</v>
      </c>
      <c r="F166" s="79" t="s">
        <v>120</v>
      </c>
      <c r="G166" s="78" t="s">
        <v>268</v>
      </c>
      <c r="H166" s="80" t="s">
        <v>121</v>
      </c>
      <c r="I166" s="81" t="s">
        <v>199</v>
      </c>
    </row>
    <row r="167" spans="2:9">
      <c r="B167" s="414" t="s">
        <v>122</v>
      </c>
      <c r="C167" s="417" t="s">
        <v>285</v>
      </c>
      <c r="D167" s="420" t="s">
        <v>248</v>
      </c>
      <c r="E167" s="410">
        <v>2000</v>
      </c>
      <c r="F167" s="4" t="s">
        <v>249</v>
      </c>
      <c r="G167" s="175">
        <v>537.64800000000002</v>
      </c>
      <c r="H167" s="400">
        <f>E167-G172</f>
        <v>0</v>
      </c>
      <c r="I167" s="403">
        <f>G172/E167</f>
        <v>1</v>
      </c>
    </row>
    <row r="168" spans="2:9">
      <c r="B168" s="415"/>
      <c r="C168" s="418"/>
      <c r="D168" s="421"/>
      <c r="E168" s="423"/>
      <c r="F168" s="5" t="s">
        <v>250</v>
      </c>
      <c r="G168" s="178"/>
      <c r="H168" s="401"/>
      <c r="I168" s="404"/>
    </row>
    <row r="169" spans="2:9">
      <c r="B169" s="415"/>
      <c r="C169" s="418"/>
      <c r="D169" s="421"/>
      <c r="E169" s="423"/>
      <c r="F169" s="5" t="s">
        <v>251</v>
      </c>
      <c r="G169" s="175">
        <v>365.61799999999999</v>
      </c>
      <c r="H169" s="401"/>
      <c r="I169" s="404"/>
    </row>
    <row r="170" spans="2:9">
      <c r="B170" s="415"/>
      <c r="C170" s="418"/>
      <c r="D170" s="421"/>
      <c r="E170" s="423"/>
      <c r="F170" s="5" t="s">
        <v>252</v>
      </c>
      <c r="G170" s="184">
        <v>567.73800000000006</v>
      </c>
      <c r="H170" s="401"/>
      <c r="I170" s="404"/>
    </row>
    <row r="171" spans="2:9" ht="15.75" thickBot="1">
      <c r="B171" s="416"/>
      <c r="C171" s="419"/>
      <c r="D171" s="422"/>
      <c r="E171" s="411"/>
      <c r="F171" s="6" t="s">
        <v>253</v>
      </c>
      <c r="G171" s="185">
        <v>528.99599999999998</v>
      </c>
      <c r="H171" s="402"/>
      <c r="I171" s="405"/>
    </row>
    <row r="172" spans="2:9" ht="15.75" thickBot="1">
      <c r="G172" s="143">
        <f>SUM(G167:G171)</f>
        <v>2000</v>
      </c>
    </row>
    <row r="174" spans="2:9" ht="15.75" thickBot="1"/>
    <row r="175" spans="2:9" ht="45.75" thickBot="1">
      <c r="B175" s="76" t="s">
        <v>117</v>
      </c>
      <c r="C175" s="77" t="s">
        <v>118</v>
      </c>
      <c r="D175" s="78" t="s">
        <v>129</v>
      </c>
      <c r="E175" s="77" t="s">
        <v>119</v>
      </c>
      <c r="F175" s="79" t="s">
        <v>120</v>
      </c>
      <c r="G175" s="78" t="s">
        <v>268</v>
      </c>
      <c r="H175" s="80" t="s">
        <v>121</v>
      </c>
      <c r="I175" s="81" t="s">
        <v>199</v>
      </c>
    </row>
    <row r="176" spans="2:9">
      <c r="B176" s="414" t="s">
        <v>122</v>
      </c>
      <c r="C176" s="417" t="s">
        <v>275</v>
      </c>
      <c r="D176" s="420" t="s">
        <v>248</v>
      </c>
      <c r="E176" s="410">
        <v>1000</v>
      </c>
      <c r="F176" s="4" t="s">
        <v>249</v>
      </c>
      <c r="G176" s="175"/>
      <c r="H176" s="400">
        <f>E176-G181</f>
        <v>0</v>
      </c>
      <c r="I176" s="403">
        <f>G181/E176</f>
        <v>1</v>
      </c>
    </row>
    <row r="177" spans="2:9">
      <c r="B177" s="415"/>
      <c r="C177" s="418"/>
      <c r="D177" s="421"/>
      <c r="E177" s="423"/>
      <c r="F177" s="5" t="s">
        <v>250</v>
      </c>
      <c r="G177" s="178">
        <v>528.803</v>
      </c>
      <c r="H177" s="401"/>
      <c r="I177" s="404"/>
    </row>
    <row r="178" spans="2:9">
      <c r="B178" s="415"/>
      <c r="C178" s="418"/>
      <c r="D178" s="421"/>
      <c r="E178" s="423"/>
      <c r="F178" s="5" t="s">
        <v>251</v>
      </c>
      <c r="G178" s="175"/>
      <c r="H178" s="401"/>
      <c r="I178" s="404"/>
    </row>
    <row r="179" spans="2:9">
      <c r="B179" s="415"/>
      <c r="C179" s="418"/>
      <c r="D179" s="421"/>
      <c r="E179" s="423"/>
      <c r="F179" s="5" t="s">
        <v>252</v>
      </c>
      <c r="G179" s="184">
        <v>120.324</v>
      </c>
      <c r="H179" s="401"/>
      <c r="I179" s="404"/>
    </row>
    <row r="180" spans="2:9" ht="15.75" thickBot="1">
      <c r="B180" s="416"/>
      <c r="C180" s="419"/>
      <c r="D180" s="422"/>
      <c r="E180" s="411"/>
      <c r="F180" s="6" t="s">
        <v>253</v>
      </c>
      <c r="G180" s="185">
        <v>350.87299999999999</v>
      </c>
      <c r="H180" s="402"/>
      <c r="I180" s="405"/>
    </row>
    <row r="181" spans="2:9" ht="15.75" thickBot="1">
      <c r="G181" s="7">
        <f>SUM(G176:G180)</f>
        <v>1000</v>
      </c>
    </row>
    <row r="183" spans="2:9" ht="15.75" thickBot="1"/>
    <row r="184" spans="2:9" ht="45.75" thickBot="1">
      <c r="B184" s="76" t="s">
        <v>117</v>
      </c>
      <c r="C184" s="77" t="s">
        <v>118</v>
      </c>
      <c r="D184" s="78" t="s">
        <v>129</v>
      </c>
      <c r="E184" s="77" t="s">
        <v>119</v>
      </c>
      <c r="F184" s="79" t="s">
        <v>120</v>
      </c>
      <c r="G184" s="78" t="s">
        <v>268</v>
      </c>
      <c r="H184" s="80" t="s">
        <v>121</v>
      </c>
      <c r="I184" s="81" t="s">
        <v>199</v>
      </c>
    </row>
    <row r="185" spans="2:9">
      <c r="B185" s="414" t="s">
        <v>122</v>
      </c>
      <c r="C185" s="417" t="s">
        <v>278</v>
      </c>
      <c r="D185" s="420" t="s">
        <v>248</v>
      </c>
      <c r="E185" s="410">
        <v>2000</v>
      </c>
      <c r="F185" s="4" t="s">
        <v>249</v>
      </c>
      <c r="G185" s="175"/>
      <c r="H185" s="400">
        <f>E185-G190</f>
        <v>0</v>
      </c>
      <c r="I185" s="427">
        <f>G190/E185</f>
        <v>1</v>
      </c>
    </row>
    <row r="186" spans="2:9">
      <c r="B186" s="415"/>
      <c r="C186" s="418"/>
      <c r="D186" s="421"/>
      <c r="E186" s="423"/>
      <c r="F186" s="5" t="s">
        <v>250</v>
      </c>
      <c r="G186" s="178">
        <v>290.47399999999999</v>
      </c>
      <c r="H186" s="401"/>
      <c r="I186" s="428"/>
    </row>
    <row r="187" spans="2:9">
      <c r="B187" s="415"/>
      <c r="C187" s="418"/>
      <c r="D187" s="421"/>
      <c r="E187" s="423"/>
      <c r="F187" s="5" t="s">
        <v>251</v>
      </c>
      <c r="G187" s="175">
        <v>643.13099999999997</v>
      </c>
      <c r="H187" s="401"/>
      <c r="I187" s="428"/>
    </row>
    <row r="188" spans="2:9">
      <c r="B188" s="415"/>
      <c r="C188" s="418"/>
      <c r="D188" s="421"/>
      <c r="E188" s="423"/>
      <c r="F188" s="5" t="s">
        <v>252</v>
      </c>
      <c r="G188" s="184">
        <v>92.521000000000001</v>
      </c>
      <c r="H188" s="401"/>
      <c r="I188" s="428"/>
    </row>
    <row r="189" spans="2:9" ht="15.75" thickBot="1">
      <c r="B189" s="416"/>
      <c r="C189" s="419"/>
      <c r="D189" s="422"/>
      <c r="E189" s="411"/>
      <c r="F189" s="6" t="s">
        <v>253</v>
      </c>
      <c r="G189" s="185">
        <v>973.87400000000002</v>
      </c>
      <c r="H189" s="402"/>
      <c r="I189" s="429"/>
    </row>
    <row r="190" spans="2:9" ht="15.75" thickBot="1">
      <c r="G190" s="7">
        <f>SUM(G185:G189)</f>
        <v>2000</v>
      </c>
    </row>
    <row r="192" spans="2:9" ht="15.75" thickBot="1"/>
    <row r="193" spans="2:9" ht="45.75" thickBot="1">
      <c r="B193" s="76" t="s">
        <v>117</v>
      </c>
      <c r="C193" s="77" t="s">
        <v>118</v>
      </c>
      <c r="D193" s="78" t="s">
        <v>129</v>
      </c>
      <c r="E193" s="77" t="s">
        <v>119</v>
      </c>
      <c r="F193" s="79" t="s">
        <v>120</v>
      </c>
      <c r="G193" s="78" t="s">
        <v>268</v>
      </c>
      <c r="H193" s="80" t="s">
        <v>121</v>
      </c>
      <c r="I193" s="81" t="s">
        <v>199</v>
      </c>
    </row>
    <row r="194" spans="2:9">
      <c r="B194" s="414" t="s">
        <v>122</v>
      </c>
      <c r="C194" s="417" t="s">
        <v>316</v>
      </c>
      <c r="D194" s="420" t="s">
        <v>248</v>
      </c>
      <c r="E194" s="410">
        <v>5000</v>
      </c>
      <c r="F194" s="4" t="s">
        <v>249</v>
      </c>
      <c r="G194" s="175"/>
      <c r="H194" s="400">
        <f>E194-G199</f>
        <v>0</v>
      </c>
      <c r="I194" s="427">
        <f>G199/E194</f>
        <v>1</v>
      </c>
    </row>
    <row r="195" spans="2:9">
      <c r="B195" s="415"/>
      <c r="C195" s="418"/>
      <c r="D195" s="421"/>
      <c r="E195" s="423"/>
      <c r="F195" s="5" t="s">
        <v>250</v>
      </c>
      <c r="G195" s="178">
        <v>750.78399999999999</v>
      </c>
      <c r="H195" s="401"/>
      <c r="I195" s="428"/>
    </row>
    <row r="196" spans="2:9">
      <c r="B196" s="415"/>
      <c r="C196" s="418"/>
      <c r="D196" s="421"/>
      <c r="E196" s="423"/>
      <c r="F196" s="5" t="s">
        <v>251</v>
      </c>
      <c r="G196" s="175">
        <v>2273.4830000000002</v>
      </c>
      <c r="H196" s="401"/>
      <c r="I196" s="428"/>
    </row>
    <row r="197" spans="2:9">
      <c r="B197" s="415"/>
      <c r="C197" s="418"/>
      <c r="D197" s="421"/>
      <c r="E197" s="423"/>
      <c r="F197" s="5" t="s">
        <v>252</v>
      </c>
      <c r="G197" s="184">
        <v>1090.2329999999999</v>
      </c>
      <c r="H197" s="401"/>
      <c r="I197" s="428"/>
    </row>
    <row r="198" spans="2:9" ht="15.75" thickBot="1">
      <c r="B198" s="416"/>
      <c r="C198" s="419"/>
      <c r="D198" s="422"/>
      <c r="E198" s="411"/>
      <c r="F198" s="6" t="s">
        <v>253</v>
      </c>
      <c r="G198" s="185">
        <v>885.5</v>
      </c>
      <c r="H198" s="402"/>
      <c r="I198" s="429"/>
    </row>
    <row r="199" spans="2:9" ht="15.75" thickBot="1">
      <c r="G199" s="7">
        <f>SUM(G194:G198)</f>
        <v>5000</v>
      </c>
    </row>
    <row r="200" spans="2:9">
      <c r="G200" s="123"/>
    </row>
    <row r="201" spans="2:9" ht="15.75" thickBot="1">
      <c r="G201" s="123"/>
    </row>
    <row r="202" spans="2:9" ht="45.75" thickBot="1">
      <c r="B202" s="76" t="s">
        <v>117</v>
      </c>
      <c r="C202" s="77" t="s">
        <v>118</v>
      </c>
      <c r="D202" s="78" t="s">
        <v>129</v>
      </c>
      <c r="E202" s="77" t="s">
        <v>119</v>
      </c>
      <c r="F202" s="79" t="s">
        <v>120</v>
      </c>
      <c r="G202" s="78" t="s">
        <v>268</v>
      </c>
      <c r="H202" s="80" t="s">
        <v>121</v>
      </c>
      <c r="I202" s="81" t="s">
        <v>199</v>
      </c>
    </row>
    <row r="203" spans="2:9">
      <c r="B203" s="414" t="s">
        <v>122</v>
      </c>
      <c r="C203" s="417" t="s">
        <v>346</v>
      </c>
      <c r="D203" s="420" t="s">
        <v>248</v>
      </c>
      <c r="E203" s="410">
        <v>2600</v>
      </c>
      <c r="F203" s="4" t="s">
        <v>249</v>
      </c>
      <c r="G203" s="175"/>
      <c r="H203" s="400">
        <f>E203-G208</f>
        <v>90.291000000000167</v>
      </c>
      <c r="I203" s="424">
        <f>G208/E203</f>
        <v>0.96527269230769219</v>
      </c>
    </row>
    <row r="204" spans="2:9">
      <c r="B204" s="415"/>
      <c r="C204" s="418"/>
      <c r="D204" s="421"/>
      <c r="E204" s="423"/>
      <c r="F204" s="5" t="s">
        <v>250</v>
      </c>
      <c r="G204" s="178"/>
      <c r="H204" s="401"/>
      <c r="I204" s="425"/>
    </row>
    <row r="205" spans="2:9">
      <c r="B205" s="415"/>
      <c r="C205" s="418"/>
      <c r="D205" s="421"/>
      <c r="E205" s="423"/>
      <c r="F205" s="5" t="s">
        <v>251</v>
      </c>
      <c r="G205" s="175"/>
      <c r="H205" s="401"/>
      <c r="I205" s="425"/>
    </row>
    <row r="206" spans="2:9">
      <c r="B206" s="415"/>
      <c r="C206" s="418"/>
      <c r="D206" s="421"/>
      <c r="E206" s="423"/>
      <c r="F206" s="5" t="s">
        <v>252</v>
      </c>
      <c r="G206" s="184">
        <v>2509.7089999999998</v>
      </c>
      <c r="H206" s="401"/>
      <c r="I206" s="425"/>
    </row>
    <row r="207" spans="2:9" ht="15.75" thickBot="1">
      <c r="B207" s="416"/>
      <c r="C207" s="419"/>
      <c r="D207" s="422"/>
      <c r="E207" s="411"/>
      <c r="F207" s="6" t="s">
        <v>253</v>
      </c>
      <c r="G207" s="185"/>
      <c r="H207" s="402"/>
      <c r="I207" s="426"/>
    </row>
    <row r="208" spans="2:9" ht="15.75" thickBot="1">
      <c r="G208" s="7">
        <f>SUM(G203:G207)</f>
        <v>2509.7089999999998</v>
      </c>
    </row>
    <row r="209" spans="2:9">
      <c r="G209" s="123"/>
    </row>
    <row r="210" spans="2:9" ht="15.75" thickBot="1">
      <c r="G210" s="123"/>
    </row>
    <row r="211" spans="2:9" ht="45.75" thickBot="1">
      <c r="B211" s="76" t="s">
        <v>117</v>
      </c>
      <c r="C211" s="77" t="s">
        <v>118</v>
      </c>
      <c r="D211" s="78" t="s">
        <v>129</v>
      </c>
      <c r="E211" s="77" t="s">
        <v>119</v>
      </c>
      <c r="F211" s="79" t="s">
        <v>120</v>
      </c>
      <c r="G211" s="78" t="s">
        <v>268</v>
      </c>
      <c r="H211" s="80" t="s">
        <v>121</v>
      </c>
      <c r="I211" s="81" t="s">
        <v>199</v>
      </c>
    </row>
    <row r="212" spans="2:9">
      <c r="B212" s="414" t="s">
        <v>122</v>
      </c>
      <c r="C212" s="417" t="s">
        <v>350</v>
      </c>
      <c r="D212" s="420" t="s">
        <v>248</v>
      </c>
      <c r="E212" s="410">
        <v>700</v>
      </c>
      <c r="F212" s="4" t="s">
        <v>249</v>
      </c>
      <c r="G212" s="175"/>
      <c r="H212" s="400">
        <f>E212-G217</f>
        <v>0</v>
      </c>
      <c r="I212" s="403">
        <f>G217/E212</f>
        <v>1</v>
      </c>
    </row>
    <row r="213" spans="2:9">
      <c r="B213" s="415"/>
      <c r="C213" s="418"/>
      <c r="D213" s="421"/>
      <c r="E213" s="423"/>
      <c r="F213" s="5" t="s">
        <v>250</v>
      </c>
      <c r="G213" s="178"/>
      <c r="H213" s="401"/>
      <c r="I213" s="404"/>
    </row>
    <row r="214" spans="2:9">
      <c r="B214" s="415"/>
      <c r="C214" s="418"/>
      <c r="D214" s="421"/>
      <c r="E214" s="423"/>
      <c r="F214" s="5" t="s">
        <v>251</v>
      </c>
      <c r="G214" s="175">
        <v>700</v>
      </c>
      <c r="H214" s="401"/>
      <c r="I214" s="404"/>
    </row>
    <row r="215" spans="2:9">
      <c r="B215" s="415"/>
      <c r="C215" s="418"/>
      <c r="D215" s="421"/>
      <c r="E215" s="423"/>
      <c r="F215" s="5" t="s">
        <v>252</v>
      </c>
      <c r="G215" s="184"/>
      <c r="H215" s="401"/>
      <c r="I215" s="404"/>
    </row>
    <row r="216" spans="2:9" ht="15.75" thickBot="1">
      <c r="B216" s="416"/>
      <c r="C216" s="419"/>
      <c r="D216" s="422"/>
      <c r="E216" s="411"/>
      <c r="F216" s="6" t="s">
        <v>253</v>
      </c>
      <c r="G216" s="185"/>
      <c r="H216" s="402"/>
      <c r="I216" s="405"/>
    </row>
    <row r="217" spans="2:9" ht="15.75" thickBot="1">
      <c r="G217" s="7">
        <f>SUM(G212:G216)</f>
        <v>700</v>
      </c>
    </row>
    <row r="218" spans="2:9">
      <c r="G218" s="123"/>
    </row>
    <row r="219" spans="2:9" ht="15.75" thickBot="1">
      <c r="G219" s="123"/>
    </row>
    <row r="220" spans="2:9" ht="45.75" thickBot="1">
      <c r="B220" s="76" t="s">
        <v>117</v>
      </c>
      <c r="C220" s="77" t="s">
        <v>118</v>
      </c>
      <c r="D220" s="78" t="s">
        <v>129</v>
      </c>
      <c r="E220" s="77" t="s">
        <v>119</v>
      </c>
      <c r="F220" s="79" t="s">
        <v>120</v>
      </c>
      <c r="G220" s="78" t="s">
        <v>268</v>
      </c>
      <c r="H220" s="80" t="s">
        <v>121</v>
      </c>
      <c r="I220" s="81" t="s">
        <v>199</v>
      </c>
    </row>
    <row r="221" spans="2:9">
      <c r="B221" s="414" t="s">
        <v>122</v>
      </c>
      <c r="C221" s="417" t="s">
        <v>365</v>
      </c>
      <c r="D221" s="420" t="s">
        <v>248</v>
      </c>
      <c r="E221" s="410">
        <v>164.44</v>
      </c>
      <c r="F221" s="4" t="s">
        <v>249</v>
      </c>
      <c r="G221" s="175">
        <v>164.44</v>
      </c>
      <c r="H221" s="400">
        <f>E221-G226</f>
        <v>0</v>
      </c>
      <c r="I221" s="403">
        <f>G226/E221</f>
        <v>1</v>
      </c>
    </row>
    <row r="222" spans="2:9">
      <c r="B222" s="415"/>
      <c r="C222" s="418"/>
      <c r="D222" s="421"/>
      <c r="E222" s="423"/>
      <c r="F222" s="5" t="s">
        <v>250</v>
      </c>
      <c r="G222" s="178"/>
      <c r="H222" s="401"/>
      <c r="I222" s="404"/>
    </row>
    <row r="223" spans="2:9">
      <c r="B223" s="415"/>
      <c r="C223" s="418"/>
      <c r="D223" s="421"/>
      <c r="E223" s="423"/>
      <c r="F223" s="5" t="s">
        <v>251</v>
      </c>
      <c r="G223" s="175"/>
      <c r="H223" s="401"/>
      <c r="I223" s="404"/>
    </row>
    <row r="224" spans="2:9">
      <c r="B224" s="415"/>
      <c r="C224" s="418"/>
      <c r="D224" s="421"/>
      <c r="E224" s="423"/>
      <c r="F224" s="5" t="s">
        <v>252</v>
      </c>
      <c r="G224" s="184"/>
      <c r="H224" s="401"/>
      <c r="I224" s="404"/>
    </row>
    <row r="225" spans="2:9" ht="15.75" thickBot="1">
      <c r="B225" s="416"/>
      <c r="C225" s="419"/>
      <c r="D225" s="422"/>
      <c r="E225" s="411"/>
      <c r="F225" s="6" t="s">
        <v>253</v>
      </c>
      <c r="G225" s="185"/>
      <c r="H225" s="402"/>
      <c r="I225" s="405"/>
    </row>
    <row r="226" spans="2:9" ht="15.75" thickBot="1">
      <c r="G226" s="7">
        <f>SUM(G221:G225)</f>
        <v>164.44</v>
      </c>
    </row>
    <row r="227" spans="2:9">
      <c r="G227" s="123"/>
    </row>
    <row r="228" spans="2:9" ht="15.75" thickBot="1">
      <c r="G228" s="123"/>
    </row>
    <row r="229" spans="2:9" ht="45.75" thickBot="1">
      <c r="B229" s="76" t="s">
        <v>117</v>
      </c>
      <c r="C229" s="77" t="s">
        <v>118</v>
      </c>
      <c r="D229" s="78" t="s">
        <v>129</v>
      </c>
      <c r="E229" s="77" t="s">
        <v>119</v>
      </c>
      <c r="F229" s="79" t="s">
        <v>120</v>
      </c>
      <c r="G229" s="78" t="s">
        <v>268</v>
      </c>
      <c r="H229" s="80" t="s">
        <v>121</v>
      </c>
      <c r="I229" s="81" t="s">
        <v>199</v>
      </c>
    </row>
    <row r="230" spans="2:9" ht="25.5" customHeight="1" thickBot="1">
      <c r="B230" s="137" t="s">
        <v>122</v>
      </c>
      <c r="C230" s="138" t="s">
        <v>258</v>
      </c>
      <c r="D230" s="139" t="s">
        <v>256</v>
      </c>
      <c r="E230" s="140">
        <v>1500</v>
      </c>
      <c r="F230" s="141" t="s">
        <v>257</v>
      </c>
      <c r="G230" s="186">
        <v>1500</v>
      </c>
      <c r="H230" s="141">
        <f>E230-G231</f>
        <v>0</v>
      </c>
      <c r="I230" s="158">
        <f>G231/E230</f>
        <v>1</v>
      </c>
    </row>
    <row r="231" spans="2:9" ht="15.75" thickBot="1">
      <c r="B231" s="52"/>
      <c r="C231" s="52"/>
      <c r="D231" s="52"/>
      <c r="E231" s="52"/>
      <c r="F231" s="52"/>
      <c r="G231" s="142">
        <f>SUM(G230:G230)</f>
        <v>1500</v>
      </c>
      <c r="H231" s="52"/>
      <c r="I231" s="52"/>
    </row>
    <row r="233" spans="2:9" ht="15.75" thickBot="1"/>
    <row r="234" spans="2:9" ht="45.75" thickBot="1">
      <c r="B234" s="76" t="s">
        <v>117</v>
      </c>
      <c r="C234" s="77" t="s">
        <v>118</v>
      </c>
      <c r="D234" s="78" t="s">
        <v>129</v>
      </c>
      <c r="E234" s="77" t="s">
        <v>119</v>
      </c>
      <c r="F234" s="79" t="s">
        <v>120</v>
      </c>
      <c r="G234" s="78" t="s">
        <v>268</v>
      </c>
      <c r="H234" s="80" t="s">
        <v>121</v>
      </c>
      <c r="I234" s="81" t="s">
        <v>199</v>
      </c>
    </row>
    <row r="235" spans="2:9" ht="29.25" customHeight="1" thickBot="1">
      <c r="B235" s="137" t="s">
        <v>122</v>
      </c>
      <c r="C235" s="138" t="s">
        <v>277</v>
      </c>
      <c r="D235" s="139" t="s">
        <v>256</v>
      </c>
      <c r="E235" s="140">
        <v>1500</v>
      </c>
      <c r="F235" s="141" t="s">
        <v>257</v>
      </c>
      <c r="G235" s="186">
        <v>1500</v>
      </c>
      <c r="H235" s="141">
        <f>E235-G236</f>
        <v>0</v>
      </c>
      <c r="I235" s="158">
        <f>G236/E235</f>
        <v>1</v>
      </c>
    </row>
    <row r="236" spans="2:9" ht="15.75" thickBot="1">
      <c r="B236" s="52"/>
      <c r="C236" s="52"/>
      <c r="D236" s="52"/>
      <c r="E236" s="52"/>
      <c r="F236" s="52"/>
      <c r="G236" s="142">
        <f>SUM(G235:G235)</f>
        <v>1500</v>
      </c>
      <c r="H236" s="52"/>
      <c r="I236" s="52"/>
    </row>
    <row r="238" spans="2:9" ht="15.75" thickBot="1"/>
    <row r="239" spans="2:9" ht="45.75" thickBot="1">
      <c r="B239" s="76" t="s">
        <v>117</v>
      </c>
      <c r="C239" s="77" t="s">
        <v>118</v>
      </c>
      <c r="D239" s="78" t="s">
        <v>129</v>
      </c>
      <c r="E239" s="77" t="s">
        <v>119</v>
      </c>
      <c r="F239" s="79" t="s">
        <v>120</v>
      </c>
      <c r="G239" s="78" t="s">
        <v>268</v>
      </c>
      <c r="H239" s="80" t="s">
        <v>121</v>
      </c>
      <c r="I239" s="81" t="s">
        <v>199</v>
      </c>
    </row>
    <row r="240" spans="2:9" ht="15.75" thickBot="1">
      <c r="B240" s="137" t="s">
        <v>122</v>
      </c>
      <c r="C240" s="138" t="s">
        <v>318</v>
      </c>
      <c r="D240" s="139" t="s">
        <v>256</v>
      </c>
      <c r="E240" s="140">
        <v>3000</v>
      </c>
      <c r="F240" s="141" t="s">
        <v>257</v>
      </c>
      <c r="G240" s="186">
        <v>3000</v>
      </c>
      <c r="H240" s="141">
        <f>E240-G241</f>
        <v>0</v>
      </c>
      <c r="I240" s="158">
        <f>G241/E240</f>
        <v>1</v>
      </c>
    </row>
    <row r="241" spans="2:9" ht="15.75" thickBot="1">
      <c r="B241" s="52"/>
      <c r="C241" s="52"/>
      <c r="D241" s="52"/>
      <c r="E241" s="52"/>
      <c r="F241" s="52"/>
      <c r="G241" s="142">
        <f>SUM(G240:G240)</f>
        <v>3000</v>
      </c>
      <c r="H241" s="52"/>
      <c r="I241" s="52"/>
    </row>
    <row r="243" spans="2:9" ht="15.75" thickBot="1"/>
    <row r="244" spans="2:9" ht="45.75" thickBot="1">
      <c r="B244" s="76" t="s">
        <v>117</v>
      </c>
      <c r="C244" s="77" t="s">
        <v>118</v>
      </c>
      <c r="D244" s="78" t="s">
        <v>129</v>
      </c>
      <c r="E244" s="77" t="s">
        <v>119</v>
      </c>
      <c r="F244" s="79" t="s">
        <v>120</v>
      </c>
      <c r="G244" s="78" t="s">
        <v>268</v>
      </c>
      <c r="H244" s="80" t="s">
        <v>121</v>
      </c>
      <c r="I244" s="81" t="s">
        <v>199</v>
      </c>
    </row>
    <row r="245" spans="2:9" ht="15.75" thickBot="1">
      <c r="B245" s="137" t="s">
        <v>122</v>
      </c>
      <c r="C245" s="138" t="s">
        <v>356</v>
      </c>
      <c r="D245" s="139" t="s">
        <v>256</v>
      </c>
      <c r="E245" s="140">
        <v>2500</v>
      </c>
      <c r="F245" s="141" t="s">
        <v>257</v>
      </c>
      <c r="G245" s="186">
        <v>372.86</v>
      </c>
      <c r="H245" s="141">
        <f>E245-G246</f>
        <v>2127.14</v>
      </c>
      <c r="I245" s="160">
        <f>G246/E245</f>
        <v>0.149144</v>
      </c>
    </row>
    <row r="246" spans="2:9" ht="15.75" thickBot="1">
      <c r="B246" s="52"/>
      <c r="C246" s="52"/>
      <c r="D246" s="52"/>
      <c r="E246" s="52"/>
      <c r="F246" s="52"/>
      <c r="G246" s="142">
        <f>SUM(G245:G245)</f>
        <v>372.86</v>
      </c>
      <c r="H246" s="52"/>
      <c r="I246" s="52"/>
    </row>
    <row r="248" spans="2:9" ht="15.75" thickBot="1"/>
    <row r="249" spans="2:9" ht="45.75" thickBot="1">
      <c r="B249" s="76" t="s">
        <v>117</v>
      </c>
      <c r="C249" s="77" t="s">
        <v>118</v>
      </c>
      <c r="D249" s="78" t="s">
        <v>129</v>
      </c>
      <c r="E249" s="77" t="s">
        <v>119</v>
      </c>
      <c r="F249" s="79" t="s">
        <v>120</v>
      </c>
      <c r="G249" s="78" t="s">
        <v>268</v>
      </c>
      <c r="H249" s="80" t="s">
        <v>121</v>
      </c>
      <c r="I249" s="81" t="s">
        <v>199</v>
      </c>
    </row>
    <row r="250" spans="2:9">
      <c r="B250" s="461" t="s">
        <v>122</v>
      </c>
      <c r="C250" s="462" t="s">
        <v>261</v>
      </c>
      <c r="D250" s="463" t="s">
        <v>265</v>
      </c>
      <c r="E250" s="442">
        <v>2000</v>
      </c>
      <c r="F250" s="136" t="s">
        <v>262</v>
      </c>
      <c r="G250" s="187">
        <v>529.33900000000006</v>
      </c>
      <c r="H250" s="442">
        <f>E250-G253</f>
        <v>0</v>
      </c>
      <c r="I250" s="465">
        <f>G253/E250</f>
        <v>1</v>
      </c>
    </row>
    <row r="251" spans="2:9">
      <c r="B251" s="434"/>
      <c r="C251" s="446"/>
      <c r="D251" s="440"/>
      <c r="E251" s="423"/>
      <c r="F251" s="144" t="s">
        <v>263</v>
      </c>
      <c r="G251" s="188">
        <v>881.89599999999996</v>
      </c>
      <c r="H251" s="423"/>
      <c r="I251" s="466"/>
    </row>
    <row r="252" spans="2:9" ht="15.75" thickBot="1">
      <c r="B252" s="435"/>
      <c r="C252" s="447"/>
      <c r="D252" s="441"/>
      <c r="E252" s="411"/>
      <c r="F252" s="145" t="s">
        <v>264</v>
      </c>
      <c r="G252" s="176">
        <v>588.76499999999999</v>
      </c>
      <c r="H252" s="411"/>
      <c r="I252" s="467"/>
    </row>
    <row r="253" spans="2:9" ht="15.75" thickBot="1">
      <c r="G253" s="143">
        <f>SUM(G250:G252)</f>
        <v>2000</v>
      </c>
    </row>
    <row r="255" spans="2:9" ht="15.75" thickBot="1"/>
    <row r="256" spans="2:9" ht="45.75" thickBot="1">
      <c r="B256" s="76" t="s">
        <v>117</v>
      </c>
      <c r="C256" s="77" t="s">
        <v>118</v>
      </c>
      <c r="D256" s="78" t="s">
        <v>129</v>
      </c>
      <c r="E256" s="77" t="s">
        <v>119</v>
      </c>
      <c r="F256" s="79" t="s">
        <v>120</v>
      </c>
      <c r="G256" s="78" t="s">
        <v>268</v>
      </c>
      <c r="H256" s="80" t="s">
        <v>121</v>
      </c>
      <c r="I256" s="81" t="s">
        <v>199</v>
      </c>
    </row>
    <row r="257" spans="2:9">
      <c r="B257" s="461" t="s">
        <v>122</v>
      </c>
      <c r="C257" s="462" t="s">
        <v>361</v>
      </c>
      <c r="D257" s="463" t="s">
        <v>265</v>
      </c>
      <c r="E257" s="442">
        <v>2000</v>
      </c>
      <c r="F257" s="136" t="s">
        <v>262</v>
      </c>
      <c r="G257" s="187">
        <v>855.79200000000003</v>
      </c>
      <c r="H257" s="442">
        <f>E257-G260</f>
        <v>0</v>
      </c>
      <c r="I257" s="465">
        <f>G260/E257</f>
        <v>1.0000000000000002</v>
      </c>
    </row>
    <row r="258" spans="2:9">
      <c r="B258" s="434"/>
      <c r="C258" s="446"/>
      <c r="D258" s="440"/>
      <c r="E258" s="423"/>
      <c r="F258" s="144" t="s">
        <v>263</v>
      </c>
      <c r="G258" s="188">
        <v>1065.45</v>
      </c>
      <c r="H258" s="423"/>
      <c r="I258" s="466"/>
    </row>
    <row r="259" spans="2:9" ht="15.75" thickBot="1">
      <c r="B259" s="435"/>
      <c r="C259" s="447"/>
      <c r="D259" s="441"/>
      <c r="E259" s="411"/>
      <c r="F259" s="145" t="s">
        <v>264</v>
      </c>
      <c r="G259" s="176">
        <v>78.757999999999996</v>
      </c>
      <c r="H259" s="411"/>
      <c r="I259" s="467"/>
    </row>
    <row r="260" spans="2:9" ht="15.75" thickBot="1">
      <c r="G260" s="143">
        <f>SUM(G257:G259)</f>
        <v>2000.0000000000002</v>
      </c>
    </row>
    <row r="262" spans="2:9" ht="15.75" thickBot="1"/>
    <row r="263" spans="2:9" ht="45.75" thickBot="1">
      <c r="B263" s="76" t="s">
        <v>117</v>
      </c>
      <c r="C263" s="77" t="s">
        <v>118</v>
      </c>
      <c r="D263" s="78" t="s">
        <v>129</v>
      </c>
      <c r="E263" s="77" t="s">
        <v>119</v>
      </c>
      <c r="F263" s="79" t="s">
        <v>120</v>
      </c>
      <c r="G263" s="78" t="s">
        <v>268</v>
      </c>
      <c r="H263" s="80" t="s">
        <v>121</v>
      </c>
      <c r="I263" s="81" t="s">
        <v>199</v>
      </c>
    </row>
    <row r="264" spans="2:9">
      <c r="B264" s="461" t="s">
        <v>122</v>
      </c>
      <c r="C264" s="462" t="s">
        <v>364</v>
      </c>
      <c r="D264" s="463" t="s">
        <v>265</v>
      </c>
      <c r="E264" s="442">
        <v>300</v>
      </c>
      <c r="F264" s="136" t="s">
        <v>362</v>
      </c>
      <c r="G264" s="187">
        <v>300</v>
      </c>
      <c r="H264" s="442">
        <f>E264-G266</f>
        <v>0</v>
      </c>
      <c r="I264" s="464">
        <f>G266/E264</f>
        <v>1</v>
      </c>
    </row>
    <row r="265" spans="2:9" ht="15.75" thickBot="1">
      <c r="B265" s="435"/>
      <c r="C265" s="447"/>
      <c r="D265" s="441"/>
      <c r="E265" s="411"/>
      <c r="F265" s="145" t="s">
        <v>363</v>
      </c>
      <c r="G265" s="176"/>
      <c r="H265" s="411"/>
      <c r="I265" s="432"/>
    </row>
    <row r="266" spans="2:9" ht="15.75" thickBot="1">
      <c r="G266" s="143">
        <f>SUM(G264:G265)</f>
        <v>300</v>
      </c>
    </row>
  </sheetData>
  <mergeCells count="188">
    <mergeCell ref="I250:I252"/>
    <mergeCell ref="B250:B252"/>
    <mergeCell ref="C250:C252"/>
    <mergeCell ref="D250:D252"/>
    <mergeCell ref="E250:E252"/>
    <mergeCell ref="H250:H252"/>
    <mergeCell ref="B257:B259"/>
    <mergeCell ref="C257:C259"/>
    <mergeCell ref="D257:D259"/>
    <mergeCell ref="E257:E259"/>
    <mergeCell ref="H257:H259"/>
    <mergeCell ref="I257:I259"/>
    <mergeCell ref="B264:B265"/>
    <mergeCell ref="C264:C265"/>
    <mergeCell ref="D264:D265"/>
    <mergeCell ref="E264:E265"/>
    <mergeCell ref="H264:H265"/>
    <mergeCell ref="I264:I265"/>
    <mergeCell ref="B194:B198"/>
    <mergeCell ref="C194:C198"/>
    <mergeCell ref="D194:D198"/>
    <mergeCell ref="E194:E198"/>
    <mergeCell ref="H194:H198"/>
    <mergeCell ref="C212:C216"/>
    <mergeCell ref="I194:I198"/>
    <mergeCell ref="D212:D216"/>
    <mergeCell ref="E212:E216"/>
    <mergeCell ref="I212:I216"/>
    <mergeCell ref="B212:B216"/>
    <mergeCell ref="H212:H216"/>
    <mergeCell ref="B221:B225"/>
    <mergeCell ref="C221:C225"/>
    <mergeCell ref="D221:D225"/>
    <mergeCell ref="E221:E225"/>
    <mergeCell ref="H221:H225"/>
    <mergeCell ref="I221:I225"/>
    <mergeCell ref="H161:H162"/>
    <mergeCell ref="I161:I162"/>
    <mergeCell ref="E149:E150"/>
    <mergeCell ref="H149:H150"/>
    <mergeCell ref="I149:I150"/>
    <mergeCell ref="B155:B156"/>
    <mergeCell ref="C155:C156"/>
    <mergeCell ref="D155:D156"/>
    <mergeCell ref="E155:E156"/>
    <mergeCell ref="H155:H156"/>
    <mergeCell ref="B2:I2"/>
    <mergeCell ref="B3:I3"/>
    <mergeCell ref="B6:B8"/>
    <mergeCell ref="C6:C8"/>
    <mergeCell ref="D6:D8"/>
    <mergeCell ref="E6:E8"/>
    <mergeCell ref="H6:H8"/>
    <mergeCell ref="I6:I8"/>
    <mergeCell ref="B48:B52"/>
    <mergeCell ref="C48:C52"/>
    <mergeCell ref="D48:D52"/>
    <mergeCell ref="I13:I15"/>
    <mergeCell ref="B13:B15"/>
    <mergeCell ref="C13:C15"/>
    <mergeCell ref="D13:D15"/>
    <mergeCell ref="E13:E15"/>
    <mergeCell ref="H13:H15"/>
    <mergeCell ref="I27:I29"/>
    <mergeCell ref="I20:I22"/>
    <mergeCell ref="B20:B22"/>
    <mergeCell ref="C20:C22"/>
    <mergeCell ref="D20:D22"/>
    <mergeCell ref="B41:B43"/>
    <mergeCell ref="C41:C43"/>
    <mergeCell ref="B102:B106"/>
    <mergeCell ref="C102:C106"/>
    <mergeCell ref="D102:D106"/>
    <mergeCell ref="E102:E106"/>
    <mergeCell ref="H102:H106"/>
    <mergeCell ref="I102:I106"/>
    <mergeCell ref="B185:B189"/>
    <mergeCell ref="C185:C189"/>
    <mergeCell ref="D185:D189"/>
    <mergeCell ref="E185:E189"/>
    <mergeCell ref="H185:H189"/>
    <mergeCell ref="I155:I156"/>
    <mergeCell ref="B167:B171"/>
    <mergeCell ref="C167:C171"/>
    <mergeCell ref="D167:D171"/>
    <mergeCell ref="E167:E171"/>
    <mergeCell ref="H167:H171"/>
    <mergeCell ref="H120:H124"/>
    <mergeCell ref="B137:B138"/>
    <mergeCell ref="I143:I144"/>
    <mergeCell ref="B149:B150"/>
    <mergeCell ref="C149:C150"/>
    <mergeCell ref="D149:D150"/>
    <mergeCell ref="B161:B162"/>
    <mergeCell ref="B84:B88"/>
    <mergeCell ref="C84:C88"/>
    <mergeCell ref="D84:D88"/>
    <mergeCell ref="B57:B61"/>
    <mergeCell ref="C57:C61"/>
    <mergeCell ref="D57:D61"/>
    <mergeCell ref="B75:B79"/>
    <mergeCell ref="B66:B70"/>
    <mergeCell ref="C66:C70"/>
    <mergeCell ref="D66:D70"/>
    <mergeCell ref="C75:C79"/>
    <mergeCell ref="E75:E79"/>
    <mergeCell ref="H75:H79"/>
    <mergeCell ref="I93:I97"/>
    <mergeCell ref="E143:E144"/>
    <mergeCell ref="H143:H144"/>
    <mergeCell ref="B93:B97"/>
    <mergeCell ref="C93:C97"/>
    <mergeCell ref="D93:D97"/>
    <mergeCell ref="E93:E97"/>
    <mergeCell ref="H93:H97"/>
    <mergeCell ref="D131:D132"/>
    <mergeCell ref="D137:D138"/>
    <mergeCell ref="B131:B132"/>
    <mergeCell ref="C131:C132"/>
    <mergeCell ref="E137:E138"/>
    <mergeCell ref="H137:H138"/>
    <mergeCell ref="B143:B144"/>
    <mergeCell ref="C143:C144"/>
    <mergeCell ref="D143:D144"/>
    <mergeCell ref="B111:B115"/>
    <mergeCell ref="C137:C138"/>
    <mergeCell ref="I111:I115"/>
    <mergeCell ref="B120:B124"/>
    <mergeCell ref="C120:C124"/>
    <mergeCell ref="B27:B29"/>
    <mergeCell ref="C27:C29"/>
    <mergeCell ref="E20:E22"/>
    <mergeCell ref="H20:H22"/>
    <mergeCell ref="E41:E43"/>
    <mergeCell ref="H41:H43"/>
    <mergeCell ref="D27:D29"/>
    <mergeCell ref="E27:E29"/>
    <mergeCell ref="H27:H29"/>
    <mergeCell ref="D34:D36"/>
    <mergeCell ref="E34:E36"/>
    <mergeCell ref="I75:I79"/>
    <mergeCell ref="B34:B36"/>
    <mergeCell ref="H34:H36"/>
    <mergeCell ref="I34:I36"/>
    <mergeCell ref="D41:D43"/>
    <mergeCell ref="H48:H52"/>
    <mergeCell ref="I48:I52"/>
    <mergeCell ref="C111:C115"/>
    <mergeCell ref="D111:D115"/>
    <mergeCell ref="E111:E115"/>
    <mergeCell ref="H111:H115"/>
    <mergeCell ref="C34:C36"/>
    <mergeCell ref="I84:I88"/>
    <mergeCell ref="D75:D79"/>
    <mergeCell ref="E66:E70"/>
    <mergeCell ref="H66:H70"/>
    <mergeCell ref="I66:I70"/>
    <mergeCell ref="E48:E52"/>
    <mergeCell ref="I41:I43"/>
    <mergeCell ref="I57:I61"/>
    <mergeCell ref="E57:E61"/>
    <mergeCell ref="H57:H61"/>
    <mergeCell ref="E84:E88"/>
    <mergeCell ref="H84:H88"/>
    <mergeCell ref="I120:I124"/>
    <mergeCell ref="H176:H180"/>
    <mergeCell ref="I167:I171"/>
    <mergeCell ref="I137:I138"/>
    <mergeCell ref="I131:I132"/>
    <mergeCell ref="E131:E132"/>
    <mergeCell ref="H131:H132"/>
    <mergeCell ref="B203:B207"/>
    <mergeCell ref="C203:C207"/>
    <mergeCell ref="D203:D207"/>
    <mergeCell ref="E203:E207"/>
    <mergeCell ref="H203:H207"/>
    <mergeCell ref="I203:I207"/>
    <mergeCell ref="D120:D124"/>
    <mergeCell ref="E120:E124"/>
    <mergeCell ref="I176:I180"/>
    <mergeCell ref="B176:B180"/>
    <mergeCell ref="I185:I189"/>
    <mergeCell ref="C176:C180"/>
    <mergeCell ref="D176:D180"/>
    <mergeCell ref="E176:E180"/>
    <mergeCell ref="C161:C162"/>
    <mergeCell ref="D161:D162"/>
    <mergeCell ref="E161:E16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B1:J88"/>
  <sheetViews>
    <sheetView showGridLines="0" topLeftCell="B1" workbookViewId="0">
      <selection activeCell="I34" sqref="I34:I56"/>
    </sheetView>
  </sheetViews>
  <sheetFormatPr baseColWidth="10" defaultRowHeight="15"/>
  <cols>
    <col min="1" max="1" width="35.7109375" style="45" customWidth="1"/>
    <col min="2" max="2" width="8.7109375" style="45" customWidth="1"/>
    <col min="3" max="3" width="14" style="45" customWidth="1"/>
    <col min="4" max="4" width="11.140625" style="45" customWidth="1"/>
    <col min="5" max="5" width="14.140625" style="45" customWidth="1"/>
    <col min="6" max="6" width="22.5703125" style="45" customWidth="1"/>
    <col min="7" max="7" width="12" style="45" customWidth="1"/>
    <col min="8" max="8" width="14" style="52" customWidth="1"/>
    <col min="9" max="9" width="12.140625" style="45" customWidth="1"/>
    <col min="10" max="16384" width="11.42578125" style="45"/>
  </cols>
  <sheetData>
    <row r="1" spans="2:10" ht="21" customHeight="1" thickBot="1"/>
    <row r="2" spans="2:10" ht="24" customHeight="1">
      <c r="B2" s="468" t="s">
        <v>313</v>
      </c>
      <c r="C2" s="469"/>
      <c r="D2" s="469"/>
      <c r="E2" s="469"/>
      <c r="F2" s="469"/>
      <c r="G2" s="469"/>
      <c r="H2" s="469"/>
      <c r="I2" s="469"/>
      <c r="J2" s="470"/>
    </row>
    <row r="3" spans="2:10" ht="12" customHeight="1">
      <c r="B3" s="480" t="s">
        <v>323</v>
      </c>
      <c r="C3" s="481"/>
      <c r="D3" s="481"/>
      <c r="E3" s="481"/>
      <c r="F3" s="481"/>
      <c r="G3" s="481"/>
      <c r="H3" s="481"/>
      <c r="I3" s="481"/>
      <c r="J3" s="482"/>
    </row>
    <row r="4" spans="2:10" ht="13.5" customHeight="1" thickBot="1">
      <c r="B4" s="471">
        <v>43465</v>
      </c>
      <c r="C4" s="472"/>
      <c r="D4" s="472"/>
      <c r="E4" s="472"/>
      <c r="F4" s="472"/>
      <c r="G4" s="472"/>
      <c r="H4" s="472"/>
      <c r="I4" s="472"/>
      <c r="J4" s="473"/>
    </row>
    <row r="5" spans="2:10" ht="25.5" customHeight="1" thickBot="1">
      <c r="B5" s="166"/>
      <c r="C5" s="166"/>
      <c r="D5" s="166"/>
      <c r="E5" s="166"/>
      <c r="F5" s="167"/>
      <c r="G5" s="166"/>
      <c r="H5" s="166"/>
      <c r="I5" s="166"/>
    </row>
    <row r="6" spans="2:10" ht="22.5" customHeight="1" thickBot="1">
      <c r="B6" s="199" t="s">
        <v>314</v>
      </c>
      <c r="C6" s="200" t="s">
        <v>266</v>
      </c>
      <c r="D6" s="200" t="s">
        <v>272</v>
      </c>
      <c r="E6" s="200" t="s">
        <v>267</v>
      </c>
      <c r="F6" s="200" t="s">
        <v>324</v>
      </c>
      <c r="G6" s="200" t="s">
        <v>143</v>
      </c>
      <c r="H6" s="200" t="s">
        <v>268</v>
      </c>
      <c r="I6" s="200" t="s">
        <v>147</v>
      </c>
      <c r="J6" s="201" t="s">
        <v>315</v>
      </c>
    </row>
    <row r="7" spans="2:10">
      <c r="B7" s="215" t="s">
        <v>269</v>
      </c>
      <c r="C7" s="246">
        <v>836</v>
      </c>
      <c r="D7" s="246" t="s">
        <v>49</v>
      </c>
      <c r="E7" s="246">
        <v>951110</v>
      </c>
      <c r="F7" s="246" t="s">
        <v>270</v>
      </c>
      <c r="G7" s="474">
        <v>500.93799999999999</v>
      </c>
      <c r="H7" s="259">
        <v>128.21799999999999</v>
      </c>
      <c r="I7" s="476">
        <f>G7-H7-H8</f>
        <v>263.654</v>
      </c>
      <c r="J7" s="483">
        <f>SUM(H7:H8)/G7</f>
        <v>0.47367937748783284</v>
      </c>
    </row>
    <row r="8" spans="2:10" ht="15.75" thickBot="1">
      <c r="B8" s="216" t="s">
        <v>269</v>
      </c>
      <c r="C8" s="248">
        <v>836</v>
      </c>
      <c r="D8" s="248" t="s">
        <v>49</v>
      </c>
      <c r="E8" s="248">
        <v>960352</v>
      </c>
      <c r="F8" s="248" t="s">
        <v>271</v>
      </c>
      <c r="G8" s="475"/>
      <c r="H8" s="260">
        <v>109.066</v>
      </c>
      <c r="I8" s="477"/>
      <c r="J8" s="484"/>
    </row>
    <row r="9" spans="2:10">
      <c r="B9" s="215" t="s">
        <v>269</v>
      </c>
      <c r="C9" s="246">
        <v>2299</v>
      </c>
      <c r="D9" s="246" t="s">
        <v>49</v>
      </c>
      <c r="E9" s="246">
        <v>955847</v>
      </c>
      <c r="F9" s="246" t="s">
        <v>279</v>
      </c>
      <c r="G9" s="474">
        <v>1000</v>
      </c>
      <c r="H9" s="243"/>
      <c r="I9" s="476">
        <f>G9-H9-H10-H11-H12-H13</f>
        <v>1000</v>
      </c>
      <c r="J9" s="483">
        <f>SUM(H9:H13)/G9</f>
        <v>0</v>
      </c>
    </row>
    <row r="10" spans="2:10">
      <c r="B10" s="217" t="s">
        <v>269</v>
      </c>
      <c r="C10" s="247">
        <v>2299</v>
      </c>
      <c r="D10" s="247" t="s">
        <v>49</v>
      </c>
      <c r="E10" s="247">
        <v>963802</v>
      </c>
      <c r="F10" s="247" t="s">
        <v>280</v>
      </c>
      <c r="G10" s="478"/>
      <c r="H10" s="249"/>
      <c r="I10" s="479"/>
      <c r="J10" s="390"/>
    </row>
    <row r="11" spans="2:10">
      <c r="B11" s="217" t="s">
        <v>269</v>
      </c>
      <c r="C11" s="247">
        <v>2299</v>
      </c>
      <c r="D11" s="247" t="s">
        <v>49</v>
      </c>
      <c r="E11" s="247">
        <v>950657</v>
      </c>
      <c r="F11" s="247" t="s">
        <v>281</v>
      </c>
      <c r="G11" s="478"/>
      <c r="H11" s="249"/>
      <c r="I11" s="479"/>
      <c r="J11" s="390"/>
    </row>
    <row r="12" spans="2:10">
      <c r="B12" s="217" t="s">
        <v>269</v>
      </c>
      <c r="C12" s="247">
        <v>2299</v>
      </c>
      <c r="D12" s="247" t="s">
        <v>49</v>
      </c>
      <c r="E12" s="247">
        <v>962529</v>
      </c>
      <c r="F12" s="247" t="s">
        <v>282</v>
      </c>
      <c r="G12" s="478"/>
      <c r="H12" s="249"/>
      <c r="I12" s="479"/>
      <c r="J12" s="390"/>
    </row>
    <row r="13" spans="2:10" ht="15.75" thickBot="1">
      <c r="B13" s="216" t="s">
        <v>269</v>
      </c>
      <c r="C13" s="248">
        <v>2299</v>
      </c>
      <c r="D13" s="248" t="s">
        <v>49</v>
      </c>
      <c r="E13" s="248">
        <v>955947</v>
      </c>
      <c r="F13" s="248" t="s">
        <v>283</v>
      </c>
      <c r="G13" s="475"/>
      <c r="H13" s="244"/>
      <c r="I13" s="477"/>
      <c r="J13" s="484"/>
    </row>
    <row r="14" spans="2:10">
      <c r="B14" s="215" t="s">
        <v>269</v>
      </c>
      <c r="C14" s="246">
        <v>2356</v>
      </c>
      <c r="D14" s="246" t="s">
        <v>49</v>
      </c>
      <c r="E14" s="218">
        <v>913444</v>
      </c>
      <c r="F14" s="218" t="s">
        <v>286</v>
      </c>
      <c r="G14" s="474">
        <v>0</v>
      </c>
      <c r="H14" s="243"/>
      <c r="I14" s="476">
        <f>G14-H14-H15-H16-H17-H18-H19-H20-H21-H22-H23-H24-H25-H26-H27-H28-H29-H30-H31</f>
        <v>0</v>
      </c>
      <c r="J14" s="483">
        <v>0</v>
      </c>
    </row>
    <row r="15" spans="2:10">
      <c r="B15" s="217" t="s">
        <v>269</v>
      </c>
      <c r="C15" s="247">
        <v>2356</v>
      </c>
      <c r="D15" s="247" t="s">
        <v>49</v>
      </c>
      <c r="E15" s="219">
        <v>962067</v>
      </c>
      <c r="F15" s="219" t="s">
        <v>287</v>
      </c>
      <c r="G15" s="478"/>
      <c r="H15" s="249"/>
      <c r="I15" s="479"/>
      <c r="J15" s="390"/>
    </row>
    <row r="16" spans="2:10">
      <c r="B16" s="217" t="s">
        <v>269</v>
      </c>
      <c r="C16" s="247">
        <v>2356</v>
      </c>
      <c r="D16" s="247" t="s">
        <v>49</v>
      </c>
      <c r="E16" s="219">
        <v>925992</v>
      </c>
      <c r="F16" s="219" t="s">
        <v>288</v>
      </c>
      <c r="G16" s="478"/>
      <c r="H16" s="249"/>
      <c r="I16" s="479"/>
      <c r="J16" s="390"/>
    </row>
    <row r="17" spans="2:10">
      <c r="B17" s="217" t="s">
        <v>269</v>
      </c>
      <c r="C17" s="247">
        <v>2356</v>
      </c>
      <c r="D17" s="247" t="s">
        <v>49</v>
      </c>
      <c r="E17" s="219">
        <v>960352</v>
      </c>
      <c r="F17" s="219" t="s">
        <v>271</v>
      </c>
      <c r="G17" s="478"/>
      <c r="H17" s="249"/>
      <c r="I17" s="479"/>
      <c r="J17" s="390"/>
    </row>
    <row r="18" spans="2:10">
      <c r="B18" s="217" t="s">
        <v>269</v>
      </c>
      <c r="C18" s="247">
        <v>2356</v>
      </c>
      <c r="D18" s="247" t="s">
        <v>49</v>
      </c>
      <c r="E18" s="219">
        <v>951110</v>
      </c>
      <c r="F18" s="219" t="s">
        <v>270</v>
      </c>
      <c r="G18" s="478"/>
      <c r="H18" s="249"/>
      <c r="I18" s="479"/>
      <c r="J18" s="390"/>
    </row>
    <row r="19" spans="2:10">
      <c r="B19" s="217" t="s">
        <v>269</v>
      </c>
      <c r="C19" s="247">
        <v>2356</v>
      </c>
      <c r="D19" s="247" t="s">
        <v>49</v>
      </c>
      <c r="E19" s="219">
        <v>961267</v>
      </c>
      <c r="F19" s="219" t="s">
        <v>289</v>
      </c>
      <c r="G19" s="478"/>
      <c r="H19" s="249"/>
      <c r="I19" s="479"/>
      <c r="J19" s="390"/>
    </row>
    <row r="20" spans="2:10">
      <c r="B20" s="217" t="s">
        <v>269</v>
      </c>
      <c r="C20" s="247">
        <v>2356</v>
      </c>
      <c r="D20" s="247" t="s">
        <v>49</v>
      </c>
      <c r="E20" s="219">
        <v>950454</v>
      </c>
      <c r="F20" s="219" t="s">
        <v>290</v>
      </c>
      <c r="G20" s="478"/>
      <c r="H20" s="249"/>
      <c r="I20" s="479"/>
      <c r="J20" s="390"/>
    </row>
    <row r="21" spans="2:10">
      <c r="B21" s="217" t="s">
        <v>269</v>
      </c>
      <c r="C21" s="247">
        <v>2356</v>
      </c>
      <c r="D21" s="247" t="s">
        <v>49</v>
      </c>
      <c r="E21" s="219">
        <v>963710</v>
      </c>
      <c r="F21" s="219" t="s">
        <v>291</v>
      </c>
      <c r="G21" s="478"/>
      <c r="H21" s="249"/>
      <c r="I21" s="479"/>
      <c r="J21" s="390"/>
    </row>
    <row r="22" spans="2:10">
      <c r="B22" s="217" t="s">
        <v>269</v>
      </c>
      <c r="C22" s="247">
        <v>2356</v>
      </c>
      <c r="D22" s="247" t="s">
        <v>49</v>
      </c>
      <c r="E22" s="219">
        <v>923206</v>
      </c>
      <c r="F22" s="219" t="s">
        <v>292</v>
      </c>
      <c r="G22" s="478"/>
      <c r="H22" s="249"/>
      <c r="I22" s="479"/>
      <c r="J22" s="390"/>
    </row>
    <row r="23" spans="2:10">
      <c r="B23" s="217" t="s">
        <v>269</v>
      </c>
      <c r="C23" s="247">
        <v>2356</v>
      </c>
      <c r="D23" s="247" t="s">
        <v>49</v>
      </c>
      <c r="E23" s="219">
        <v>953317</v>
      </c>
      <c r="F23" s="219" t="s">
        <v>293</v>
      </c>
      <c r="G23" s="478"/>
      <c r="H23" s="249"/>
      <c r="I23" s="479"/>
      <c r="J23" s="390"/>
    </row>
    <row r="24" spans="2:10">
      <c r="B24" s="217" t="s">
        <v>269</v>
      </c>
      <c r="C24" s="247">
        <v>2356</v>
      </c>
      <c r="D24" s="247" t="s">
        <v>49</v>
      </c>
      <c r="E24" s="219">
        <v>953967</v>
      </c>
      <c r="F24" s="219" t="s">
        <v>294</v>
      </c>
      <c r="G24" s="478"/>
      <c r="H24" s="249"/>
      <c r="I24" s="479"/>
      <c r="J24" s="390"/>
    </row>
    <row r="25" spans="2:10">
      <c r="B25" s="217" t="s">
        <v>269</v>
      </c>
      <c r="C25" s="247">
        <v>2356</v>
      </c>
      <c r="D25" s="247" t="s">
        <v>49</v>
      </c>
      <c r="E25" s="219">
        <v>960355</v>
      </c>
      <c r="F25" s="219" t="s">
        <v>295</v>
      </c>
      <c r="G25" s="478"/>
      <c r="H25" s="249"/>
      <c r="I25" s="479"/>
      <c r="J25" s="390"/>
    </row>
    <row r="26" spans="2:10">
      <c r="B26" s="217" t="s">
        <v>269</v>
      </c>
      <c r="C26" s="247">
        <v>2356</v>
      </c>
      <c r="D26" s="247" t="s">
        <v>49</v>
      </c>
      <c r="E26" s="219">
        <v>35893</v>
      </c>
      <c r="F26" s="219" t="s">
        <v>296</v>
      </c>
      <c r="G26" s="478"/>
      <c r="H26" s="249"/>
      <c r="I26" s="479"/>
      <c r="J26" s="390"/>
    </row>
    <row r="27" spans="2:10">
      <c r="B27" s="217" t="s">
        <v>269</v>
      </c>
      <c r="C27" s="247">
        <v>2356</v>
      </c>
      <c r="D27" s="247" t="s">
        <v>49</v>
      </c>
      <c r="E27" s="219">
        <v>955248</v>
      </c>
      <c r="F27" s="219" t="s">
        <v>297</v>
      </c>
      <c r="G27" s="478"/>
      <c r="H27" s="249"/>
      <c r="I27" s="479"/>
      <c r="J27" s="390"/>
    </row>
    <row r="28" spans="2:10">
      <c r="B28" s="217" t="s">
        <v>269</v>
      </c>
      <c r="C28" s="247">
        <v>2356</v>
      </c>
      <c r="D28" s="247" t="s">
        <v>49</v>
      </c>
      <c r="E28" s="219">
        <v>921881</v>
      </c>
      <c r="F28" s="219" t="s">
        <v>298</v>
      </c>
      <c r="G28" s="478"/>
      <c r="H28" s="249"/>
      <c r="I28" s="479"/>
      <c r="J28" s="390"/>
    </row>
    <row r="29" spans="2:10">
      <c r="B29" s="217" t="s">
        <v>269</v>
      </c>
      <c r="C29" s="247">
        <v>2356</v>
      </c>
      <c r="D29" s="247" t="s">
        <v>49</v>
      </c>
      <c r="E29" s="219">
        <v>952067</v>
      </c>
      <c r="F29" s="219" t="s">
        <v>299</v>
      </c>
      <c r="G29" s="478"/>
      <c r="H29" s="249"/>
      <c r="I29" s="479"/>
      <c r="J29" s="390"/>
    </row>
    <row r="30" spans="2:10">
      <c r="B30" s="217" t="s">
        <v>269</v>
      </c>
      <c r="C30" s="247">
        <v>2356</v>
      </c>
      <c r="D30" s="247" t="s">
        <v>49</v>
      </c>
      <c r="E30" s="219">
        <v>951184</v>
      </c>
      <c r="F30" s="219" t="s">
        <v>300</v>
      </c>
      <c r="G30" s="478"/>
      <c r="H30" s="249"/>
      <c r="I30" s="479"/>
      <c r="J30" s="390"/>
    </row>
    <row r="31" spans="2:10" ht="15.75" thickBot="1">
      <c r="B31" s="216" t="s">
        <v>269</v>
      </c>
      <c r="C31" s="248">
        <v>2356</v>
      </c>
      <c r="D31" s="248" t="s">
        <v>49</v>
      </c>
      <c r="E31" s="220">
        <v>965905</v>
      </c>
      <c r="F31" s="220" t="s">
        <v>301</v>
      </c>
      <c r="G31" s="475"/>
      <c r="H31" s="244"/>
      <c r="I31" s="477"/>
      <c r="J31" s="484"/>
    </row>
    <row r="32" spans="2:10">
      <c r="B32" s="215" t="s">
        <v>269</v>
      </c>
      <c r="C32" s="246">
        <v>2262</v>
      </c>
      <c r="D32" s="246" t="s">
        <v>192</v>
      </c>
      <c r="E32" s="246">
        <v>962075</v>
      </c>
      <c r="F32" s="246" t="s">
        <v>328</v>
      </c>
      <c r="G32" s="474">
        <v>241</v>
      </c>
      <c r="H32" s="243">
        <v>47.253</v>
      </c>
      <c r="I32" s="476">
        <f>G32-H32-H33</f>
        <v>12.829000000000008</v>
      </c>
      <c r="J32" s="483">
        <f>SUM(H32+H33)/G32</f>
        <v>0.94676763485477178</v>
      </c>
    </row>
    <row r="33" spans="2:10" ht="15.75" thickBot="1">
      <c r="B33" s="216" t="s">
        <v>269</v>
      </c>
      <c r="C33" s="248">
        <v>2262</v>
      </c>
      <c r="D33" s="248" t="s">
        <v>192</v>
      </c>
      <c r="E33" s="248">
        <v>952296</v>
      </c>
      <c r="F33" s="248" t="s">
        <v>329</v>
      </c>
      <c r="G33" s="475"/>
      <c r="H33" s="244">
        <v>180.91800000000001</v>
      </c>
      <c r="I33" s="477"/>
      <c r="J33" s="484"/>
    </row>
    <row r="34" spans="2:10">
      <c r="B34" s="221" t="s">
        <v>269</v>
      </c>
      <c r="C34" s="250">
        <v>2968</v>
      </c>
      <c r="D34" s="250" t="s">
        <v>49</v>
      </c>
      <c r="E34" s="222">
        <v>913444</v>
      </c>
      <c r="F34" s="222" t="s">
        <v>286</v>
      </c>
      <c r="G34" s="489">
        <v>3000</v>
      </c>
      <c r="H34" s="252"/>
      <c r="I34" s="491">
        <f>G34-(H34:H56)</f>
        <v>3000</v>
      </c>
      <c r="J34" s="493">
        <f>SUM(H34:H56)/G34</f>
        <v>0</v>
      </c>
    </row>
    <row r="35" spans="2:10">
      <c r="B35" s="217" t="s">
        <v>269</v>
      </c>
      <c r="C35" s="247">
        <v>2968</v>
      </c>
      <c r="D35" s="247" t="s">
        <v>49</v>
      </c>
      <c r="E35" s="219">
        <v>955847</v>
      </c>
      <c r="F35" s="219" t="s">
        <v>279</v>
      </c>
      <c r="G35" s="478"/>
      <c r="H35" s="249"/>
      <c r="I35" s="479"/>
      <c r="J35" s="390"/>
    </row>
    <row r="36" spans="2:10">
      <c r="B36" s="217" t="s">
        <v>269</v>
      </c>
      <c r="C36" s="247">
        <v>2968</v>
      </c>
      <c r="D36" s="247" t="s">
        <v>49</v>
      </c>
      <c r="E36" s="219">
        <v>962067</v>
      </c>
      <c r="F36" s="219" t="s">
        <v>287</v>
      </c>
      <c r="G36" s="478"/>
      <c r="H36" s="249"/>
      <c r="I36" s="479"/>
      <c r="J36" s="390"/>
    </row>
    <row r="37" spans="2:10">
      <c r="B37" s="217" t="s">
        <v>269</v>
      </c>
      <c r="C37" s="247">
        <v>2968</v>
      </c>
      <c r="D37" s="247" t="s">
        <v>49</v>
      </c>
      <c r="E37" s="219">
        <v>959745</v>
      </c>
      <c r="F37" s="219" t="s">
        <v>330</v>
      </c>
      <c r="G37" s="478"/>
      <c r="H37" s="249"/>
      <c r="I37" s="479"/>
      <c r="J37" s="390"/>
    </row>
    <row r="38" spans="2:10">
      <c r="B38" s="217" t="s">
        <v>269</v>
      </c>
      <c r="C38" s="247">
        <v>2968</v>
      </c>
      <c r="D38" s="247" t="s">
        <v>49</v>
      </c>
      <c r="E38" s="219">
        <v>925992</v>
      </c>
      <c r="F38" s="219" t="s">
        <v>288</v>
      </c>
      <c r="G38" s="478"/>
      <c r="H38" s="249"/>
      <c r="I38" s="479"/>
      <c r="J38" s="390"/>
    </row>
    <row r="39" spans="2:10">
      <c r="B39" s="217" t="s">
        <v>269</v>
      </c>
      <c r="C39" s="247">
        <v>2968</v>
      </c>
      <c r="D39" s="247" t="s">
        <v>49</v>
      </c>
      <c r="E39" s="219">
        <v>950657</v>
      </c>
      <c r="F39" s="219" t="s">
        <v>281</v>
      </c>
      <c r="G39" s="478"/>
      <c r="H39" s="249"/>
      <c r="I39" s="479"/>
      <c r="J39" s="390"/>
    </row>
    <row r="40" spans="2:10">
      <c r="B40" s="217" t="s">
        <v>269</v>
      </c>
      <c r="C40" s="247">
        <v>2968</v>
      </c>
      <c r="D40" s="247" t="s">
        <v>49</v>
      </c>
      <c r="E40" s="219">
        <v>960352</v>
      </c>
      <c r="F40" s="219" t="s">
        <v>271</v>
      </c>
      <c r="G40" s="478"/>
      <c r="H40" s="249"/>
      <c r="I40" s="479"/>
      <c r="J40" s="390"/>
    </row>
    <row r="41" spans="2:10">
      <c r="B41" s="217" t="s">
        <v>269</v>
      </c>
      <c r="C41" s="247">
        <v>2968</v>
      </c>
      <c r="D41" s="247" t="s">
        <v>49</v>
      </c>
      <c r="E41" s="219">
        <v>951110</v>
      </c>
      <c r="F41" s="219" t="s">
        <v>270</v>
      </c>
      <c r="G41" s="478"/>
      <c r="H41" s="249"/>
      <c r="I41" s="479"/>
      <c r="J41" s="390"/>
    </row>
    <row r="42" spans="2:10">
      <c r="B42" s="217" t="s">
        <v>269</v>
      </c>
      <c r="C42" s="247">
        <v>2968</v>
      </c>
      <c r="D42" s="247" t="s">
        <v>49</v>
      </c>
      <c r="E42" s="219">
        <v>959822</v>
      </c>
      <c r="F42" s="219" t="s">
        <v>331</v>
      </c>
      <c r="G42" s="478"/>
      <c r="H42" s="249"/>
      <c r="I42" s="479"/>
      <c r="J42" s="390"/>
    </row>
    <row r="43" spans="2:10">
      <c r="B43" s="217" t="s">
        <v>269</v>
      </c>
      <c r="C43" s="247">
        <v>2968</v>
      </c>
      <c r="D43" s="247" t="s">
        <v>49</v>
      </c>
      <c r="E43" s="219">
        <v>952905</v>
      </c>
      <c r="F43" s="219" t="s">
        <v>289</v>
      </c>
      <c r="G43" s="478"/>
      <c r="H43" s="249"/>
      <c r="I43" s="479"/>
      <c r="J43" s="390"/>
    </row>
    <row r="44" spans="2:10">
      <c r="B44" s="217" t="s">
        <v>269</v>
      </c>
      <c r="C44" s="247">
        <v>2968</v>
      </c>
      <c r="D44" s="247" t="s">
        <v>49</v>
      </c>
      <c r="E44" s="219">
        <v>950454</v>
      </c>
      <c r="F44" s="219" t="s">
        <v>290</v>
      </c>
      <c r="G44" s="478"/>
      <c r="H44" s="249"/>
      <c r="I44" s="479"/>
      <c r="J44" s="390"/>
    </row>
    <row r="45" spans="2:10">
      <c r="B45" s="217" t="s">
        <v>269</v>
      </c>
      <c r="C45" s="247">
        <v>2968</v>
      </c>
      <c r="D45" s="247" t="s">
        <v>49</v>
      </c>
      <c r="E45" s="219">
        <v>923206</v>
      </c>
      <c r="F45" s="219" t="s">
        <v>292</v>
      </c>
      <c r="G45" s="478"/>
      <c r="H45" s="249"/>
      <c r="I45" s="479"/>
      <c r="J45" s="390"/>
    </row>
    <row r="46" spans="2:10">
      <c r="B46" s="217" t="s">
        <v>269</v>
      </c>
      <c r="C46" s="247">
        <v>2968</v>
      </c>
      <c r="D46" s="247" t="s">
        <v>49</v>
      </c>
      <c r="E46" s="219">
        <v>962529</v>
      </c>
      <c r="F46" s="219" t="s">
        <v>282</v>
      </c>
      <c r="G46" s="478"/>
      <c r="H46" s="249"/>
      <c r="I46" s="479"/>
      <c r="J46" s="390"/>
    </row>
    <row r="47" spans="2:10">
      <c r="B47" s="217" t="s">
        <v>269</v>
      </c>
      <c r="C47" s="247">
        <v>2968</v>
      </c>
      <c r="D47" s="247" t="s">
        <v>49</v>
      </c>
      <c r="E47" s="219">
        <v>957497</v>
      </c>
      <c r="F47" s="219" t="s">
        <v>332</v>
      </c>
      <c r="G47" s="478"/>
      <c r="H47" s="249"/>
      <c r="I47" s="479"/>
      <c r="J47" s="390"/>
    </row>
    <row r="48" spans="2:10">
      <c r="B48" s="217" t="s">
        <v>269</v>
      </c>
      <c r="C48" s="247">
        <v>2968</v>
      </c>
      <c r="D48" s="247" t="s">
        <v>49</v>
      </c>
      <c r="E48" s="219">
        <v>953317</v>
      </c>
      <c r="F48" s="219" t="s">
        <v>293</v>
      </c>
      <c r="G48" s="478"/>
      <c r="H48" s="249"/>
      <c r="I48" s="479"/>
      <c r="J48" s="390"/>
    </row>
    <row r="49" spans="2:10">
      <c r="B49" s="217" t="s">
        <v>269</v>
      </c>
      <c r="C49" s="247">
        <v>2968</v>
      </c>
      <c r="D49" s="247" t="s">
        <v>49</v>
      </c>
      <c r="E49" s="219">
        <v>953967</v>
      </c>
      <c r="F49" s="219" t="s">
        <v>333</v>
      </c>
      <c r="G49" s="478"/>
      <c r="H49" s="249"/>
      <c r="I49" s="479"/>
      <c r="J49" s="390"/>
    </row>
    <row r="50" spans="2:10">
      <c r="B50" s="217" t="s">
        <v>269</v>
      </c>
      <c r="C50" s="247">
        <v>2968</v>
      </c>
      <c r="D50" s="247" t="s">
        <v>49</v>
      </c>
      <c r="E50" s="219">
        <v>960355</v>
      </c>
      <c r="F50" s="219" t="s">
        <v>295</v>
      </c>
      <c r="G50" s="478"/>
      <c r="H50" s="249"/>
      <c r="I50" s="479"/>
      <c r="J50" s="390"/>
    </row>
    <row r="51" spans="2:10">
      <c r="B51" s="217" t="s">
        <v>269</v>
      </c>
      <c r="C51" s="247">
        <v>2968</v>
      </c>
      <c r="D51" s="247" t="s">
        <v>49</v>
      </c>
      <c r="E51" s="219">
        <v>35893</v>
      </c>
      <c r="F51" s="219" t="s">
        <v>296</v>
      </c>
      <c r="G51" s="478"/>
      <c r="H51" s="249"/>
      <c r="I51" s="479"/>
      <c r="J51" s="390"/>
    </row>
    <row r="52" spans="2:10">
      <c r="B52" s="217" t="s">
        <v>269</v>
      </c>
      <c r="C52" s="247">
        <v>2968</v>
      </c>
      <c r="D52" s="247" t="s">
        <v>49</v>
      </c>
      <c r="E52" s="219">
        <v>921881</v>
      </c>
      <c r="F52" s="219" t="s">
        <v>334</v>
      </c>
      <c r="G52" s="478"/>
      <c r="H52" s="249"/>
      <c r="I52" s="479"/>
      <c r="J52" s="390"/>
    </row>
    <row r="53" spans="2:10">
      <c r="B53" s="217" t="s">
        <v>269</v>
      </c>
      <c r="C53" s="247">
        <v>2968</v>
      </c>
      <c r="D53" s="247" t="s">
        <v>49</v>
      </c>
      <c r="E53" s="219">
        <v>952067</v>
      </c>
      <c r="F53" s="219" t="s">
        <v>299</v>
      </c>
      <c r="G53" s="478"/>
      <c r="H53" s="249"/>
      <c r="I53" s="479"/>
      <c r="J53" s="390"/>
    </row>
    <row r="54" spans="2:10">
      <c r="B54" s="217" t="s">
        <v>269</v>
      </c>
      <c r="C54" s="247">
        <v>2968</v>
      </c>
      <c r="D54" s="247" t="s">
        <v>49</v>
      </c>
      <c r="E54" s="219">
        <v>951184</v>
      </c>
      <c r="F54" s="219" t="s">
        <v>300</v>
      </c>
      <c r="G54" s="478"/>
      <c r="H54" s="249"/>
      <c r="I54" s="479"/>
      <c r="J54" s="390"/>
    </row>
    <row r="55" spans="2:10">
      <c r="B55" s="217" t="s">
        <v>269</v>
      </c>
      <c r="C55" s="247">
        <v>2968</v>
      </c>
      <c r="D55" s="247" t="s">
        <v>49</v>
      </c>
      <c r="E55" s="219">
        <v>960009</v>
      </c>
      <c r="F55" s="219" t="s">
        <v>335</v>
      </c>
      <c r="G55" s="478"/>
      <c r="H55" s="249"/>
      <c r="I55" s="479"/>
      <c r="J55" s="390"/>
    </row>
    <row r="56" spans="2:10" ht="15.75" thickBot="1">
      <c r="B56" s="223" t="s">
        <v>269</v>
      </c>
      <c r="C56" s="251">
        <v>2968</v>
      </c>
      <c r="D56" s="251" t="s">
        <v>49</v>
      </c>
      <c r="E56" s="224">
        <v>955947</v>
      </c>
      <c r="F56" s="224" t="s">
        <v>279</v>
      </c>
      <c r="G56" s="490"/>
      <c r="H56" s="253"/>
      <c r="I56" s="492"/>
      <c r="J56" s="494"/>
    </row>
    <row r="57" spans="2:10">
      <c r="B57" s="215" t="s">
        <v>269</v>
      </c>
      <c r="C57" s="246">
        <v>3211</v>
      </c>
      <c r="D57" s="246" t="s">
        <v>192</v>
      </c>
      <c r="E57" s="246">
        <v>952452</v>
      </c>
      <c r="F57" s="246" t="s">
        <v>344</v>
      </c>
      <c r="G57" s="246">
        <v>137.13</v>
      </c>
      <c r="H57" s="243">
        <v>137.13</v>
      </c>
      <c r="I57" s="485">
        <f>(G57+G58)-(H57+H58)</f>
        <v>0</v>
      </c>
      <c r="J57" s="487">
        <f>H57:H58/G57:G58</f>
        <v>1</v>
      </c>
    </row>
    <row r="58" spans="2:10" ht="15.75" thickBot="1">
      <c r="B58" s="216" t="s">
        <v>269</v>
      </c>
      <c r="C58" s="248">
        <v>3211</v>
      </c>
      <c r="D58" s="248" t="s">
        <v>192</v>
      </c>
      <c r="E58" s="248">
        <v>30822</v>
      </c>
      <c r="F58" s="248" t="s">
        <v>345</v>
      </c>
      <c r="G58" s="248">
        <v>137.13</v>
      </c>
      <c r="H58" s="244">
        <v>137.13</v>
      </c>
      <c r="I58" s="486"/>
      <c r="J58" s="488"/>
    </row>
    <row r="59" spans="2:10" ht="15.75" thickBot="1">
      <c r="B59" s="227" t="s">
        <v>348</v>
      </c>
      <c r="C59" s="228">
        <v>3456</v>
      </c>
      <c r="D59" s="228" t="s">
        <v>192</v>
      </c>
      <c r="E59" s="228">
        <v>965098</v>
      </c>
      <c r="F59" s="228" t="s">
        <v>349</v>
      </c>
      <c r="G59" s="228">
        <v>21</v>
      </c>
      <c r="H59" s="21">
        <v>4.2050000000000001</v>
      </c>
      <c r="I59" s="21">
        <f>G59-H59</f>
        <v>16.795000000000002</v>
      </c>
      <c r="J59" s="229">
        <f>H59/G59</f>
        <v>0.20023809523809524</v>
      </c>
    </row>
    <row r="60" spans="2:10" ht="15.75" thickBot="1">
      <c r="B60" s="238" t="s">
        <v>348</v>
      </c>
      <c r="C60" s="239">
        <v>2866</v>
      </c>
      <c r="D60" s="239" t="s">
        <v>192</v>
      </c>
      <c r="E60" s="239">
        <v>966170</v>
      </c>
      <c r="F60" s="239" t="s">
        <v>351</v>
      </c>
      <c r="G60" s="239">
        <v>190</v>
      </c>
      <c r="H60" s="245"/>
      <c r="I60" s="245">
        <f>G60-H60</f>
        <v>190</v>
      </c>
      <c r="J60" s="240">
        <f>H60/G60</f>
        <v>0</v>
      </c>
    </row>
    <row r="61" spans="2:10">
      <c r="B61" s="215" t="s">
        <v>269</v>
      </c>
      <c r="C61" s="246">
        <v>4092</v>
      </c>
      <c r="D61" s="246" t="s">
        <v>192</v>
      </c>
      <c r="E61" s="246">
        <v>952452</v>
      </c>
      <c r="F61" s="246" t="s">
        <v>344</v>
      </c>
      <c r="G61" s="246">
        <v>88.08</v>
      </c>
      <c r="H61" s="235">
        <v>87.787999999999997</v>
      </c>
      <c r="I61" s="476">
        <f>(G61+G62)-(H61+H62)</f>
        <v>9.0320000000000107</v>
      </c>
      <c r="J61" s="483">
        <f>H61:H62/G61:G62</f>
        <v>0.99668483197093549</v>
      </c>
    </row>
    <row r="62" spans="2:10" ht="15.75" thickBot="1">
      <c r="B62" s="216" t="s">
        <v>269</v>
      </c>
      <c r="C62" s="248">
        <v>4092</v>
      </c>
      <c r="D62" s="248" t="s">
        <v>192</v>
      </c>
      <c r="E62" s="248">
        <v>30822</v>
      </c>
      <c r="F62" s="248" t="s">
        <v>345</v>
      </c>
      <c r="G62" s="248">
        <v>88.08</v>
      </c>
      <c r="H62" s="237">
        <v>79.34</v>
      </c>
      <c r="I62" s="477"/>
      <c r="J62" s="484"/>
    </row>
    <row r="63" spans="2:10">
      <c r="B63" s="221" t="s">
        <v>269</v>
      </c>
      <c r="C63" s="250">
        <v>4287</v>
      </c>
      <c r="D63" s="250" t="s">
        <v>49</v>
      </c>
      <c r="E63" s="250">
        <v>913444</v>
      </c>
      <c r="F63" s="250" t="s">
        <v>286</v>
      </c>
      <c r="G63" s="495">
        <v>2000</v>
      </c>
      <c r="H63" s="264">
        <v>25.952000000000002</v>
      </c>
      <c r="I63" s="496">
        <f>G63-H63-H64-H65-H66-H67-H68-H69-H70-H71-H72-H73-H74-H75-H76-H77-H78-H79-H80-H81-H82-H83-H84-H85-H86-H87</f>
        <v>1412.1339999999998</v>
      </c>
      <c r="J63" s="497">
        <f>(H63:H87)/G63</f>
        <v>1.2976000000000001E-2</v>
      </c>
    </row>
    <row r="64" spans="2:10">
      <c r="B64" s="217" t="s">
        <v>269</v>
      </c>
      <c r="C64" s="247">
        <v>4287</v>
      </c>
      <c r="D64" s="247" t="s">
        <v>49</v>
      </c>
      <c r="E64" s="247">
        <v>963744</v>
      </c>
      <c r="F64" s="247" t="s">
        <v>358</v>
      </c>
      <c r="G64" s="495"/>
      <c r="H64" s="263">
        <v>12.89</v>
      </c>
      <c r="I64" s="496"/>
      <c r="J64" s="497"/>
    </row>
    <row r="65" spans="2:10">
      <c r="B65" s="217" t="s">
        <v>269</v>
      </c>
      <c r="C65" s="247">
        <v>4287</v>
      </c>
      <c r="D65" s="247" t="s">
        <v>49</v>
      </c>
      <c r="E65" s="247">
        <v>962067</v>
      </c>
      <c r="F65" s="247" t="s">
        <v>287</v>
      </c>
      <c r="G65" s="495"/>
      <c r="H65" s="263">
        <v>35.097000000000001</v>
      </c>
      <c r="I65" s="496"/>
      <c r="J65" s="497"/>
    </row>
    <row r="66" spans="2:10">
      <c r="B66" s="217" t="s">
        <v>269</v>
      </c>
      <c r="C66" s="247">
        <v>4287</v>
      </c>
      <c r="D66" s="247" t="s">
        <v>49</v>
      </c>
      <c r="E66" s="247">
        <v>966244</v>
      </c>
      <c r="F66" s="247" t="s">
        <v>297</v>
      </c>
      <c r="G66" s="495"/>
      <c r="H66" s="253"/>
      <c r="I66" s="496"/>
      <c r="J66" s="497"/>
    </row>
    <row r="67" spans="2:10">
      <c r="B67" s="217" t="s">
        <v>269</v>
      </c>
      <c r="C67" s="247">
        <v>4287</v>
      </c>
      <c r="D67" s="247" t="s">
        <v>49</v>
      </c>
      <c r="E67" s="247">
        <v>925992</v>
      </c>
      <c r="F67" s="247" t="s">
        <v>288</v>
      </c>
      <c r="G67" s="495"/>
      <c r="H67" s="263">
        <v>36.764000000000003</v>
      </c>
      <c r="I67" s="496"/>
      <c r="J67" s="497"/>
    </row>
    <row r="68" spans="2:10">
      <c r="B68" s="217" t="s">
        <v>269</v>
      </c>
      <c r="C68" s="247">
        <v>4287</v>
      </c>
      <c r="D68" s="247" t="s">
        <v>49</v>
      </c>
      <c r="E68" s="247">
        <v>950657</v>
      </c>
      <c r="F68" s="247" t="s">
        <v>281</v>
      </c>
      <c r="G68" s="495"/>
      <c r="H68" s="263">
        <v>82.43</v>
      </c>
      <c r="I68" s="496"/>
      <c r="J68" s="497"/>
    </row>
    <row r="69" spans="2:10">
      <c r="B69" s="217" t="s">
        <v>269</v>
      </c>
      <c r="C69" s="247">
        <v>4287</v>
      </c>
      <c r="D69" s="247" t="s">
        <v>49</v>
      </c>
      <c r="E69" s="247">
        <v>960352</v>
      </c>
      <c r="F69" s="247" t="s">
        <v>271</v>
      </c>
      <c r="G69" s="495"/>
      <c r="H69" s="253"/>
      <c r="I69" s="496"/>
      <c r="J69" s="497"/>
    </row>
    <row r="70" spans="2:10">
      <c r="B70" s="217" t="s">
        <v>269</v>
      </c>
      <c r="C70" s="247">
        <v>4287</v>
      </c>
      <c r="D70" s="247" t="s">
        <v>49</v>
      </c>
      <c r="E70" s="247">
        <v>951110</v>
      </c>
      <c r="F70" s="247" t="s">
        <v>270</v>
      </c>
      <c r="G70" s="495"/>
      <c r="H70" s="253"/>
      <c r="I70" s="496"/>
      <c r="J70" s="497"/>
    </row>
    <row r="71" spans="2:10">
      <c r="B71" s="217" t="s">
        <v>269</v>
      </c>
      <c r="C71" s="247">
        <v>4287</v>
      </c>
      <c r="D71" s="247" t="s">
        <v>49</v>
      </c>
      <c r="E71" s="247">
        <v>966665</v>
      </c>
      <c r="F71" s="247" t="s">
        <v>359</v>
      </c>
      <c r="G71" s="495"/>
      <c r="H71" s="263">
        <v>12.058999999999999</v>
      </c>
      <c r="I71" s="496"/>
      <c r="J71" s="497"/>
    </row>
    <row r="72" spans="2:10">
      <c r="B72" s="217" t="s">
        <v>269</v>
      </c>
      <c r="C72" s="247">
        <v>4287</v>
      </c>
      <c r="D72" s="247" t="s">
        <v>49</v>
      </c>
      <c r="E72" s="247">
        <v>961267</v>
      </c>
      <c r="F72" s="247" t="s">
        <v>289</v>
      </c>
      <c r="G72" s="495"/>
      <c r="H72" s="253">
        <v>10.727</v>
      </c>
      <c r="I72" s="496"/>
      <c r="J72" s="497"/>
    </row>
    <row r="73" spans="2:10">
      <c r="B73" s="217" t="s">
        <v>269</v>
      </c>
      <c r="C73" s="247">
        <v>4287</v>
      </c>
      <c r="D73" s="247" t="s">
        <v>49</v>
      </c>
      <c r="E73" s="247">
        <v>950454</v>
      </c>
      <c r="F73" s="247" t="s">
        <v>290</v>
      </c>
      <c r="G73" s="495"/>
      <c r="H73" s="263">
        <v>58.012</v>
      </c>
      <c r="I73" s="496"/>
      <c r="J73" s="497"/>
    </row>
    <row r="74" spans="2:10">
      <c r="B74" s="217" t="s">
        <v>269</v>
      </c>
      <c r="C74" s="247">
        <v>4287</v>
      </c>
      <c r="D74" s="247" t="s">
        <v>49</v>
      </c>
      <c r="E74" s="247">
        <v>963710</v>
      </c>
      <c r="F74" s="247" t="s">
        <v>291</v>
      </c>
      <c r="G74" s="495"/>
      <c r="H74" s="263">
        <v>86.180999999999997</v>
      </c>
      <c r="I74" s="496"/>
      <c r="J74" s="497"/>
    </row>
    <row r="75" spans="2:10">
      <c r="B75" s="217" t="s">
        <v>269</v>
      </c>
      <c r="C75" s="247">
        <v>4287</v>
      </c>
      <c r="D75" s="247" t="s">
        <v>49</v>
      </c>
      <c r="E75" s="247">
        <v>923206</v>
      </c>
      <c r="F75" s="247" t="s">
        <v>292</v>
      </c>
      <c r="G75" s="495"/>
      <c r="H75" s="263">
        <v>8.3810000000000002</v>
      </c>
      <c r="I75" s="496"/>
      <c r="J75" s="497"/>
    </row>
    <row r="76" spans="2:10">
      <c r="B76" s="217" t="s">
        <v>269</v>
      </c>
      <c r="C76" s="247">
        <v>4287</v>
      </c>
      <c r="D76" s="247" t="s">
        <v>49</v>
      </c>
      <c r="E76" s="247">
        <v>962529</v>
      </c>
      <c r="F76" s="247" t="s">
        <v>282</v>
      </c>
      <c r="G76" s="495"/>
      <c r="H76" s="263">
        <v>21.201000000000001</v>
      </c>
      <c r="I76" s="496"/>
      <c r="J76" s="497"/>
    </row>
    <row r="77" spans="2:10">
      <c r="B77" s="217" t="s">
        <v>269</v>
      </c>
      <c r="C77" s="247">
        <v>4287</v>
      </c>
      <c r="D77" s="247" t="s">
        <v>49</v>
      </c>
      <c r="E77" s="247">
        <v>953317</v>
      </c>
      <c r="F77" s="247" t="s">
        <v>293</v>
      </c>
      <c r="G77" s="495"/>
      <c r="H77" s="263">
        <v>29.227</v>
      </c>
      <c r="I77" s="496"/>
      <c r="J77" s="497"/>
    </row>
    <row r="78" spans="2:10">
      <c r="B78" s="217" t="s">
        <v>269</v>
      </c>
      <c r="C78" s="247">
        <v>4287</v>
      </c>
      <c r="D78" s="247" t="s">
        <v>49</v>
      </c>
      <c r="E78" s="247">
        <v>953967</v>
      </c>
      <c r="F78" s="247" t="s">
        <v>294</v>
      </c>
      <c r="G78" s="495"/>
      <c r="H78" s="253"/>
      <c r="I78" s="496"/>
      <c r="J78" s="497"/>
    </row>
    <row r="79" spans="2:10">
      <c r="B79" s="217" t="s">
        <v>269</v>
      </c>
      <c r="C79" s="247">
        <v>4287</v>
      </c>
      <c r="D79" s="247" t="s">
        <v>49</v>
      </c>
      <c r="E79" s="247">
        <v>960355</v>
      </c>
      <c r="F79" s="247" t="s">
        <v>295</v>
      </c>
      <c r="G79" s="495"/>
      <c r="H79" s="263">
        <v>14.795999999999999</v>
      </c>
      <c r="I79" s="496"/>
      <c r="J79" s="497"/>
    </row>
    <row r="80" spans="2:10">
      <c r="B80" s="217" t="s">
        <v>269</v>
      </c>
      <c r="C80" s="247">
        <v>4287</v>
      </c>
      <c r="D80" s="247" t="s">
        <v>49</v>
      </c>
      <c r="E80" s="247">
        <v>35893</v>
      </c>
      <c r="F80" s="247" t="s">
        <v>296</v>
      </c>
      <c r="G80" s="495"/>
      <c r="H80" s="249"/>
      <c r="I80" s="496"/>
      <c r="J80" s="497"/>
    </row>
    <row r="81" spans="2:10">
      <c r="B81" s="217" t="s">
        <v>269</v>
      </c>
      <c r="C81" s="247">
        <v>4287</v>
      </c>
      <c r="D81" s="247" t="s">
        <v>49</v>
      </c>
      <c r="E81" s="247">
        <v>955847</v>
      </c>
      <c r="F81" s="247" t="s">
        <v>279</v>
      </c>
      <c r="G81" s="495"/>
      <c r="H81" s="236">
        <v>55.994999999999997</v>
      </c>
      <c r="I81" s="496"/>
      <c r="J81" s="497"/>
    </row>
    <row r="82" spans="2:10">
      <c r="B82" s="217" t="s">
        <v>269</v>
      </c>
      <c r="C82" s="247">
        <v>4287</v>
      </c>
      <c r="D82" s="247" t="s">
        <v>49</v>
      </c>
      <c r="E82" s="247">
        <v>963802</v>
      </c>
      <c r="F82" s="247" t="s">
        <v>280</v>
      </c>
      <c r="G82" s="495"/>
      <c r="H82" s="236">
        <v>6.835</v>
      </c>
      <c r="I82" s="496"/>
      <c r="J82" s="497"/>
    </row>
    <row r="83" spans="2:10">
      <c r="B83" s="217" t="s">
        <v>269</v>
      </c>
      <c r="C83" s="247">
        <v>4287</v>
      </c>
      <c r="D83" s="247" t="s">
        <v>49</v>
      </c>
      <c r="E83" s="247">
        <v>921881</v>
      </c>
      <c r="F83" s="247" t="s">
        <v>334</v>
      </c>
      <c r="G83" s="495"/>
      <c r="H83" s="236">
        <v>34.319000000000003</v>
      </c>
      <c r="I83" s="496"/>
      <c r="J83" s="497"/>
    </row>
    <row r="84" spans="2:10">
      <c r="B84" s="217" t="s">
        <v>269</v>
      </c>
      <c r="C84" s="247">
        <v>4287</v>
      </c>
      <c r="D84" s="247" t="s">
        <v>49</v>
      </c>
      <c r="E84" s="247">
        <v>965905</v>
      </c>
      <c r="F84" s="247" t="s">
        <v>301</v>
      </c>
      <c r="G84" s="495"/>
      <c r="H84" s="249"/>
      <c r="I84" s="496"/>
      <c r="J84" s="497"/>
    </row>
    <row r="85" spans="2:10">
      <c r="B85" s="217" t="s">
        <v>269</v>
      </c>
      <c r="C85" s="247">
        <v>4287</v>
      </c>
      <c r="D85" s="247" t="s">
        <v>49</v>
      </c>
      <c r="E85" s="247">
        <v>952067</v>
      </c>
      <c r="F85" s="247" t="s">
        <v>299</v>
      </c>
      <c r="G85" s="495"/>
      <c r="H85" s="249"/>
      <c r="I85" s="496"/>
      <c r="J85" s="497"/>
    </row>
    <row r="86" spans="2:10">
      <c r="B86" s="217" t="s">
        <v>269</v>
      </c>
      <c r="C86" s="247">
        <v>4288</v>
      </c>
      <c r="D86" s="247" t="s">
        <v>49</v>
      </c>
      <c r="E86" s="247">
        <v>951184</v>
      </c>
      <c r="F86" s="247" t="s">
        <v>300</v>
      </c>
      <c r="G86" s="495"/>
      <c r="H86" s="263">
        <v>38.774999999999999</v>
      </c>
      <c r="I86" s="496"/>
      <c r="J86" s="497"/>
    </row>
    <row r="87" spans="2:10" ht="15.75" thickBot="1">
      <c r="B87" s="223" t="s">
        <v>269</v>
      </c>
      <c r="C87" s="251">
        <v>4287</v>
      </c>
      <c r="D87" s="251" t="s">
        <v>49</v>
      </c>
      <c r="E87" s="251">
        <v>955947</v>
      </c>
      <c r="F87" s="251" t="s">
        <v>283</v>
      </c>
      <c r="G87" s="495"/>
      <c r="H87" s="263">
        <v>18.225000000000001</v>
      </c>
      <c r="I87" s="496"/>
      <c r="J87" s="497"/>
    </row>
    <row r="88" spans="2:10" ht="15.75" thickBot="1">
      <c r="B88" s="227" t="s">
        <v>348</v>
      </c>
      <c r="C88" s="228">
        <v>3293</v>
      </c>
      <c r="D88" s="228" t="s">
        <v>192</v>
      </c>
      <c r="E88" s="228">
        <v>965098</v>
      </c>
      <c r="F88" s="228" t="s">
        <v>357</v>
      </c>
      <c r="G88" s="228">
        <v>26.757999999999999</v>
      </c>
      <c r="H88" s="21">
        <v>11.83</v>
      </c>
      <c r="I88" s="21">
        <f>G88-H88</f>
        <v>14.927999999999999</v>
      </c>
      <c r="J88" s="229">
        <f>H88/G88</f>
        <v>0.44211077061065851</v>
      </c>
    </row>
  </sheetData>
  <mergeCells count="25">
    <mergeCell ref="G63:G87"/>
    <mergeCell ref="I63:I87"/>
    <mergeCell ref="J63:J87"/>
    <mergeCell ref="I61:I62"/>
    <mergeCell ref="J61:J62"/>
    <mergeCell ref="I57:I58"/>
    <mergeCell ref="J57:J58"/>
    <mergeCell ref="G14:G31"/>
    <mergeCell ref="I14:I31"/>
    <mergeCell ref="G34:G56"/>
    <mergeCell ref="I34:I56"/>
    <mergeCell ref="J34:J56"/>
    <mergeCell ref="G32:G33"/>
    <mergeCell ref="I32:I33"/>
    <mergeCell ref="J32:J33"/>
    <mergeCell ref="J14:J31"/>
    <mergeCell ref="B2:J2"/>
    <mergeCell ref="B4:J4"/>
    <mergeCell ref="G7:G8"/>
    <mergeCell ref="I7:I8"/>
    <mergeCell ref="G9:G13"/>
    <mergeCell ref="I9:I13"/>
    <mergeCell ref="B3:J3"/>
    <mergeCell ref="J7:J8"/>
    <mergeCell ref="J9:J13"/>
  </mergeCells>
  <pageMargins left="0.7" right="0.7" top="0.75" bottom="0.75" header="0.3" footer="0.3"/>
  <pageSetup paperSize="9" orientation="portrait" r:id="rId1"/>
  <ignoredErrors>
    <ignoredError sqref="J9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E9F7"/>
  </sheetPr>
  <dimension ref="B1:G13"/>
  <sheetViews>
    <sheetView showGridLines="0" workbookViewId="0">
      <selection activeCell="F20" sqref="F20"/>
    </sheetView>
  </sheetViews>
  <sheetFormatPr baseColWidth="10" defaultRowHeight="15"/>
  <cols>
    <col min="1" max="1" width="35.85546875" style="52" customWidth="1"/>
    <col min="2" max="2" width="15.140625" style="52" customWidth="1"/>
    <col min="3" max="3" width="19.42578125" style="52" customWidth="1"/>
    <col min="4" max="4" width="18.28515625" style="52" customWidth="1"/>
    <col min="5" max="5" width="15.85546875" style="52" customWidth="1"/>
    <col min="6" max="6" width="19.28515625" style="52" customWidth="1"/>
    <col min="7" max="7" width="11.28515625" style="52" bestFit="1" customWidth="1"/>
    <col min="8" max="16384" width="11.42578125" style="52"/>
  </cols>
  <sheetData>
    <row r="1" spans="2:7" ht="15.75" thickBot="1"/>
    <row r="2" spans="2:7" ht="15.75">
      <c r="B2" s="498" t="s">
        <v>326</v>
      </c>
      <c r="C2" s="499"/>
      <c r="D2" s="499"/>
      <c r="E2" s="499"/>
      <c r="F2" s="500"/>
    </row>
    <row r="3" spans="2:7">
      <c r="B3" s="501" t="s">
        <v>323</v>
      </c>
      <c r="C3" s="502"/>
      <c r="D3" s="502"/>
      <c r="E3" s="502"/>
      <c r="F3" s="503"/>
    </row>
    <row r="4" spans="2:7" ht="15.75" thickBot="1">
      <c r="B4" s="504">
        <v>43465</v>
      </c>
      <c r="C4" s="505"/>
      <c r="D4" s="505"/>
      <c r="E4" s="505"/>
      <c r="F4" s="506"/>
    </row>
    <row r="5" spans="2:7" ht="15.75" thickBot="1"/>
    <row r="6" spans="2:7" ht="15.75" thickBot="1">
      <c r="B6" s="507" t="s">
        <v>322</v>
      </c>
      <c r="C6" s="508"/>
      <c r="D6" s="508"/>
      <c r="E6" s="508"/>
      <c r="F6" s="509"/>
      <c r="G6" s="55"/>
    </row>
    <row r="7" spans="2:7">
      <c r="B7" s="168" t="s">
        <v>306</v>
      </c>
      <c r="C7" s="163" t="s">
        <v>307</v>
      </c>
      <c r="D7" s="164" t="s">
        <v>319</v>
      </c>
      <c r="E7" s="164" t="s">
        <v>320</v>
      </c>
      <c r="F7" s="169" t="s">
        <v>308</v>
      </c>
    </row>
    <row r="8" spans="2:7" ht="15.75" thickBot="1">
      <c r="B8" s="13" t="s">
        <v>152</v>
      </c>
      <c r="C8" s="14">
        <v>3718</v>
      </c>
      <c r="D8" s="268">
        <f>SUM(E12+E13)</f>
        <v>3794.73</v>
      </c>
      <c r="E8" s="14">
        <f>C8-D8</f>
        <v>-76.730000000000018</v>
      </c>
      <c r="F8" s="170">
        <f>D8/C8</f>
        <v>1.0206374394835933</v>
      </c>
    </row>
    <row r="9" spans="2:7">
      <c r="B9" s="55"/>
      <c r="C9" s="55"/>
      <c r="D9" s="55"/>
      <c r="E9" s="55"/>
      <c r="F9" s="55"/>
      <c r="G9" s="161"/>
    </row>
    <row r="10" spans="2:7" ht="15.75" thickBot="1"/>
    <row r="11" spans="2:7" ht="15.75" thickBot="1">
      <c r="B11" s="171" t="s">
        <v>309</v>
      </c>
      <c r="C11" s="172" t="s">
        <v>310</v>
      </c>
      <c r="D11" s="172" t="s">
        <v>325</v>
      </c>
      <c r="E11" s="172" t="s">
        <v>319</v>
      </c>
      <c r="F11" s="172" t="s">
        <v>321</v>
      </c>
      <c r="G11" s="173" t="s">
        <v>308</v>
      </c>
    </row>
    <row r="12" spans="2:7">
      <c r="B12" s="225" t="s">
        <v>311</v>
      </c>
      <c r="C12" s="165" t="s">
        <v>152</v>
      </c>
      <c r="D12" s="165">
        <v>1859</v>
      </c>
      <c r="E12" s="254">
        <v>1854.693</v>
      </c>
      <c r="F12" s="165">
        <f>D12-E12</f>
        <v>4.3070000000000164</v>
      </c>
      <c r="G12" s="241">
        <f>E12/D12</f>
        <v>0.99768316299085524</v>
      </c>
    </row>
    <row r="13" spans="2:7" ht="15.75" thickBot="1">
      <c r="B13" s="226" t="s">
        <v>312</v>
      </c>
      <c r="C13" s="14" t="s">
        <v>152</v>
      </c>
      <c r="D13" s="14">
        <v>1859</v>
      </c>
      <c r="E13" s="234">
        <v>1940.037</v>
      </c>
      <c r="F13" s="14">
        <f>D13-E13</f>
        <v>-81.037000000000035</v>
      </c>
      <c r="G13" s="242">
        <f>E13/D13</f>
        <v>1.0435917159763313</v>
      </c>
    </row>
  </sheetData>
  <mergeCells count="4">
    <mergeCell ref="B2:F2"/>
    <mergeCell ref="B3:F3"/>
    <mergeCell ref="B4:F4"/>
    <mergeCell ref="B6:F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25"/>
  <sheetViews>
    <sheetView showGridLines="0" tabSelected="1" zoomScale="80" zoomScaleNormal="80" workbookViewId="0">
      <pane ySplit="1" topLeftCell="A2" activePane="bottomLeft" state="frozen"/>
      <selection pane="bottomLeft" activeCell="N7" sqref="N7"/>
    </sheetView>
  </sheetViews>
  <sheetFormatPr baseColWidth="10" defaultColWidth="11.42578125" defaultRowHeight="15"/>
  <cols>
    <col min="1" max="1" width="11.5703125" style="91" customWidth="1"/>
    <col min="2" max="2" width="8.7109375" style="91" bestFit="1" customWidth="1"/>
    <col min="3" max="3" width="9.140625" style="91" customWidth="1"/>
    <col min="4" max="4" width="17.140625" style="91" bestFit="1" customWidth="1"/>
    <col min="5" max="5" width="65.42578125" style="91" customWidth="1"/>
    <col min="6" max="6" width="14.5703125" style="91" bestFit="1" customWidth="1"/>
    <col min="7" max="7" width="20.140625" style="91" customWidth="1"/>
    <col min="8" max="8" width="10.5703125" style="91" bestFit="1" customWidth="1"/>
    <col min="9" max="9" width="21.28515625" style="91" bestFit="1" customWidth="1"/>
    <col min="10" max="10" width="15" style="91" bestFit="1" customWidth="1"/>
    <col min="11" max="11" width="14.42578125" style="91" bestFit="1" customWidth="1"/>
    <col min="12" max="12" width="9.42578125" style="91" bestFit="1" customWidth="1"/>
    <col min="13" max="13" width="17.7109375" style="92" bestFit="1" customWidth="1"/>
    <col min="14" max="14" width="11" style="112" bestFit="1" customWidth="1"/>
    <col min="15" max="15" width="11.28515625" style="91" bestFit="1" customWidth="1"/>
    <col min="16" max="16384" width="11.42578125" style="91"/>
  </cols>
  <sheetData>
    <row r="1" spans="1:15">
      <c r="A1" s="102" t="s">
        <v>136</v>
      </c>
      <c r="B1" s="102" t="s">
        <v>137</v>
      </c>
      <c r="C1" s="102" t="s">
        <v>138</v>
      </c>
      <c r="D1" s="102" t="s">
        <v>139</v>
      </c>
      <c r="E1" s="102" t="s">
        <v>140</v>
      </c>
      <c r="F1" s="102" t="s">
        <v>141</v>
      </c>
      <c r="G1" s="102" t="s">
        <v>142</v>
      </c>
      <c r="H1" s="102" t="s">
        <v>143</v>
      </c>
      <c r="I1" s="102" t="s">
        <v>144</v>
      </c>
      <c r="J1" s="102" t="s">
        <v>145</v>
      </c>
      <c r="K1" s="102" t="s">
        <v>146</v>
      </c>
      <c r="L1" s="102" t="s">
        <v>147</v>
      </c>
      <c r="M1" s="103" t="s">
        <v>148</v>
      </c>
      <c r="N1" s="111" t="s">
        <v>149</v>
      </c>
      <c r="O1" s="104" t="s">
        <v>150</v>
      </c>
    </row>
    <row r="2" spans="1:15">
      <c r="A2" s="98" t="s">
        <v>151</v>
      </c>
      <c r="B2" s="99" t="s">
        <v>152</v>
      </c>
      <c r="C2" s="99" t="s">
        <v>79</v>
      </c>
      <c r="D2" s="99" t="s">
        <v>153</v>
      </c>
      <c r="E2" s="99" t="s">
        <v>212</v>
      </c>
      <c r="F2" s="99" t="s">
        <v>154</v>
      </c>
      <c r="G2" s="97" t="s">
        <v>155</v>
      </c>
      <c r="H2" s="100">
        <f>'Cuota Industrial'!$E$5</f>
        <v>178.286</v>
      </c>
      <c r="I2" s="99">
        <f>'Cuota Industrial'!F5</f>
        <v>0</v>
      </c>
      <c r="J2" s="99">
        <f>'Cuota Industrial'!G5</f>
        <v>178.286</v>
      </c>
      <c r="K2" s="99">
        <f>'Cuota Industrial'!H5</f>
        <v>0</v>
      </c>
      <c r="L2" s="99">
        <f>'Cuota Industrial'!I5</f>
        <v>178.286</v>
      </c>
      <c r="M2" s="95">
        <f>'Cuota Industrial'!J5</f>
        <v>0</v>
      </c>
      <c r="N2" s="110" t="s">
        <v>209</v>
      </c>
      <c r="O2" s="122">
        <v>43465</v>
      </c>
    </row>
    <row r="3" spans="1:15">
      <c r="A3" s="98" t="s">
        <v>151</v>
      </c>
      <c r="B3" s="99" t="s">
        <v>152</v>
      </c>
      <c r="C3" s="99" t="s">
        <v>79</v>
      </c>
      <c r="D3" s="99" t="s">
        <v>153</v>
      </c>
      <c r="E3" s="99" t="s">
        <v>212</v>
      </c>
      <c r="F3" s="99" t="s">
        <v>156</v>
      </c>
      <c r="G3" s="99" t="s">
        <v>157</v>
      </c>
      <c r="H3" s="100">
        <f>'Cuota Industrial'!$E$6</f>
        <v>3.64</v>
      </c>
      <c r="I3" s="99">
        <f>'Cuota Industrial'!F6</f>
        <v>0</v>
      </c>
      <c r="J3" s="99">
        <f>'Cuota Industrial'!G6</f>
        <v>181.92599999999999</v>
      </c>
      <c r="K3" s="99">
        <f>'Cuota Industrial'!H6</f>
        <v>0</v>
      </c>
      <c r="L3" s="99">
        <f>'Cuota Industrial'!I6</f>
        <v>181.92599999999999</v>
      </c>
      <c r="M3" s="95">
        <f>'Cuota Industrial'!J6</f>
        <v>0</v>
      </c>
      <c r="N3" s="110" t="s">
        <v>209</v>
      </c>
      <c r="O3" s="122">
        <v>43465</v>
      </c>
    </row>
    <row r="4" spans="1:15">
      <c r="A4" s="98" t="s">
        <v>151</v>
      </c>
      <c r="B4" s="99" t="s">
        <v>152</v>
      </c>
      <c r="C4" s="99" t="s">
        <v>79</v>
      </c>
      <c r="D4" s="99" t="s">
        <v>153</v>
      </c>
      <c r="E4" s="99" t="s">
        <v>212</v>
      </c>
      <c r="F4" s="99" t="s">
        <v>154</v>
      </c>
      <c r="G4" s="99" t="s">
        <v>157</v>
      </c>
      <c r="H4" s="100">
        <f>'Cuota Industrial'!K5</f>
        <v>181.92599999999999</v>
      </c>
      <c r="I4" s="99">
        <f>'Cuota Industrial'!L5</f>
        <v>0</v>
      </c>
      <c r="J4" s="99">
        <f>'Cuota Industrial'!M5</f>
        <v>181.92599999999999</v>
      </c>
      <c r="K4" s="99">
        <f>'Cuota Industrial'!N5</f>
        <v>0</v>
      </c>
      <c r="L4" s="99">
        <f>'Cuota Industrial'!O5</f>
        <v>181.92599999999999</v>
      </c>
      <c r="M4" s="95">
        <f>'Cuota Industrial'!P5</f>
        <v>0</v>
      </c>
      <c r="N4" s="110" t="s">
        <v>209</v>
      </c>
      <c r="O4" s="122">
        <v>43465</v>
      </c>
    </row>
    <row r="5" spans="1:15">
      <c r="A5" s="98" t="s">
        <v>151</v>
      </c>
      <c r="B5" s="99" t="s">
        <v>152</v>
      </c>
      <c r="C5" s="99" t="s">
        <v>79</v>
      </c>
      <c r="D5" s="99" t="s">
        <v>153</v>
      </c>
      <c r="E5" s="99" t="s">
        <v>213</v>
      </c>
      <c r="F5" s="99" t="s">
        <v>154</v>
      </c>
      <c r="G5" s="97" t="s">
        <v>155</v>
      </c>
      <c r="H5" s="100">
        <f>'Cuota Industrial'!E7</f>
        <v>7553.433</v>
      </c>
      <c r="I5" s="99">
        <f>'Cuota Industrial'!F7</f>
        <v>-6700.304000000001</v>
      </c>
      <c r="J5" s="99">
        <f>'Cuota Industrial'!G7</f>
        <v>853.128999999999</v>
      </c>
      <c r="K5" s="99">
        <f>'Cuota Industrial'!H7</f>
        <v>779.54899999999998</v>
      </c>
      <c r="L5" s="99">
        <f>'Cuota Industrial'!I7</f>
        <v>73.579999999999018</v>
      </c>
      <c r="M5" s="95">
        <f>'Cuota Industrial'!J7</f>
        <v>0.91375278533492699</v>
      </c>
      <c r="N5" s="110" t="s">
        <v>209</v>
      </c>
      <c r="O5" s="122">
        <v>43465</v>
      </c>
    </row>
    <row r="6" spans="1:15">
      <c r="A6" s="98" t="s">
        <v>151</v>
      </c>
      <c r="B6" s="99" t="s">
        <v>152</v>
      </c>
      <c r="C6" s="99" t="s">
        <v>79</v>
      </c>
      <c r="D6" s="99" t="s">
        <v>153</v>
      </c>
      <c r="E6" s="99" t="s">
        <v>213</v>
      </c>
      <c r="F6" s="99" t="s">
        <v>156</v>
      </c>
      <c r="G6" s="99" t="s">
        <v>157</v>
      </c>
      <c r="H6" s="100">
        <f>'Cuota Industrial'!E8</f>
        <v>154.19999999999999</v>
      </c>
      <c r="I6" s="99">
        <f>'Cuota Industrial'!F8</f>
        <v>0</v>
      </c>
      <c r="J6" s="99">
        <f>'Cuota Industrial'!G8</f>
        <v>227.77999999999901</v>
      </c>
      <c r="K6" s="99">
        <f>'Cuota Industrial'!H8</f>
        <v>25.896000000000001</v>
      </c>
      <c r="L6" s="99">
        <f>'Cuota Industrial'!I8</f>
        <v>201.88399999999899</v>
      </c>
      <c r="M6" s="95">
        <f>'Cuota Industrial'!J8</f>
        <v>0.11368864694003035</v>
      </c>
      <c r="N6" s="110" t="s">
        <v>209</v>
      </c>
      <c r="O6" s="122">
        <v>43465</v>
      </c>
    </row>
    <row r="7" spans="1:15">
      <c r="A7" s="98" t="s">
        <v>151</v>
      </c>
      <c r="B7" s="99" t="s">
        <v>152</v>
      </c>
      <c r="C7" s="99" t="s">
        <v>79</v>
      </c>
      <c r="D7" s="99" t="s">
        <v>153</v>
      </c>
      <c r="E7" s="99" t="s">
        <v>213</v>
      </c>
      <c r="F7" s="99" t="s">
        <v>154</v>
      </c>
      <c r="G7" s="99" t="s">
        <v>157</v>
      </c>
      <c r="H7" s="100">
        <f>'Cuota Industrial'!K7</f>
        <v>7707.6329999999998</v>
      </c>
      <c r="I7" s="99">
        <f>'Cuota Industrial'!L7</f>
        <v>-6700.304000000001</v>
      </c>
      <c r="J7" s="99">
        <f>'Cuota Industrial'!M7</f>
        <v>1007.3289999999988</v>
      </c>
      <c r="K7" s="99">
        <f>'Cuota Industrial'!N7</f>
        <v>805.44499999999994</v>
      </c>
      <c r="L7" s="99">
        <f>'Cuota Industrial'!O7</f>
        <v>201.88399999999888</v>
      </c>
      <c r="M7" s="95">
        <f>'Cuota Industrial'!P7</f>
        <v>0.79958484268794094</v>
      </c>
      <c r="N7" s="110" t="s">
        <v>209</v>
      </c>
      <c r="O7" s="122">
        <v>43465</v>
      </c>
    </row>
    <row r="8" spans="1:15">
      <c r="A8" s="98" t="s">
        <v>151</v>
      </c>
      <c r="B8" s="99" t="s">
        <v>152</v>
      </c>
      <c r="C8" s="99" t="s">
        <v>79</v>
      </c>
      <c r="D8" s="99" t="s">
        <v>153</v>
      </c>
      <c r="E8" s="99" t="s">
        <v>214</v>
      </c>
      <c r="F8" s="99" t="s">
        <v>154</v>
      </c>
      <c r="G8" s="97" t="s">
        <v>155</v>
      </c>
      <c r="H8" s="100">
        <f>'Cuota Industrial'!E9</f>
        <v>34510.99</v>
      </c>
      <c r="I8" s="99">
        <f>'Cuota Industrial'!F9</f>
        <v>-16499.999</v>
      </c>
      <c r="J8" s="99">
        <f>'Cuota Industrial'!G9</f>
        <v>18010.990999999998</v>
      </c>
      <c r="K8" s="99">
        <f>'Cuota Industrial'!H9</f>
        <v>8768.51</v>
      </c>
      <c r="L8" s="99">
        <f>'Cuota Industrial'!I9</f>
        <v>9242.4809999999979</v>
      </c>
      <c r="M8" s="95">
        <f>'Cuota Industrial'!J9</f>
        <v>0.48684217320412859</v>
      </c>
      <c r="N8" s="110" t="s">
        <v>209</v>
      </c>
      <c r="O8" s="122">
        <v>43465</v>
      </c>
    </row>
    <row r="9" spans="1:15">
      <c r="A9" s="98" t="s">
        <v>151</v>
      </c>
      <c r="B9" s="99" t="s">
        <v>152</v>
      </c>
      <c r="C9" s="99" t="s">
        <v>79</v>
      </c>
      <c r="D9" s="99" t="s">
        <v>153</v>
      </c>
      <c r="E9" s="99" t="s">
        <v>214</v>
      </c>
      <c r="F9" s="99" t="s">
        <v>156</v>
      </c>
      <c r="G9" s="99" t="s">
        <v>157</v>
      </c>
      <c r="H9" s="100">
        <f>'Cuota Industrial'!E10</f>
        <v>704.52800000000002</v>
      </c>
      <c r="I9" s="99">
        <f>'Cuota Industrial'!F10</f>
        <v>0</v>
      </c>
      <c r="J9" s="99">
        <f>'Cuota Industrial'!G10</f>
        <v>9947.0089999999982</v>
      </c>
      <c r="K9" s="99">
        <f>'Cuota Industrial'!H10</f>
        <v>0</v>
      </c>
      <c r="L9" s="99">
        <f>'Cuota Industrial'!I10</f>
        <v>9947.0089999999982</v>
      </c>
      <c r="M9" s="95">
        <f>'Cuota Industrial'!J10</f>
        <v>0</v>
      </c>
      <c r="N9" s="110" t="s">
        <v>209</v>
      </c>
      <c r="O9" s="122">
        <v>43465</v>
      </c>
    </row>
    <row r="10" spans="1:15">
      <c r="A10" s="98" t="s">
        <v>151</v>
      </c>
      <c r="B10" s="99" t="s">
        <v>152</v>
      </c>
      <c r="C10" s="99" t="s">
        <v>79</v>
      </c>
      <c r="D10" s="99" t="s">
        <v>153</v>
      </c>
      <c r="E10" s="99" t="s">
        <v>214</v>
      </c>
      <c r="F10" s="99" t="s">
        <v>154</v>
      </c>
      <c r="G10" s="99" t="s">
        <v>157</v>
      </c>
      <c r="H10" s="100">
        <f>'Cuota Industrial'!K9</f>
        <v>35215.517999999996</v>
      </c>
      <c r="I10" s="99">
        <f>'Cuota Industrial'!L9</f>
        <v>-16499.999</v>
      </c>
      <c r="J10" s="99">
        <f>'Cuota Industrial'!M9</f>
        <v>18715.518999999997</v>
      </c>
      <c r="K10" s="99">
        <f>'Cuota Industrial'!N9</f>
        <v>8768.51</v>
      </c>
      <c r="L10" s="99">
        <f>'Cuota Industrial'!O9</f>
        <v>9947.0089999999964</v>
      </c>
      <c r="M10" s="95">
        <f>'Cuota Industrial'!P9</f>
        <v>0.46851546035138014</v>
      </c>
      <c r="N10" s="110" t="s">
        <v>209</v>
      </c>
      <c r="O10" s="122">
        <v>43465</v>
      </c>
    </row>
    <row r="11" spans="1:15">
      <c r="A11" s="146" t="s">
        <v>151</v>
      </c>
      <c r="B11" s="99" t="s">
        <v>152</v>
      </c>
      <c r="C11" s="99" t="s">
        <v>79</v>
      </c>
      <c r="D11" s="99" t="s">
        <v>153</v>
      </c>
      <c r="E11" s="99" t="s">
        <v>215</v>
      </c>
      <c r="F11" s="99" t="s">
        <v>154</v>
      </c>
      <c r="G11" s="97" t="s">
        <v>155</v>
      </c>
      <c r="H11" s="100">
        <f>'Cuota Industrial'!E11</f>
        <v>3722.0750000000003</v>
      </c>
      <c r="I11" s="99">
        <f>'Cuota Industrial'!F11</f>
        <v>3754.998</v>
      </c>
      <c r="J11" s="99">
        <f>'Cuota Industrial'!G11</f>
        <v>7477.0730000000003</v>
      </c>
      <c r="K11" s="99">
        <f>'Cuota Industrial'!H11</f>
        <v>0</v>
      </c>
      <c r="L11" s="99">
        <f>'Cuota Industrial'!I11</f>
        <v>7477.0730000000003</v>
      </c>
      <c r="M11" s="95">
        <f>'Cuota Industrial'!J11</f>
        <v>0</v>
      </c>
      <c r="N11" s="110" t="s">
        <v>209</v>
      </c>
      <c r="O11" s="122">
        <v>43465</v>
      </c>
    </row>
    <row r="12" spans="1:15">
      <c r="A12" s="146" t="s">
        <v>151</v>
      </c>
      <c r="B12" s="99" t="s">
        <v>152</v>
      </c>
      <c r="C12" s="99" t="s">
        <v>79</v>
      </c>
      <c r="D12" s="99" t="s">
        <v>153</v>
      </c>
      <c r="E12" s="99" t="s">
        <v>215</v>
      </c>
      <c r="F12" s="99" t="s">
        <v>156</v>
      </c>
      <c r="G12" s="99" t="s">
        <v>157</v>
      </c>
      <c r="H12" s="100">
        <f>'Cuota Industrial'!E12</f>
        <v>75.984999999999999</v>
      </c>
      <c r="I12" s="99">
        <f>'Cuota Industrial'!F12</f>
        <v>0</v>
      </c>
      <c r="J12" s="99">
        <f>'Cuota Industrial'!G12</f>
        <v>7553.058</v>
      </c>
      <c r="K12" s="99">
        <f>'Cuota Industrial'!H12</f>
        <v>0</v>
      </c>
      <c r="L12" s="99">
        <f>'Cuota Industrial'!I12</f>
        <v>7553.058</v>
      </c>
      <c r="M12" s="95">
        <f>'Cuota Industrial'!J12</f>
        <v>0</v>
      </c>
      <c r="N12" s="110" t="s">
        <v>209</v>
      </c>
      <c r="O12" s="122">
        <v>43465</v>
      </c>
    </row>
    <row r="13" spans="1:15">
      <c r="A13" s="146" t="s">
        <v>151</v>
      </c>
      <c r="B13" s="99" t="s">
        <v>152</v>
      </c>
      <c r="C13" s="99" t="s">
        <v>79</v>
      </c>
      <c r="D13" s="99" t="s">
        <v>153</v>
      </c>
      <c r="E13" s="99" t="s">
        <v>215</v>
      </c>
      <c r="F13" s="99" t="s">
        <v>154</v>
      </c>
      <c r="G13" s="99" t="s">
        <v>157</v>
      </c>
      <c r="H13" s="100">
        <f>'Cuota Industrial'!K11</f>
        <v>3798.0600000000004</v>
      </c>
      <c r="I13" s="99">
        <f>'Cuota Industrial'!L11</f>
        <v>3754.998</v>
      </c>
      <c r="J13" s="99">
        <f>'Cuota Industrial'!M11</f>
        <v>7553.0580000000009</v>
      </c>
      <c r="K13" s="99">
        <f>'Cuota Industrial'!N11</f>
        <v>0</v>
      </c>
      <c r="L13" s="99">
        <f>'Cuota Industrial'!O11</f>
        <v>7553.0580000000009</v>
      </c>
      <c r="M13" s="95">
        <f>'Cuota Industrial'!P11</f>
        <v>0</v>
      </c>
      <c r="N13" s="110" t="s">
        <v>209</v>
      </c>
      <c r="O13" s="122">
        <v>43465</v>
      </c>
    </row>
    <row r="14" spans="1:15">
      <c r="A14" s="98" t="s">
        <v>151</v>
      </c>
      <c r="B14" s="99" t="s">
        <v>152</v>
      </c>
      <c r="C14" s="99" t="s">
        <v>79</v>
      </c>
      <c r="D14" s="99" t="s">
        <v>153</v>
      </c>
      <c r="E14" s="99" t="s">
        <v>216</v>
      </c>
      <c r="F14" s="99" t="s">
        <v>154</v>
      </c>
      <c r="G14" s="97" t="s">
        <v>155</v>
      </c>
      <c r="H14" s="100">
        <f>'Cuota Industrial'!E13</f>
        <v>1067.769</v>
      </c>
      <c r="I14" s="100">
        <f>'Cuota Industrial'!F13</f>
        <v>-1089.5640000000001</v>
      </c>
      <c r="J14" s="99">
        <f>'Cuota Industrial'!G13</f>
        <v>-21.795000000000073</v>
      </c>
      <c r="K14" s="99">
        <f>'Cuota Industrial'!H13</f>
        <v>0</v>
      </c>
      <c r="L14" s="99">
        <f>'Cuota Industrial'!I13</f>
        <v>-21.795000000000073</v>
      </c>
      <c r="M14" s="95">
        <f>'Cuota Industrial'!J13</f>
        <v>0</v>
      </c>
      <c r="N14" s="110" t="s">
        <v>209</v>
      </c>
      <c r="O14" s="122">
        <v>43465</v>
      </c>
    </row>
    <row r="15" spans="1:15">
      <c r="A15" s="98" t="s">
        <v>151</v>
      </c>
      <c r="B15" s="99" t="s">
        <v>152</v>
      </c>
      <c r="C15" s="99" t="s">
        <v>79</v>
      </c>
      <c r="D15" s="99" t="s">
        <v>153</v>
      </c>
      <c r="E15" s="99" t="s">
        <v>216</v>
      </c>
      <c r="F15" s="99" t="s">
        <v>156</v>
      </c>
      <c r="G15" s="99" t="s">
        <v>157</v>
      </c>
      <c r="H15" s="100">
        <f>'Cuota Industrial'!E14</f>
        <v>21.800999999999998</v>
      </c>
      <c r="I15" s="100">
        <f>'Cuota Industrial'!F14</f>
        <v>0</v>
      </c>
      <c r="J15" s="99">
        <f>'Cuota Industrial'!G14</f>
        <v>5.9999999999256204E-3</v>
      </c>
      <c r="K15" s="99">
        <f>'Cuota Industrial'!H14</f>
        <v>0</v>
      </c>
      <c r="L15" s="99">
        <f>'Cuota Industrial'!I14</f>
        <v>5.9999999999256204E-3</v>
      </c>
      <c r="M15" s="95">
        <f>'Cuota Industrial'!J14</f>
        <v>0</v>
      </c>
      <c r="N15" s="110" t="s">
        <v>209</v>
      </c>
      <c r="O15" s="122">
        <v>43465</v>
      </c>
    </row>
    <row r="16" spans="1:15">
      <c r="A16" s="98" t="s">
        <v>151</v>
      </c>
      <c r="B16" s="99" t="s">
        <v>152</v>
      </c>
      <c r="C16" s="99" t="s">
        <v>79</v>
      </c>
      <c r="D16" s="99" t="s">
        <v>153</v>
      </c>
      <c r="E16" s="99" t="s">
        <v>216</v>
      </c>
      <c r="F16" s="99" t="s">
        <v>154</v>
      </c>
      <c r="G16" s="99" t="s">
        <v>157</v>
      </c>
      <c r="H16" s="100">
        <f>'Cuota Industrial'!K13</f>
        <v>1089.57</v>
      </c>
      <c r="I16" s="100">
        <f>'Cuota Industrial'!L13</f>
        <v>-1089.5640000000001</v>
      </c>
      <c r="J16" s="99">
        <f>'Cuota Industrial'!M13</f>
        <v>5.9999999998581188E-3</v>
      </c>
      <c r="K16" s="99">
        <f>'Cuota Industrial'!N13</f>
        <v>0</v>
      </c>
      <c r="L16" s="99">
        <f>'Cuota Industrial'!O13</f>
        <v>5.9999999998581188E-3</v>
      </c>
      <c r="M16" s="95">
        <f>'Cuota Industrial'!P13</f>
        <v>0</v>
      </c>
      <c r="N16" s="110" t="s">
        <v>209</v>
      </c>
      <c r="O16" s="122">
        <v>43465</v>
      </c>
    </row>
    <row r="17" spans="1:15">
      <c r="A17" s="98" t="s">
        <v>151</v>
      </c>
      <c r="B17" s="99" t="s">
        <v>152</v>
      </c>
      <c r="C17" s="99" t="s">
        <v>79</v>
      </c>
      <c r="D17" s="99" t="s">
        <v>153</v>
      </c>
      <c r="E17" s="99" t="s">
        <v>217</v>
      </c>
      <c r="F17" s="99" t="s">
        <v>154</v>
      </c>
      <c r="G17" s="97" t="s">
        <v>155</v>
      </c>
      <c r="H17" s="100">
        <f>'Cuota Industrial'!E15</f>
        <v>2059.2689999999998</v>
      </c>
      <c r="I17" s="100">
        <f>'Cuota Industrial'!F15</f>
        <v>-2101.3020000000001</v>
      </c>
      <c r="J17" s="100">
        <f>'Cuota Industrial'!G15</f>
        <v>-42.033000000000357</v>
      </c>
      <c r="K17" s="105">
        <v>0</v>
      </c>
      <c r="L17" s="100">
        <f>'Cuota Industrial'!I15</f>
        <v>-42.033000000000357</v>
      </c>
      <c r="M17" s="95">
        <f>'Cuota Industrial'!J15</f>
        <v>0</v>
      </c>
      <c r="N17" s="110" t="s">
        <v>209</v>
      </c>
      <c r="O17" s="122">
        <v>43465</v>
      </c>
    </row>
    <row r="18" spans="1:15">
      <c r="A18" s="98" t="s">
        <v>151</v>
      </c>
      <c r="B18" s="99" t="s">
        <v>152</v>
      </c>
      <c r="C18" s="99" t="s">
        <v>79</v>
      </c>
      <c r="D18" s="99" t="s">
        <v>153</v>
      </c>
      <c r="E18" s="99" t="s">
        <v>217</v>
      </c>
      <c r="F18" s="99" t="s">
        <v>156</v>
      </c>
      <c r="G18" s="99" t="s">
        <v>157</v>
      </c>
      <c r="H18" s="100">
        <f>'Cuota Industrial'!E16</f>
        <v>42.045000000000002</v>
      </c>
      <c r="I18" s="99">
        <f>'Cuota Industrial'!F16</f>
        <v>0</v>
      </c>
      <c r="J18" s="99">
        <f>'Cuota Industrial'!G16</f>
        <v>1.1999999999645183E-2</v>
      </c>
      <c r="K18" s="99">
        <f>'Cuota Industrial'!H16</f>
        <v>0</v>
      </c>
      <c r="L18" s="99">
        <f>'Cuota Industrial'!I16</f>
        <v>1.1999999999645183E-2</v>
      </c>
      <c r="M18" s="95">
        <f>'Cuota Industrial'!J16</f>
        <v>0</v>
      </c>
      <c r="N18" s="110" t="s">
        <v>209</v>
      </c>
      <c r="O18" s="122">
        <v>43465</v>
      </c>
    </row>
    <row r="19" spans="1:15">
      <c r="A19" s="98" t="s">
        <v>151</v>
      </c>
      <c r="B19" s="99" t="s">
        <v>152</v>
      </c>
      <c r="C19" s="99" t="s">
        <v>79</v>
      </c>
      <c r="D19" s="99" t="s">
        <v>153</v>
      </c>
      <c r="E19" s="99" t="s">
        <v>217</v>
      </c>
      <c r="F19" s="99" t="s">
        <v>154</v>
      </c>
      <c r="G19" s="99" t="s">
        <v>157</v>
      </c>
      <c r="H19" s="100">
        <f>'Cuota Industrial'!K15</f>
        <v>2101.3139999999999</v>
      </c>
      <c r="I19" s="99">
        <f>'Cuota Industrial'!L15</f>
        <v>-2101.3020000000001</v>
      </c>
      <c r="J19" s="99">
        <f>'Cuota Industrial'!M15</f>
        <v>1.1999999999716238E-2</v>
      </c>
      <c r="K19" s="99">
        <f>'Cuota Industrial'!N15</f>
        <v>0</v>
      </c>
      <c r="L19" s="99">
        <f>'Cuota Industrial'!O15</f>
        <v>1.1999999999716238E-2</v>
      </c>
      <c r="M19" s="95">
        <f>'Cuota Industrial'!P15</f>
        <v>0</v>
      </c>
      <c r="N19" s="110" t="s">
        <v>209</v>
      </c>
      <c r="O19" s="122">
        <v>43465</v>
      </c>
    </row>
    <row r="20" spans="1:15">
      <c r="A20" s="98" t="s">
        <v>151</v>
      </c>
      <c r="B20" s="99" t="s">
        <v>152</v>
      </c>
      <c r="C20" s="99" t="s">
        <v>79</v>
      </c>
      <c r="D20" s="99" t="s">
        <v>153</v>
      </c>
      <c r="E20" s="99" t="s">
        <v>218</v>
      </c>
      <c r="F20" s="99" t="s">
        <v>154</v>
      </c>
      <c r="G20" s="97" t="s">
        <v>155</v>
      </c>
      <c r="H20" s="100">
        <f>'Cuota Industrial'!E17</f>
        <v>686.42399999999998</v>
      </c>
      <c r="I20" s="99">
        <f>'Cuota Industrial'!F17</f>
        <v>-700.43400000000008</v>
      </c>
      <c r="J20" s="99">
        <f>'Cuota Industrial'!G17</f>
        <v>-14.010000000000105</v>
      </c>
      <c r="K20" s="99">
        <f>'Cuota Industrial'!H18</f>
        <v>0</v>
      </c>
      <c r="L20" s="99">
        <f>'Cuota Industrial'!I17</f>
        <v>-14.010000000000105</v>
      </c>
      <c r="M20" s="95">
        <f>'Cuota Industrial'!J17</f>
        <v>0</v>
      </c>
      <c r="N20" s="110" t="s">
        <v>209</v>
      </c>
      <c r="O20" s="122">
        <v>43465</v>
      </c>
    </row>
    <row r="21" spans="1:15">
      <c r="A21" s="98" t="s">
        <v>151</v>
      </c>
      <c r="B21" s="99" t="s">
        <v>152</v>
      </c>
      <c r="C21" s="99" t="s">
        <v>79</v>
      </c>
      <c r="D21" s="99" t="s">
        <v>153</v>
      </c>
      <c r="E21" s="99" t="s">
        <v>218</v>
      </c>
      <c r="F21" s="99" t="s">
        <v>156</v>
      </c>
      <c r="G21" s="99" t="s">
        <v>157</v>
      </c>
      <c r="H21" s="100">
        <f>'Cuota Industrial'!E18</f>
        <v>14.016</v>
      </c>
      <c r="I21" s="99">
        <f>'Cuota Industrial'!F18</f>
        <v>0</v>
      </c>
      <c r="J21" s="99">
        <f>'Cuota Industrial'!G18</f>
        <v>5.9999999998954223E-3</v>
      </c>
      <c r="K21" s="99">
        <f>'Cuota Industrial'!H18</f>
        <v>0</v>
      </c>
      <c r="L21" s="99">
        <f>'Cuota Industrial'!I18</f>
        <v>5.9999999998954223E-3</v>
      </c>
      <c r="M21" s="95">
        <f>'Cuota Industrial'!J18</f>
        <v>0</v>
      </c>
      <c r="N21" s="110" t="s">
        <v>209</v>
      </c>
      <c r="O21" s="122">
        <v>43465</v>
      </c>
    </row>
    <row r="22" spans="1:15">
      <c r="A22" s="98" t="s">
        <v>151</v>
      </c>
      <c r="B22" s="99" t="s">
        <v>152</v>
      </c>
      <c r="C22" s="99" t="s">
        <v>79</v>
      </c>
      <c r="D22" s="99" t="s">
        <v>153</v>
      </c>
      <c r="E22" s="99" t="s">
        <v>218</v>
      </c>
      <c r="F22" s="99" t="s">
        <v>154</v>
      </c>
      <c r="G22" s="99" t="s">
        <v>157</v>
      </c>
      <c r="H22" s="100">
        <f>'Cuota Industrial'!K17</f>
        <v>700.43999999999994</v>
      </c>
      <c r="I22" s="99">
        <f>'Cuota Industrial'!L17</f>
        <v>-700.43400000000008</v>
      </c>
      <c r="J22" s="99">
        <f>'Cuota Industrial'!M17</f>
        <v>5.9999999998581188E-3</v>
      </c>
      <c r="K22" s="99">
        <f>'Cuota Industrial'!N17</f>
        <v>0</v>
      </c>
      <c r="L22" s="99">
        <f>'Cuota Industrial'!O17</f>
        <v>5.9999999998581188E-3</v>
      </c>
      <c r="M22" s="95">
        <f>'Cuota Industrial'!P17</f>
        <v>0</v>
      </c>
      <c r="N22" s="110" t="s">
        <v>209</v>
      </c>
      <c r="O22" s="122">
        <v>43465</v>
      </c>
    </row>
    <row r="23" spans="1:15">
      <c r="A23" s="98" t="s">
        <v>151</v>
      </c>
      <c r="B23" s="99" t="s">
        <v>152</v>
      </c>
      <c r="C23" s="99" t="s">
        <v>79</v>
      </c>
      <c r="D23" s="99" t="s">
        <v>153</v>
      </c>
      <c r="E23" s="99" t="s">
        <v>16</v>
      </c>
      <c r="F23" s="99" t="s">
        <v>154</v>
      </c>
      <c r="G23" s="97" t="s">
        <v>155</v>
      </c>
      <c r="H23" s="100">
        <f>'Cuota Industrial'!E19</f>
        <v>190.673</v>
      </c>
      <c r="I23" s="99">
        <f>'Cuota Industrial'!F19</f>
        <v>-194.565</v>
      </c>
      <c r="J23" s="99">
        <f>'Cuota Industrial'!G19</f>
        <v>-3.8919999999999959</v>
      </c>
      <c r="K23" s="99">
        <f>'Cuota Industrial'!H19</f>
        <v>0</v>
      </c>
      <c r="L23" s="99">
        <f>'Cuota Industrial'!I19</f>
        <v>-3.8919999999999959</v>
      </c>
      <c r="M23" s="95">
        <f>'Cuota Industrial'!J19</f>
        <v>0</v>
      </c>
      <c r="N23" s="110" t="s">
        <v>209</v>
      </c>
      <c r="O23" s="122">
        <v>43465</v>
      </c>
    </row>
    <row r="24" spans="1:15">
      <c r="A24" s="98" t="s">
        <v>151</v>
      </c>
      <c r="B24" s="99" t="s">
        <v>152</v>
      </c>
      <c r="C24" s="99" t="s">
        <v>79</v>
      </c>
      <c r="D24" s="99" t="s">
        <v>153</v>
      </c>
      <c r="E24" s="99" t="s">
        <v>16</v>
      </c>
      <c r="F24" s="99" t="s">
        <v>156</v>
      </c>
      <c r="G24" s="99" t="s">
        <v>157</v>
      </c>
      <c r="H24" s="100">
        <f>'Cuota Industrial'!E20</f>
        <v>3.8929999999999998</v>
      </c>
      <c r="I24" s="99">
        <f>'Cuota Industrial'!F20</f>
        <v>0</v>
      </c>
      <c r="J24" s="99">
        <f>'Cuota Industrial'!G20</f>
        <v>1.0000000000038867E-3</v>
      </c>
      <c r="K24" s="99">
        <f>'Cuota Industrial'!H20</f>
        <v>0</v>
      </c>
      <c r="L24" s="99">
        <f>'Cuota Industrial'!I20</f>
        <v>1.0000000000038867E-3</v>
      </c>
      <c r="M24" s="95">
        <f>'Cuota Industrial'!J20</f>
        <v>0</v>
      </c>
      <c r="N24" s="110" t="s">
        <v>209</v>
      </c>
      <c r="O24" s="122">
        <v>43465</v>
      </c>
    </row>
    <row r="25" spans="1:15">
      <c r="A25" s="98" t="s">
        <v>151</v>
      </c>
      <c r="B25" s="99" t="s">
        <v>152</v>
      </c>
      <c r="C25" s="99" t="s">
        <v>79</v>
      </c>
      <c r="D25" s="99" t="s">
        <v>153</v>
      </c>
      <c r="E25" s="99" t="s">
        <v>16</v>
      </c>
      <c r="F25" s="99" t="s">
        <v>154</v>
      </c>
      <c r="G25" s="99" t="s">
        <v>157</v>
      </c>
      <c r="H25" s="100">
        <f>'Cuota Industrial'!K19</f>
        <v>194.566</v>
      </c>
      <c r="I25" s="99">
        <f>'Cuota Industrial'!L19</f>
        <v>-194.565</v>
      </c>
      <c r="J25" s="99">
        <f>'Cuota Industrial'!M19</f>
        <v>1.0000000000047748E-3</v>
      </c>
      <c r="K25" s="99">
        <f>'Cuota Industrial'!N19</f>
        <v>0</v>
      </c>
      <c r="L25" s="99">
        <f>'Cuota Industrial'!O19</f>
        <v>1.0000000000047748E-3</v>
      </c>
      <c r="M25" s="95">
        <f>'Cuota Industrial'!P19</f>
        <v>0</v>
      </c>
      <c r="N25" s="110" t="s">
        <v>209</v>
      </c>
      <c r="O25" s="122">
        <v>43465</v>
      </c>
    </row>
    <row r="26" spans="1:15">
      <c r="A26" s="98" t="s">
        <v>151</v>
      </c>
      <c r="B26" s="99" t="s">
        <v>152</v>
      </c>
      <c r="C26" s="99" t="s">
        <v>79</v>
      </c>
      <c r="D26" s="99" t="s">
        <v>153</v>
      </c>
      <c r="E26" s="99" t="s">
        <v>17</v>
      </c>
      <c r="F26" s="99" t="s">
        <v>154</v>
      </c>
      <c r="G26" s="97" t="s">
        <v>155</v>
      </c>
      <c r="H26" s="100">
        <f>'Cuota Industrial'!E21</f>
        <v>381.346</v>
      </c>
      <c r="I26" s="100">
        <f>'Cuota Industrial'!F21</f>
        <v>-389.13</v>
      </c>
      <c r="J26" s="100">
        <f>'Cuota Industrial'!G21</f>
        <v>-7.7839999999999918</v>
      </c>
      <c r="K26" s="105">
        <f>'Cuota Industrial'!H21</f>
        <v>0</v>
      </c>
      <c r="L26" s="100">
        <f>'Cuota Industrial'!I21</f>
        <v>-7.7839999999999918</v>
      </c>
      <c r="M26" s="95">
        <f>'Cuota Industrial'!J21</f>
        <v>0</v>
      </c>
      <c r="N26" s="110" t="s">
        <v>209</v>
      </c>
      <c r="O26" s="122">
        <v>43465</v>
      </c>
    </row>
    <row r="27" spans="1:15">
      <c r="A27" s="98" t="s">
        <v>151</v>
      </c>
      <c r="B27" s="99" t="s">
        <v>152</v>
      </c>
      <c r="C27" s="99" t="s">
        <v>79</v>
      </c>
      <c r="D27" s="99" t="s">
        <v>153</v>
      </c>
      <c r="E27" s="99" t="s">
        <v>17</v>
      </c>
      <c r="F27" s="99" t="s">
        <v>156</v>
      </c>
      <c r="G27" s="99" t="s">
        <v>157</v>
      </c>
      <c r="H27" s="100">
        <f>'Cuota Industrial'!E22</f>
        <v>7.7859999999999996</v>
      </c>
      <c r="I27" s="100">
        <f>'Cuota Industrial'!F22</f>
        <v>0</v>
      </c>
      <c r="J27" s="100">
        <f>'Cuota Industrial'!G22</f>
        <v>2.0000000000077733E-3</v>
      </c>
      <c r="K27" s="105">
        <f>'Cuota Industrial'!H22</f>
        <v>0</v>
      </c>
      <c r="L27" s="100">
        <f>'Cuota Industrial'!I22</f>
        <v>2.0000000000077733E-3</v>
      </c>
      <c r="M27" s="95">
        <f>'Cuota Industrial'!J22</f>
        <v>0</v>
      </c>
      <c r="N27" s="110" t="s">
        <v>209</v>
      </c>
      <c r="O27" s="122">
        <v>43465</v>
      </c>
    </row>
    <row r="28" spans="1:15">
      <c r="A28" s="98" t="s">
        <v>151</v>
      </c>
      <c r="B28" s="99" t="s">
        <v>152</v>
      </c>
      <c r="C28" s="99" t="s">
        <v>79</v>
      </c>
      <c r="D28" s="99" t="s">
        <v>153</v>
      </c>
      <c r="E28" s="99" t="s">
        <v>17</v>
      </c>
      <c r="F28" s="99" t="s">
        <v>154</v>
      </c>
      <c r="G28" s="99" t="s">
        <v>157</v>
      </c>
      <c r="H28" s="100">
        <f>'Cuota Industrial'!K21</f>
        <v>389.13200000000001</v>
      </c>
      <c r="I28" s="99">
        <f>'Cuota Industrial'!L21</f>
        <v>-389.13</v>
      </c>
      <c r="J28" s="99">
        <f>'Cuota Industrial'!M21</f>
        <v>2.0000000000095497E-3</v>
      </c>
      <c r="K28" s="99">
        <f>'Cuota Industrial'!N21</f>
        <v>0</v>
      </c>
      <c r="L28" s="99">
        <f>'Cuota Industrial'!O21</f>
        <v>2.0000000000095497E-3</v>
      </c>
      <c r="M28" s="95">
        <f>'Cuota Industrial'!P21</f>
        <v>0</v>
      </c>
      <c r="N28" s="110" t="s">
        <v>209</v>
      </c>
      <c r="O28" s="122">
        <v>43465</v>
      </c>
    </row>
    <row r="29" spans="1:15">
      <c r="A29" s="98" t="s">
        <v>151</v>
      </c>
      <c r="B29" s="99" t="s">
        <v>152</v>
      </c>
      <c r="C29" s="99" t="s">
        <v>79</v>
      </c>
      <c r="D29" s="99" t="s">
        <v>153</v>
      </c>
      <c r="E29" s="99" t="s">
        <v>219</v>
      </c>
      <c r="F29" s="99" t="s">
        <v>154</v>
      </c>
      <c r="G29" s="97" t="s">
        <v>155</v>
      </c>
      <c r="H29" s="100">
        <f>'Cuota Industrial'!E23</f>
        <v>190.673</v>
      </c>
      <c r="I29" s="99">
        <f>'Cuota Industrial'!F23</f>
        <v>-194.565</v>
      </c>
      <c r="J29" s="99">
        <f>'Cuota Industrial'!G23</f>
        <v>-3.8919999999999959</v>
      </c>
      <c r="K29" s="99">
        <f>'Cuota Industrial'!H23</f>
        <v>0</v>
      </c>
      <c r="L29" s="99">
        <f>'Cuota Industrial'!I23</f>
        <v>-3.8919999999999959</v>
      </c>
      <c r="M29" s="95">
        <f>'Cuota Industrial'!J23</f>
        <v>0</v>
      </c>
      <c r="N29" s="110" t="s">
        <v>209</v>
      </c>
      <c r="O29" s="122">
        <v>43465</v>
      </c>
    </row>
    <row r="30" spans="1:15">
      <c r="A30" s="98" t="s">
        <v>151</v>
      </c>
      <c r="B30" s="99" t="s">
        <v>152</v>
      </c>
      <c r="C30" s="99" t="s">
        <v>79</v>
      </c>
      <c r="D30" s="99" t="s">
        <v>153</v>
      </c>
      <c r="E30" s="99" t="s">
        <v>219</v>
      </c>
      <c r="F30" s="99" t="s">
        <v>156</v>
      </c>
      <c r="G30" s="99" t="s">
        <v>157</v>
      </c>
      <c r="H30" s="100">
        <f>'Cuota Industrial'!E24</f>
        <v>3.8929999999999998</v>
      </c>
      <c r="I30" s="99">
        <f>'Cuota Industrial'!F24</f>
        <v>0</v>
      </c>
      <c r="J30" s="99">
        <f>'Cuota Industrial'!G24</f>
        <v>1.0000000000038867E-3</v>
      </c>
      <c r="K30" s="99">
        <f>'Cuota Industrial'!H24</f>
        <v>0</v>
      </c>
      <c r="L30" s="99">
        <f>'Cuota Industrial'!I24</f>
        <v>1.0000000000038867E-3</v>
      </c>
      <c r="M30" s="95">
        <v>0</v>
      </c>
      <c r="N30" s="110" t="s">
        <v>209</v>
      </c>
      <c r="O30" s="122">
        <v>43465</v>
      </c>
    </row>
    <row r="31" spans="1:15">
      <c r="A31" s="98" t="s">
        <v>151</v>
      </c>
      <c r="B31" s="99" t="s">
        <v>152</v>
      </c>
      <c r="C31" s="99" t="s">
        <v>79</v>
      </c>
      <c r="D31" s="99" t="s">
        <v>153</v>
      </c>
      <c r="E31" s="99" t="s">
        <v>219</v>
      </c>
      <c r="F31" s="99" t="s">
        <v>154</v>
      </c>
      <c r="G31" s="99" t="s">
        <v>157</v>
      </c>
      <c r="H31" s="100">
        <f>'Cuota Industrial'!K23</f>
        <v>194.566</v>
      </c>
      <c r="I31" s="99">
        <f>'Cuota Industrial'!L23</f>
        <v>-194.565</v>
      </c>
      <c r="J31" s="99">
        <f>'Cuota Industrial'!M23</f>
        <v>1.0000000000047748E-3</v>
      </c>
      <c r="K31" s="99">
        <f>'Cuota Industrial'!N23</f>
        <v>0</v>
      </c>
      <c r="L31" s="99">
        <f>'Cuota Industrial'!O23</f>
        <v>1.0000000000047748E-3</v>
      </c>
      <c r="M31" s="95">
        <f>'Cuota Industrial'!P23</f>
        <v>0</v>
      </c>
      <c r="N31" s="110" t="s">
        <v>209</v>
      </c>
      <c r="O31" s="122">
        <v>43465</v>
      </c>
    </row>
    <row r="32" spans="1:15">
      <c r="A32" s="98" t="s">
        <v>151</v>
      </c>
      <c r="B32" s="99" t="s">
        <v>152</v>
      </c>
      <c r="C32" s="99" t="s">
        <v>79</v>
      </c>
      <c r="D32" s="99" t="s">
        <v>153</v>
      </c>
      <c r="E32" s="99" t="s">
        <v>220</v>
      </c>
      <c r="F32" s="99" t="s">
        <v>154</v>
      </c>
      <c r="G32" s="97" t="s">
        <v>155</v>
      </c>
      <c r="H32" s="100">
        <f>'Cuota Industrial'!E25</f>
        <v>305.07600000000002</v>
      </c>
      <c r="I32" s="99">
        <f>'Cuota Industrial'!F25</f>
        <v>-311.30399999999997</v>
      </c>
      <c r="J32" s="99">
        <f>'Cuota Industrial'!G25</f>
        <v>-6.2279999999999518</v>
      </c>
      <c r="K32" s="99">
        <f>'Cuota Industrial'!H25</f>
        <v>0</v>
      </c>
      <c r="L32" s="99">
        <f>'Cuota Industrial'!I25</f>
        <v>-6.2279999999999518</v>
      </c>
      <c r="M32" s="95">
        <f>'Cuota Industrial'!J25</f>
        <v>0</v>
      </c>
      <c r="N32" s="110" t="s">
        <v>209</v>
      </c>
      <c r="O32" s="122">
        <v>43465</v>
      </c>
    </row>
    <row r="33" spans="1:15">
      <c r="A33" s="98" t="s">
        <v>151</v>
      </c>
      <c r="B33" s="99" t="s">
        <v>152</v>
      </c>
      <c r="C33" s="99" t="s">
        <v>79</v>
      </c>
      <c r="D33" s="99" t="s">
        <v>153</v>
      </c>
      <c r="E33" s="99" t="s">
        <v>220</v>
      </c>
      <c r="F33" s="99" t="s">
        <v>156</v>
      </c>
      <c r="G33" s="99" t="s">
        <v>157</v>
      </c>
      <c r="H33" s="100">
        <f>'Cuota Industrial'!E26</f>
        <v>6.2279999999999998</v>
      </c>
      <c r="I33" s="99">
        <f>'Cuota Industrial'!F26</f>
        <v>0</v>
      </c>
      <c r="J33" s="99">
        <f>'Cuota Industrial'!G26</f>
        <v>0</v>
      </c>
      <c r="K33" s="99">
        <f>'Cuota Industrial'!H26</f>
        <v>0</v>
      </c>
      <c r="L33" s="99">
        <f>'Cuota Industrial'!I26</f>
        <v>0</v>
      </c>
      <c r="M33" s="95">
        <f>'Cuota Industrial'!J26</f>
        <v>0</v>
      </c>
      <c r="N33" s="110" t="s">
        <v>209</v>
      </c>
      <c r="O33" s="122">
        <v>43465</v>
      </c>
    </row>
    <row r="34" spans="1:15">
      <c r="A34" s="98" t="s">
        <v>151</v>
      </c>
      <c r="B34" s="99" t="s">
        <v>152</v>
      </c>
      <c r="C34" s="99" t="s">
        <v>79</v>
      </c>
      <c r="D34" s="99" t="s">
        <v>153</v>
      </c>
      <c r="E34" s="99" t="s">
        <v>220</v>
      </c>
      <c r="F34" s="99" t="s">
        <v>154</v>
      </c>
      <c r="G34" s="99" t="s">
        <v>157</v>
      </c>
      <c r="H34" s="100">
        <f>'Cuota Industrial'!K25</f>
        <v>311.30400000000003</v>
      </c>
      <c r="I34" s="99">
        <f>'Cuota Industrial'!L25</f>
        <v>-311.30399999999997</v>
      </c>
      <c r="J34" s="99">
        <f>'Cuota Industrial'!M25</f>
        <v>0</v>
      </c>
      <c r="K34" s="99">
        <f>'Cuota Industrial'!N25</f>
        <v>0</v>
      </c>
      <c r="L34" s="99">
        <f>'Cuota Industrial'!O25</f>
        <v>0</v>
      </c>
      <c r="M34" s="95">
        <f>'Cuota Industrial'!P25</f>
        <v>0</v>
      </c>
      <c r="N34" s="110" t="s">
        <v>209</v>
      </c>
      <c r="O34" s="122">
        <v>43465</v>
      </c>
    </row>
    <row r="35" spans="1:15">
      <c r="A35" s="98" t="s">
        <v>163</v>
      </c>
      <c r="B35" s="99" t="s">
        <v>152</v>
      </c>
      <c r="C35" s="99" t="s">
        <v>164</v>
      </c>
      <c r="D35" s="99" t="s">
        <v>153</v>
      </c>
      <c r="E35" s="99" t="s">
        <v>221</v>
      </c>
      <c r="F35" s="99" t="s">
        <v>154</v>
      </c>
      <c r="G35" s="97" t="s">
        <v>155</v>
      </c>
      <c r="H35" s="99">
        <f>'Cuota Industrial'!E39</f>
        <v>872.19</v>
      </c>
      <c r="I35" s="99">
        <f>'Cuota Industrial'!F39</f>
        <v>-917</v>
      </c>
      <c r="J35" s="99">
        <f>'Cuota Industrial'!G39</f>
        <v>-44.809999999999945</v>
      </c>
      <c r="K35" s="99">
        <f>'Cuota Industrial'!H39</f>
        <v>0</v>
      </c>
      <c r="L35" s="99">
        <f>'Cuota Industrial'!I39</f>
        <v>-44.809999999999945</v>
      </c>
      <c r="M35" s="95">
        <f>'Cuota Industrial'!J39</f>
        <v>0</v>
      </c>
      <c r="N35" s="110" t="s">
        <v>209</v>
      </c>
      <c r="O35" s="122">
        <v>43465</v>
      </c>
    </row>
    <row r="36" spans="1:15">
      <c r="A36" s="98" t="s">
        <v>163</v>
      </c>
      <c r="B36" s="99" t="s">
        <v>152</v>
      </c>
      <c r="C36" s="99" t="s">
        <v>164</v>
      </c>
      <c r="D36" s="99" t="s">
        <v>153</v>
      </c>
      <c r="E36" s="99" t="s">
        <v>221</v>
      </c>
      <c r="F36" s="99" t="s">
        <v>156</v>
      </c>
      <c r="G36" s="99" t="s">
        <v>157</v>
      </c>
      <c r="H36" s="99">
        <f>'Cuota Industrial'!E40</f>
        <v>45.865000000000002</v>
      </c>
      <c r="I36" s="99">
        <f>'Cuota Industrial'!F40</f>
        <v>0</v>
      </c>
      <c r="J36" s="99">
        <f>'Cuota Industrial'!G40</f>
        <v>1.0550000000000566</v>
      </c>
      <c r="K36" s="99">
        <f>'Cuota Industrial'!H40</f>
        <v>0</v>
      </c>
      <c r="L36" s="99">
        <f>'Cuota Industrial'!I40</f>
        <v>1.0550000000000566</v>
      </c>
      <c r="M36" s="95">
        <f>'Cuota Industrial'!J40</f>
        <v>0</v>
      </c>
      <c r="N36" s="110" t="s">
        <v>209</v>
      </c>
      <c r="O36" s="122">
        <v>43465</v>
      </c>
    </row>
    <row r="37" spans="1:15">
      <c r="A37" s="98" t="s">
        <v>163</v>
      </c>
      <c r="B37" s="99" t="s">
        <v>152</v>
      </c>
      <c r="C37" s="99" t="s">
        <v>164</v>
      </c>
      <c r="D37" s="99" t="s">
        <v>153</v>
      </c>
      <c r="E37" s="99" t="s">
        <v>221</v>
      </c>
      <c r="F37" s="99" t="s">
        <v>154</v>
      </c>
      <c r="G37" s="99" t="s">
        <v>157</v>
      </c>
      <c r="H37" s="99">
        <f>'Cuota Industrial'!K39</f>
        <v>918.05500000000006</v>
      </c>
      <c r="I37" s="99">
        <f>'Cuota Industrial'!L39</f>
        <v>-917</v>
      </c>
      <c r="J37" s="99">
        <f>'Cuota Industrial'!M39</f>
        <v>1.0550000000000637</v>
      </c>
      <c r="K37" s="99">
        <f>'Cuota Industrial'!N39</f>
        <v>0</v>
      </c>
      <c r="L37" s="99">
        <f>'Cuota Industrial'!O39</f>
        <v>1.0550000000000637</v>
      </c>
      <c r="M37" s="95">
        <f>'Cuota Industrial'!P2</f>
        <v>0</v>
      </c>
      <c r="N37" s="110" t="s">
        <v>209</v>
      </c>
      <c r="O37" s="122">
        <v>43465</v>
      </c>
    </row>
    <row r="38" spans="1:15">
      <c r="A38" s="98" t="s">
        <v>163</v>
      </c>
      <c r="B38" s="99" t="s">
        <v>152</v>
      </c>
      <c r="C38" s="99" t="s">
        <v>164</v>
      </c>
      <c r="D38" s="99" t="s">
        <v>153</v>
      </c>
      <c r="E38" s="99" t="s">
        <v>212</v>
      </c>
      <c r="F38" s="99" t="s">
        <v>154</v>
      </c>
      <c r="G38" s="97" t="s">
        <v>155</v>
      </c>
      <c r="H38" s="99">
        <f>'Cuota Industrial'!E41</f>
        <v>2.69</v>
      </c>
      <c r="I38" s="99">
        <f>'Cuota Industrial'!F41</f>
        <v>0</v>
      </c>
      <c r="J38" s="99">
        <f>'Cuota Industrial'!G41</f>
        <v>2.69</v>
      </c>
      <c r="K38" s="99">
        <f>'Cuota Industrial'!H41</f>
        <v>0</v>
      </c>
      <c r="L38" s="99">
        <f>'Cuota Industrial'!I41</f>
        <v>2.69</v>
      </c>
      <c r="M38" s="95">
        <f>'Cuota Industrial'!J41</f>
        <v>0</v>
      </c>
      <c r="N38" s="110" t="s">
        <v>209</v>
      </c>
      <c r="O38" s="122">
        <v>43465</v>
      </c>
    </row>
    <row r="39" spans="1:15">
      <c r="A39" s="98" t="s">
        <v>163</v>
      </c>
      <c r="B39" s="99" t="s">
        <v>152</v>
      </c>
      <c r="C39" s="99" t="s">
        <v>164</v>
      </c>
      <c r="D39" s="99" t="s">
        <v>153</v>
      </c>
      <c r="E39" s="99" t="s">
        <v>212</v>
      </c>
      <c r="F39" s="99" t="s">
        <v>156</v>
      </c>
      <c r="G39" s="99" t="s">
        <v>157</v>
      </c>
      <c r="H39" s="99">
        <f>'Cuota Industrial'!E42</f>
        <v>0.14099999999999999</v>
      </c>
      <c r="I39" s="99">
        <f>'Cuota Industrial'!F42</f>
        <v>0</v>
      </c>
      <c r="J39" s="99">
        <f>'Cuota Industrial'!G42</f>
        <v>2.831</v>
      </c>
      <c r="K39" s="99">
        <f>'Cuota Industrial'!H42</f>
        <v>0</v>
      </c>
      <c r="L39" s="99">
        <f>'Cuota Industrial'!I42</f>
        <v>2.831</v>
      </c>
      <c r="M39" s="95">
        <f>'Cuota Industrial'!J42</f>
        <v>0</v>
      </c>
      <c r="N39" s="110" t="s">
        <v>209</v>
      </c>
      <c r="O39" s="122">
        <v>43465</v>
      </c>
    </row>
    <row r="40" spans="1:15">
      <c r="A40" s="98" t="s">
        <v>163</v>
      </c>
      <c r="B40" s="99" t="s">
        <v>152</v>
      </c>
      <c r="C40" s="99" t="s">
        <v>164</v>
      </c>
      <c r="D40" s="99" t="s">
        <v>153</v>
      </c>
      <c r="E40" s="99" t="s">
        <v>212</v>
      </c>
      <c r="F40" s="99" t="s">
        <v>154</v>
      </c>
      <c r="G40" s="99" t="s">
        <v>157</v>
      </c>
      <c r="H40" s="99">
        <f>'Cuota Industrial'!K41</f>
        <v>2.831</v>
      </c>
      <c r="I40" s="99">
        <f>'Cuota Industrial'!L41</f>
        <v>0</v>
      </c>
      <c r="J40" s="99">
        <f>'Cuota Industrial'!M41</f>
        <v>2.831</v>
      </c>
      <c r="K40" s="99">
        <f>'Cuota Industrial'!N41</f>
        <v>0</v>
      </c>
      <c r="L40" s="99">
        <f>'Cuota Industrial'!O41</f>
        <v>2.831</v>
      </c>
      <c r="M40" s="95">
        <f>'Cuota Industrial'!P41</f>
        <v>0</v>
      </c>
      <c r="N40" s="110" t="s">
        <v>209</v>
      </c>
      <c r="O40" s="122">
        <v>43465</v>
      </c>
    </row>
    <row r="41" spans="1:15">
      <c r="A41" s="98" t="s">
        <v>163</v>
      </c>
      <c r="B41" s="99" t="s">
        <v>152</v>
      </c>
      <c r="C41" s="99" t="s">
        <v>164</v>
      </c>
      <c r="D41" s="99" t="s">
        <v>153</v>
      </c>
      <c r="E41" s="99" t="s">
        <v>222</v>
      </c>
      <c r="F41" s="99" t="s">
        <v>154</v>
      </c>
      <c r="G41" s="97" t="s">
        <v>155</v>
      </c>
      <c r="H41" s="99">
        <f>'Cuota Industrial'!E43</f>
        <v>39.194000000000003</v>
      </c>
      <c r="I41" s="99">
        <f>'Cuota Industrial'!F43</f>
        <v>0</v>
      </c>
      <c r="J41" s="99">
        <f>'Cuota Industrial'!G43</f>
        <v>39.194000000000003</v>
      </c>
      <c r="K41" s="99">
        <f>'Cuota Industrial'!H43</f>
        <v>0</v>
      </c>
      <c r="L41" s="99">
        <f>'Cuota Industrial'!I43</f>
        <v>39.194000000000003</v>
      </c>
      <c r="M41" s="95">
        <f>'Cuota Industrial'!J43</f>
        <v>0</v>
      </c>
      <c r="N41" s="110" t="s">
        <v>209</v>
      </c>
      <c r="O41" s="122">
        <v>43465</v>
      </c>
    </row>
    <row r="42" spans="1:15">
      <c r="A42" s="98" t="s">
        <v>163</v>
      </c>
      <c r="B42" s="99" t="s">
        <v>152</v>
      </c>
      <c r="C42" s="99" t="s">
        <v>164</v>
      </c>
      <c r="D42" s="99" t="s">
        <v>153</v>
      </c>
      <c r="E42" s="99" t="s">
        <v>222</v>
      </c>
      <c r="F42" s="99" t="s">
        <v>156</v>
      </c>
      <c r="G42" s="99" t="s">
        <v>157</v>
      </c>
      <c r="H42" s="99">
        <f>'Cuota Industrial'!E44</f>
        <v>2.0609999999999999</v>
      </c>
      <c r="I42" s="99">
        <f>'Cuota Industrial'!F44</f>
        <v>0</v>
      </c>
      <c r="J42" s="99">
        <f>'Cuota Industrial'!G44</f>
        <v>41.255000000000003</v>
      </c>
      <c r="K42" s="99">
        <f>'Cuota Industrial'!H44</f>
        <v>0</v>
      </c>
      <c r="L42" s="99">
        <f>'Cuota Industrial'!I44</f>
        <v>41.255000000000003</v>
      </c>
      <c r="M42" s="95">
        <f>'Cuota Industrial'!J44</f>
        <v>0</v>
      </c>
      <c r="N42" s="110" t="s">
        <v>209</v>
      </c>
      <c r="O42" s="122">
        <v>43465</v>
      </c>
    </row>
    <row r="43" spans="1:15">
      <c r="A43" s="98" t="s">
        <v>163</v>
      </c>
      <c r="B43" s="99" t="s">
        <v>152</v>
      </c>
      <c r="C43" s="99" t="s">
        <v>164</v>
      </c>
      <c r="D43" s="99" t="s">
        <v>153</v>
      </c>
      <c r="E43" s="99" t="s">
        <v>222</v>
      </c>
      <c r="F43" s="99" t="s">
        <v>154</v>
      </c>
      <c r="G43" s="99" t="s">
        <v>157</v>
      </c>
      <c r="H43" s="99">
        <f>'Cuota Industrial'!K43</f>
        <v>41.255000000000003</v>
      </c>
      <c r="I43" s="99">
        <f>'Cuota Industrial'!L43</f>
        <v>0</v>
      </c>
      <c r="J43" s="99">
        <f>'Cuota Industrial'!M43</f>
        <v>41.255000000000003</v>
      </c>
      <c r="K43" s="99">
        <f>'Cuota Industrial'!N43</f>
        <v>0</v>
      </c>
      <c r="L43" s="99">
        <f>'Cuota Industrial'!O43</f>
        <v>41.255000000000003</v>
      </c>
      <c r="M43" s="95">
        <f>'Cuota Industrial'!P43</f>
        <v>0</v>
      </c>
      <c r="N43" s="110" t="s">
        <v>209</v>
      </c>
      <c r="O43" s="122">
        <v>43465</v>
      </c>
    </row>
    <row r="44" spans="1:15">
      <c r="A44" s="98" t="s">
        <v>163</v>
      </c>
      <c r="B44" s="99" t="s">
        <v>152</v>
      </c>
      <c r="C44" s="99" t="s">
        <v>164</v>
      </c>
      <c r="D44" s="99" t="s">
        <v>153</v>
      </c>
      <c r="E44" s="99" t="s">
        <v>223</v>
      </c>
      <c r="F44" s="99" t="s">
        <v>154</v>
      </c>
      <c r="G44" s="97" t="s">
        <v>155</v>
      </c>
      <c r="H44" s="99">
        <f>'Cuota Industrial'!E45</f>
        <v>2374.19</v>
      </c>
      <c r="I44" s="99">
        <f>'Cuota Industrial'!F45</f>
        <v>-2350</v>
      </c>
      <c r="J44" s="99">
        <f>'Cuota Industrial'!G45</f>
        <v>24.190000000000055</v>
      </c>
      <c r="K44" s="99">
        <f>'Cuota Industrial'!H45</f>
        <v>0</v>
      </c>
      <c r="L44" s="99">
        <f>'Cuota Industrial'!I45</f>
        <v>24.190000000000055</v>
      </c>
      <c r="M44" s="95">
        <f>'Cuota Industrial'!J45</f>
        <v>0</v>
      </c>
      <c r="N44" s="110" t="s">
        <v>209</v>
      </c>
      <c r="O44" s="122">
        <v>43465</v>
      </c>
    </row>
    <row r="45" spans="1:15">
      <c r="A45" s="98" t="s">
        <v>163</v>
      </c>
      <c r="B45" s="99" t="s">
        <v>152</v>
      </c>
      <c r="C45" s="99" t="s">
        <v>164</v>
      </c>
      <c r="D45" s="99" t="s">
        <v>153</v>
      </c>
      <c r="E45" s="99" t="s">
        <v>223</v>
      </c>
      <c r="F45" s="99" t="s">
        <v>156</v>
      </c>
      <c r="G45" s="99" t="s">
        <v>157</v>
      </c>
      <c r="H45" s="99">
        <f>'Cuota Industrial'!E46</f>
        <v>124.849</v>
      </c>
      <c r="I45" s="99">
        <f>'Cuota Industrial'!F46</f>
        <v>0</v>
      </c>
      <c r="J45" s="99">
        <f>'Cuota Industrial'!G46</f>
        <v>149.03900000000004</v>
      </c>
      <c r="K45" s="99">
        <f>'Cuota Industrial'!H46</f>
        <v>0</v>
      </c>
      <c r="L45" s="99">
        <f>'Cuota Industrial'!I46</f>
        <v>149.03900000000004</v>
      </c>
      <c r="M45" s="95">
        <f>'Cuota Industrial'!J46</f>
        <v>0</v>
      </c>
      <c r="N45" s="110" t="s">
        <v>209</v>
      </c>
      <c r="O45" s="122">
        <v>43465</v>
      </c>
    </row>
    <row r="46" spans="1:15">
      <c r="A46" s="98" t="s">
        <v>163</v>
      </c>
      <c r="B46" s="99" t="s">
        <v>152</v>
      </c>
      <c r="C46" s="99" t="s">
        <v>164</v>
      </c>
      <c r="D46" s="99" t="s">
        <v>153</v>
      </c>
      <c r="E46" s="99" t="s">
        <v>223</v>
      </c>
      <c r="F46" s="99" t="s">
        <v>154</v>
      </c>
      <c r="G46" s="99" t="s">
        <v>157</v>
      </c>
      <c r="H46" s="99">
        <f>'Cuota Industrial'!K45</f>
        <v>2499.0390000000002</v>
      </c>
      <c r="I46" s="99">
        <f>'Cuota Industrial'!L45</f>
        <v>-2350</v>
      </c>
      <c r="J46" s="99">
        <f>'Cuota Industrial'!M45</f>
        <v>149.03900000000021</v>
      </c>
      <c r="K46" s="99">
        <f>'Cuota Industrial'!N45</f>
        <v>0</v>
      </c>
      <c r="L46" s="99">
        <f>'Cuota Industrial'!O45</f>
        <v>149.03900000000021</v>
      </c>
      <c r="M46" s="95">
        <f>'Cuota Industrial'!P45</f>
        <v>0</v>
      </c>
      <c r="N46" s="110" t="s">
        <v>209</v>
      </c>
      <c r="O46" s="122">
        <v>43465</v>
      </c>
    </row>
    <row r="47" spans="1:15">
      <c r="A47" s="98" t="s">
        <v>163</v>
      </c>
      <c r="B47" s="99" t="s">
        <v>152</v>
      </c>
      <c r="C47" s="99" t="s">
        <v>164</v>
      </c>
      <c r="D47" s="99" t="s">
        <v>153</v>
      </c>
      <c r="E47" s="99" t="s">
        <v>213</v>
      </c>
      <c r="F47" s="99" t="s">
        <v>154</v>
      </c>
      <c r="G47" s="97" t="s">
        <v>155</v>
      </c>
      <c r="H47" s="99">
        <f>'Cuota Industrial'!E47</f>
        <v>155.083</v>
      </c>
      <c r="I47" s="99">
        <f>'Cuota Industrial'!F47</f>
        <v>-163.238</v>
      </c>
      <c r="J47" s="99">
        <f>'Cuota Industrial'!G47</f>
        <v>-8.1550000000000011</v>
      </c>
      <c r="K47" s="99">
        <f>'Cuota Industrial'!H47</f>
        <v>0</v>
      </c>
      <c r="L47" s="99">
        <f>'Cuota Industrial'!I47</f>
        <v>-8.1550000000000011</v>
      </c>
      <c r="M47" s="95">
        <f>'Cuota Industrial'!J47</f>
        <v>0</v>
      </c>
      <c r="N47" s="110" t="s">
        <v>209</v>
      </c>
      <c r="O47" s="122">
        <v>43465</v>
      </c>
    </row>
    <row r="48" spans="1:15">
      <c r="A48" s="98" t="s">
        <v>163</v>
      </c>
      <c r="B48" s="99" t="s">
        <v>152</v>
      </c>
      <c r="C48" s="99" t="s">
        <v>164</v>
      </c>
      <c r="D48" s="99" t="s">
        <v>153</v>
      </c>
      <c r="E48" s="99" t="s">
        <v>213</v>
      </c>
      <c r="F48" s="99" t="s">
        <v>156</v>
      </c>
      <c r="G48" s="99" t="s">
        <v>157</v>
      </c>
      <c r="H48" s="99">
        <f>'Cuota Industrial'!E48</f>
        <v>8.1549999999999994</v>
      </c>
      <c r="I48" s="99">
        <f>'Cuota Industrial'!F48</f>
        <v>0</v>
      </c>
      <c r="J48" s="99">
        <f>'Cuota Industrial'!G48</f>
        <v>0</v>
      </c>
      <c r="K48" s="99">
        <f>'Cuota Industrial'!H48</f>
        <v>0</v>
      </c>
      <c r="L48" s="99">
        <f>'Cuota Industrial'!I48</f>
        <v>0</v>
      </c>
      <c r="M48" s="95">
        <f>'Cuota Industrial'!J48</f>
        <v>0</v>
      </c>
      <c r="N48" s="110" t="s">
        <v>209</v>
      </c>
      <c r="O48" s="122">
        <v>43465</v>
      </c>
    </row>
    <row r="49" spans="1:15">
      <c r="A49" s="98" t="s">
        <v>163</v>
      </c>
      <c r="B49" s="99" t="s">
        <v>152</v>
      </c>
      <c r="C49" s="99" t="s">
        <v>164</v>
      </c>
      <c r="D49" s="99" t="s">
        <v>153</v>
      </c>
      <c r="E49" s="99" t="s">
        <v>213</v>
      </c>
      <c r="F49" s="99" t="s">
        <v>154</v>
      </c>
      <c r="G49" s="99" t="s">
        <v>157</v>
      </c>
      <c r="H49" s="99">
        <f>'Cuota Industrial'!K47</f>
        <v>163.238</v>
      </c>
      <c r="I49" s="99">
        <f>'Cuota Industrial'!L47</f>
        <v>-163.238</v>
      </c>
      <c r="J49" s="99">
        <f>'Cuota Industrial'!M47</f>
        <v>0</v>
      </c>
      <c r="K49" s="99">
        <f>'Cuota Industrial'!N47</f>
        <v>0</v>
      </c>
      <c r="L49" s="99">
        <f>'Cuota Industrial'!O47</f>
        <v>0</v>
      </c>
      <c r="M49" s="95">
        <f>'Cuota Industrial'!P47</f>
        <v>0</v>
      </c>
      <c r="N49" s="110" t="s">
        <v>209</v>
      </c>
      <c r="O49" s="122">
        <v>43465</v>
      </c>
    </row>
    <row r="50" spans="1:15">
      <c r="A50" s="98" t="s">
        <v>163</v>
      </c>
      <c r="B50" s="99" t="s">
        <v>152</v>
      </c>
      <c r="C50" s="99" t="s">
        <v>164</v>
      </c>
      <c r="D50" s="99" t="s">
        <v>153</v>
      </c>
      <c r="E50" s="99" t="s">
        <v>224</v>
      </c>
      <c r="F50" s="99" t="s">
        <v>154</v>
      </c>
      <c r="G50" s="97" t="s">
        <v>155</v>
      </c>
      <c r="H50" s="99">
        <f>'Cuota Industrial'!E49</f>
        <v>60.225000000000001</v>
      </c>
      <c r="I50" s="99">
        <f>'Cuota Industrial'!F49</f>
        <v>-62.998999999999967</v>
      </c>
      <c r="J50" s="99">
        <f>'Cuota Industrial'!G49</f>
        <v>-2.7739999999999654</v>
      </c>
      <c r="K50" s="99">
        <f>'Cuota Industrial'!H49</f>
        <v>0</v>
      </c>
      <c r="L50" s="99">
        <f>'Cuota Industrial'!I49</f>
        <v>-2.7739999999999654</v>
      </c>
      <c r="M50" s="95">
        <f>'Cuota Industrial'!J49</f>
        <v>0</v>
      </c>
      <c r="N50" s="110" t="s">
        <v>209</v>
      </c>
      <c r="O50" s="122">
        <v>43465</v>
      </c>
    </row>
    <row r="51" spans="1:15">
      <c r="A51" s="98" t="s">
        <v>163</v>
      </c>
      <c r="B51" s="99" t="s">
        <v>152</v>
      </c>
      <c r="C51" s="99" t="s">
        <v>164</v>
      </c>
      <c r="D51" s="99" t="s">
        <v>153</v>
      </c>
      <c r="E51" s="99" t="s">
        <v>224</v>
      </c>
      <c r="F51" s="99" t="s">
        <v>156</v>
      </c>
      <c r="G51" s="99" t="s">
        <v>157</v>
      </c>
      <c r="H51" s="99">
        <f>'Cuota Industrial'!E50</f>
        <v>3.1669999999999998</v>
      </c>
      <c r="I51" s="99">
        <f>'Cuota Industrial'!F50</f>
        <v>0</v>
      </c>
      <c r="J51" s="99">
        <f>'Cuota Industrial'!G50</f>
        <v>0.39300000000003443</v>
      </c>
      <c r="K51" s="99">
        <f>'Cuota Industrial'!H50</f>
        <v>0</v>
      </c>
      <c r="L51" s="99">
        <f>'Cuota Industrial'!I50</f>
        <v>0.39300000000003443</v>
      </c>
      <c r="M51" s="95">
        <f>'Cuota Industrial'!J50</f>
        <v>0</v>
      </c>
      <c r="N51" s="110" t="s">
        <v>209</v>
      </c>
      <c r="O51" s="122">
        <v>43465</v>
      </c>
    </row>
    <row r="52" spans="1:15">
      <c r="A52" s="98" t="s">
        <v>163</v>
      </c>
      <c r="B52" s="99" t="s">
        <v>152</v>
      </c>
      <c r="C52" s="99" t="s">
        <v>164</v>
      </c>
      <c r="D52" s="99" t="s">
        <v>153</v>
      </c>
      <c r="E52" s="99" t="s">
        <v>224</v>
      </c>
      <c r="F52" s="99" t="s">
        <v>154</v>
      </c>
      <c r="G52" s="99" t="s">
        <v>157</v>
      </c>
      <c r="H52" s="99">
        <f>'Cuota Industrial'!K49</f>
        <v>63.392000000000003</v>
      </c>
      <c r="I52" s="99">
        <f>'Cuota Industrial'!L49</f>
        <v>-62.998999999999967</v>
      </c>
      <c r="J52" s="99">
        <f>'Cuota Industrial'!M49</f>
        <v>0.39300000000003621</v>
      </c>
      <c r="K52" s="99">
        <f>'Cuota Industrial'!N49</f>
        <v>0</v>
      </c>
      <c r="L52" s="99">
        <f>'Cuota Industrial'!O49</f>
        <v>0.39300000000003621</v>
      </c>
      <c r="M52" s="95">
        <f>'Cuota Industrial'!P49</f>
        <v>0</v>
      </c>
      <c r="N52" s="110" t="s">
        <v>209</v>
      </c>
      <c r="O52" s="122">
        <v>43465</v>
      </c>
    </row>
    <row r="53" spans="1:15">
      <c r="A53" s="98" t="s">
        <v>163</v>
      </c>
      <c r="B53" s="99" t="s">
        <v>152</v>
      </c>
      <c r="C53" s="99" t="s">
        <v>164</v>
      </c>
      <c r="D53" s="99" t="s">
        <v>153</v>
      </c>
      <c r="E53" s="99" t="s">
        <v>165</v>
      </c>
      <c r="F53" s="99" t="s">
        <v>154</v>
      </c>
      <c r="G53" s="97" t="s">
        <v>155</v>
      </c>
      <c r="H53" s="99">
        <f>'Cuota Industrial'!E51</f>
        <v>100.98099999999999</v>
      </c>
      <c r="I53" s="99">
        <f>'Cuota Industrial'!F51</f>
        <v>-65.704999999999956</v>
      </c>
      <c r="J53" s="99">
        <f>'Cuota Industrial'!G51</f>
        <v>35.276000000000039</v>
      </c>
      <c r="K53" s="99">
        <f>'Cuota Industrial'!H51</f>
        <v>0</v>
      </c>
      <c r="L53" s="99">
        <f>'Cuota Industrial'!I51</f>
        <v>35.276000000000039</v>
      </c>
      <c r="M53" s="95">
        <f>'Cuota Industrial'!J51</f>
        <v>0</v>
      </c>
      <c r="N53" s="110" t="s">
        <v>209</v>
      </c>
      <c r="O53" s="122">
        <v>43465</v>
      </c>
    </row>
    <row r="54" spans="1:15">
      <c r="A54" s="98" t="s">
        <v>163</v>
      </c>
      <c r="B54" s="99" t="s">
        <v>152</v>
      </c>
      <c r="C54" s="99" t="s">
        <v>164</v>
      </c>
      <c r="D54" s="99" t="s">
        <v>153</v>
      </c>
      <c r="E54" s="99" t="s">
        <v>165</v>
      </c>
      <c r="F54" s="99" t="s">
        <v>156</v>
      </c>
      <c r="G54" s="99" t="s">
        <v>157</v>
      </c>
      <c r="H54" s="99">
        <f>'Cuota Industrial'!E52</f>
        <v>5.31</v>
      </c>
      <c r="I54" s="99">
        <f>'Cuota Industrial'!F52</f>
        <v>0</v>
      </c>
      <c r="J54" s="99">
        <f>'Cuota Industrial'!G52</f>
        <v>40.586000000000041</v>
      </c>
      <c r="K54" s="99">
        <f>'Cuota Industrial'!H52</f>
        <v>0</v>
      </c>
      <c r="L54" s="99">
        <f>'Cuota Industrial'!I52</f>
        <v>40.586000000000041</v>
      </c>
      <c r="M54" s="95">
        <f>'Cuota Industrial'!J52</f>
        <v>0</v>
      </c>
      <c r="N54" s="110" t="s">
        <v>209</v>
      </c>
      <c r="O54" s="122">
        <v>43465</v>
      </c>
    </row>
    <row r="55" spans="1:15">
      <c r="A55" s="98" t="s">
        <v>163</v>
      </c>
      <c r="B55" s="99" t="s">
        <v>152</v>
      </c>
      <c r="C55" s="99" t="s">
        <v>164</v>
      </c>
      <c r="D55" s="99" t="s">
        <v>153</v>
      </c>
      <c r="E55" s="99" t="s">
        <v>165</v>
      </c>
      <c r="F55" s="99" t="s">
        <v>154</v>
      </c>
      <c r="G55" s="99" t="s">
        <v>157</v>
      </c>
      <c r="H55" s="99">
        <f>'Cuota Industrial'!K51</f>
        <v>106.291</v>
      </c>
      <c r="I55" s="99">
        <f>'Cuota Industrial'!L51</f>
        <v>-65.704999999999956</v>
      </c>
      <c r="J55" s="99">
        <f>'Cuota Industrial'!M51</f>
        <v>40.586000000000041</v>
      </c>
      <c r="K55" s="99">
        <f>'Cuota Industrial'!N51</f>
        <v>0</v>
      </c>
      <c r="L55" s="99">
        <f>'Cuota Industrial'!O51</f>
        <v>40.586000000000041</v>
      </c>
      <c r="M55" s="95">
        <f>'Cuota Industrial'!P51</f>
        <v>0</v>
      </c>
      <c r="N55" s="110" t="s">
        <v>209</v>
      </c>
      <c r="O55" s="122">
        <v>43465</v>
      </c>
    </row>
    <row r="56" spans="1:15">
      <c r="A56" s="98" t="s">
        <v>163</v>
      </c>
      <c r="B56" s="99" t="s">
        <v>152</v>
      </c>
      <c r="C56" s="99" t="s">
        <v>164</v>
      </c>
      <c r="D56" s="99" t="s">
        <v>153</v>
      </c>
      <c r="E56" s="99" t="s">
        <v>225</v>
      </c>
      <c r="F56" s="99" t="s">
        <v>154</v>
      </c>
      <c r="G56" s="97" t="s">
        <v>155</v>
      </c>
      <c r="H56" s="99">
        <f>'Cuota Industrial'!E53</f>
        <v>9.94</v>
      </c>
      <c r="I56" s="99">
        <f>'Cuota Industrial'!F53</f>
        <v>0</v>
      </c>
      <c r="J56" s="99">
        <f>'Cuota Industrial'!G53</f>
        <v>9.94</v>
      </c>
      <c r="K56" s="99">
        <f>'Cuota Industrial'!H53</f>
        <v>0</v>
      </c>
      <c r="L56" s="99">
        <f>'Cuota Industrial'!I53</f>
        <v>9.94</v>
      </c>
      <c r="M56" s="95">
        <f>'Cuota Industrial'!J53</f>
        <v>0</v>
      </c>
      <c r="N56" s="110" t="s">
        <v>209</v>
      </c>
      <c r="O56" s="122">
        <v>43465</v>
      </c>
    </row>
    <row r="57" spans="1:15">
      <c r="A57" s="98" t="s">
        <v>163</v>
      </c>
      <c r="B57" s="99" t="s">
        <v>152</v>
      </c>
      <c r="C57" s="99" t="s">
        <v>164</v>
      </c>
      <c r="D57" s="99" t="s">
        <v>153</v>
      </c>
      <c r="E57" s="99" t="s">
        <v>225</v>
      </c>
      <c r="F57" s="99" t="s">
        <v>156</v>
      </c>
      <c r="G57" s="99" t="s">
        <v>157</v>
      </c>
      <c r="H57" s="99">
        <f>'Cuota Industrial'!E54</f>
        <v>0.52300000000000002</v>
      </c>
      <c r="I57" s="99">
        <f>'Cuota Industrial'!F54</f>
        <v>0</v>
      </c>
      <c r="J57" s="99">
        <f>'Cuota Industrial'!G54</f>
        <v>10.462999999999999</v>
      </c>
      <c r="K57" s="99">
        <f>'Cuota Industrial'!H54</f>
        <v>0</v>
      </c>
      <c r="L57" s="99">
        <f>'Cuota Industrial'!I54</f>
        <v>10.462999999999999</v>
      </c>
      <c r="M57" s="95">
        <f>'Cuota Industrial'!J54</f>
        <v>0</v>
      </c>
      <c r="N57" s="110" t="s">
        <v>209</v>
      </c>
      <c r="O57" s="122">
        <v>43465</v>
      </c>
    </row>
    <row r="58" spans="1:15">
      <c r="A58" s="98" t="s">
        <v>163</v>
      </c>
      <c r="B58" s="99" t="s">
        <v>152</v>
      </c>
      <c r="C58" s="99" t="s">
        <v>164</v>
      </c>
      <c r="D58" s="99" t="s">
        <v>153</v>
      </c>
      <c r="E58" s="99" t="s">
        <v>225</v>
      </c>
      <c r="F58" s="99" t="s">
        <v>154</v>
      </c>
      <c r="G58" s="99" t="s">
        <v>157</v>
      </c>
      <c r="H58" s="99">
        <f>'Cuota Industrial'!K53</f>
        <v>10.462999999999999</v>
      </c>
      <c r="I58" s="99">
        <f>'Cuota Industrial'!L53</f>
        <v>0</v>
      </c>
      <c r="J58" s="99">
        <f>'Cuota Industrial'!M53</f>
        <v>10.462999999999999</v>
      </c>
      <c r="K58" s="99">
        <f>'Cuota Industrial'!N53</f>
        <v>0</v>
      </c>
      <c r="L58" s="99">
        <f>'Cuota Industrial'!O53</f>
        <v>10.462999999999999</v>
      </c>
      <c r="M58" s="95">
        <f>'Cuota Industrial'!P53</f>
        <v>0</v>
      </c>
      <c r="N58" s="110" t="s">
        <v>209</v>
      </c>
      <c r="O58" s="122">
        <v>43465</v>
      </c>
    </row>
    <row r="59" spans="1:15">
      <c r="A59" s="98" t="s">
        <v>163</v>
      </c>
      <c r="B59" s="99" t="s">
        <v>152</v>
      </c>
      <c r="C59" s="99" t="s">
        <v>164</v>
      </c>
      <c r="D59" s="99" t="s">
        <v>153</v>
      </c>
      <c r="E59" s="99" t="s">
        <v>220</v>
      </c>
      <c r="F59" s="99" t="s">
        <v>154</v>
      </c>
      <c r="G59" s="97" t="s">
        <v>155</v>
      </c>
      <c r="H59" s="99">
        <f>'Cuota Industrial'!E55</f>
        <v>68.872</v>
      </c>
      <c r="I59" s="99">
        <f>'Cuota Industrial'!F55</f>
        <v>-68.004999999999995</v>
      </c>
      <c r="J59" s="99">
        <f>'Cuota Industrial'!G55</f>
        <v>0.86700000000000443</v>
      </c>
      <c r="K59" s="99">
        <f>'Cuota Industrial'!H55</f>
        <v>0</v>
      </c>
      <c r="L59" s="99">
        <f>'Cuota Industrial'!I55</f>
        <v>0.86700000000000443</v>
      </c>
      <c r="M59" s="95">
        <f>'Cuota Industrial'!J55</f>
        <v>0</v>
      </c>
      <c r="N59" s="110" t="s">
        <v>209</v>
      </c>
      <c r="O59" s="122">
        <v>43465</v>
      </c>
    </row>
    <row r="60" spans="1:15">
      <c r="A60" s="98" t="s">
        <v>163</v>
      </c>
      <c r="B60" s="99" t="s">
        <v>152</v>
      </c>
      <c r="C60" s="99" t="s">
        <v>164</v>
      </c>
      <c r="D60" s="99" t="s">
        <v>153</v>
      </c>
      <c r="E60" s="99" t="s">
        <v>220</v>
      </c>
      <c r="F60" s="99" t="s">
        <v>156</v>
      </c>
      <c r="G60" s="99" t="s">
        <v>157</v>
      </c>
      <c r="H60" s="99">
        <f>'Cuota Industrial'!E56</f>
        <v>3.6219999999999999</v>
      </c>
      <c r="I60" s="99">
        <f>'Cuota Industrial'!F56</f>
        <v>0</v>
      </c>
      <c r="J60" s="99">
        <f>'Cuota Industrial'!G56</f>
        <v>4.4890000000000043</v>
      </c>
      <c r="K60" s="99">
        <f>'Cuota Industrial'!H56</f>
        <v>0</v>
      </c>
      <c r="L60" s="99">
        <f>'Cuota Industrial'!I56</f>
        <v>4.4890000000000043</v>
      </c>
      <c r="M60" s="95">
        <f>'Cuota Industrial'!J56</f>
        <v>0</v>
      </c>
      <c r="N60" s="110" t="s">
        <v>209</v>
      </c>
      <c r="O60" s="122">
        <v>43465</v>
      </c>
    </row>
    <row r="61" spans="1:15">
      <c r="A61" s="98" t="s">
        <v>163</v>
      </c>
      <c r="B61" s="99" t="s">
        <v>152</v>
      </c>
      <c r="C61" s="99" t="s">
        <v>164</v>
      </c>
      <c r="D61" s="99" t="s">
        <v>153</v>
      </c>
      <c r="E61" s="99" t="s">
        <v>220</v>
      </c>
      <c r="F61" s="99" t="s">
        <v>154</v>
      </c>
      <c r="G61" s="99" t="s">
        <v>157</v>
      </c>
      <c r="H61" s="99">
        <f>'Cuota Industrial'!K55</f>
        <v>72.494</v>
      </c>
      <c r="I61" s="99">
        <f>'Cuota Industrial'!L55</f>
        <v>-68.004999999999995</v>
      </c>
      <c r="J61" s="99">
        <f>'Cuota Industrial'!M55</f>
        <v>4.4890000000000043</v>
      </c>
      <c r="K61" s="99">
        <f>'Cuota Industrial'!N55</f>
        <v>0</v>
      </c>
      <c r="L61" s="99">
        <f>'Cuota Industrial'!O55</f>
        <v>4.4890000000000043</v>
      </c>
      <c r="M61" s="95">
        <f>'Cuota Industrial'!P55</f>
        <v>0</v>
      </c>
      <c r="N61" s="110" t="s">
        <v>209</v>
      </c>
      <c r="O61" s="122">
        <v>43465</v>
      </c>
    </row>
    <row r="62" spans="1:15">
      <c r="A62" s="98" t="s">
        <v>163</v>
      </c>
      <c r="B62" s="99" t="s">
        <v>152</v>
      </c>
      <c r="C62" s="99" t="s">
        <v>164</v>
      </c>
      <c r="D62" s="99" t="s">
        <v>153</v>
      </c>
      <c r="E62" s="99" t="s">
        <v>226</v>
      </c>
      <c r="F62" s="99" t="s">
        <v>154</v>
      </c>
      <c r="G62" s="97" t="s">
        <v>155</v>
      </c>
      <c r="H62" s="99">
        <f>'Cuota Industrial'!E57</f>
        <v>4.4729999999999999</v>
      </c>
      <c r="I62" s="99">
        <f>'Cuota Industrial'!F57</f>
        <v>2996.2919999999999</v>
      </c>
      <c r="J62" s="99">
        <f>'Cuota Industrial'!G57</f>
        <v>3000.7649999999999</v>
      </c>
      <c r="K62" s="99">
        <f>'Cuota Industrial'!H57</f>
        <v>0</v>
      </c>
      <c r="L62" s="99">
        <f>'Cuota Industrial'!I57</f>
        <v>3000.7649999999999</v>
      </c>
      <c r="M62" s="95">
        <f>'Cuota Industrial'!J57</f>
        <v>0</v>
      </c>
      <c r="N62" s="110" t="s">
        <v>209</v>
      </c>
      <c r="O62" s="122">
        <v>43465</v>
      </c>
    </row>
    <row r="63" spans="1:15">
      <c r="A63" s="98" t="s">
        <v>163</v>
      </c>
      <c r="B63" s="99" t="s">
        <v>152</v>
      </c>
      <c r="C63" s="99" t="s">
        <v>164</v>
      </c>
      <c r="D63" s="99" t="s">
        <v>153</v>
      </c>
      <c r="E63" s="99" t="s">
        <v>226</v>
      </c>
      <c r="F63" s="99" t="s">
        <v>156</v>
      </c>
      <c r="G63" s="99" t="s">
        <v>157</v>
      </c>
      <c r="H63" s="99">
        <f>'Cuota Industrial'!E58</f>
        <v>0.23499999999999999</v>
      </c>
      <c r="I63" s="99">
        <f>'Cuota Industrial'!F58</f>
        <v>0</v>
      </c>
      <c r="J63" s="99">
        <f>'Cuota Industrial'!G58</f>
        <v>3001</v>
      </c>
      <c r="K63" s="99">
        <f>'Cuota Industrial'!H58</f>
        <v>0</v>
      </c>
      <c r="L63" s="99">
        <f>'Cuota Industrial'!I58</f>
        <v>3001</v>
      </c>
      <c r="M63" s="95">
        <f>'Cuota Industrial'!J58</f>
        <v>0</v>
      </c>
      <c r="N63" s="110" t="s">
        <v>209</v>
      </c>
      <c r="O63" s="122">
        <v>43465</v>
      </c>
    </row>
    <row r="64" spans="1:15">
      <c r="A64" s="98" t="s">
        <v>163</v>
      </c>
      <c r="B64" s="99" t="s">
        <v>152</v>
      </c>
      <c r="C64" s="99" t="s">
        <v>164</v>
      </c>
      <c r="D64" s="99" t="s">
        <v>153</v>
      </c>
      <c r="E64" s="99" t="s">
        <v>226</v>
      </c>
      <c r="F64" s="99" t="s">
        <v>154</v>
      </c>
      <c r="G64" s="99" t="s">
        <v>157</v>
      </c>
      <c r="H64" s="99">
        <f>'Cuota Industrial'!K57</f>
        <v>4.7080000000000002</v>
      </c>
      <c r="I64" s="99">
        <f>'Cuota Industrial'!L57</f>
        <v>2996.2919999999999</v>
      </c>
      <c r="J64" s="99">
        <f>'Cuota Industrial'!M57</f>
        <v>3001</v>
      </c>
      <c r="K64" s="99">
        <f>'Cuota Industrial'!N57</f>
        <v>0</v>
      </c>
      <c r="L64" s="99">
        <f>'Cuota Industrial'!O57</f>
        <v>3001</v>
      </c>
      <c r="M64" s="95">
        <f>'Cuota Industrial'!P57</f>
        <v>0</v>
      </c>
      <c r="N64" s="110" t="s">
        <v>209</v>
      </c>
      <c r="O64" s="122">
        <v>43465</v>
      </c>
    </row>
    <row r="65" spans="1:15">
      <c r="A65" s="146" t="s">
        <v>163</v>
      </c>
      <c r="B65" s="99" t="s">
        <v>152</v>
      </c>
      <c r="C65" s="99" t="s">
        <v>164</v>
      </c>
      <c r="D65" s="99" t="s">
        <v>153</v>
      </c>
      <c r="E65" s="99" t="s">
        <v>215</v>
      </c>
      <c r="F65" s="99" t="s">
        <v>154</v>
      </c>
      <c r="G65" s="97" t="s">
        <v>155</v>
      </c>
      <c r="H65" s="99">
        <f>'Cuota Industrial'!E59</f>
        <v>4660.8249999999998</v>
      </c>
      <c r="I65" s="99">
        <f>'Cuota Industrial'!F59</f>
        <v>-3885.0349999999999</v>
      </c>
      <c r="J65" s="99">
        <f>'Cuota Industrial'!G59</f>
        <v>775.79</v>
      </c>
      <c r="K65" s="99">
        <f>'Cuota Industrial'!H59</f>
        <v>748.61900000000003</v>
      </c>
      <c r="L65" s="99">
        <f>'Cuota Industrial'!I59</f>
        <v>27.170999999999935</v>
      </c>
      <c r="M65" s="95">
        <f>'Cuota Industrial'!J59</f>
        <v>0.96497634669175947</v>
      </c>
      <c r="N65" s="110" t="s">
        <v>209</v>
      </c>
      <c r="O65" s="122">
        <v>43465</v>
      </c>
    </row>
    <row r="66" spans="1:15">
      <c r="A66" s="146" t="s">
        <v>163</v>
      </c>
      <c r="B66" s="99" t="s">
        <v>152</v>
      </c>
      <c r="C66" s="99" t="s">
        <v>164</v>
      </c>
      <c r="D66" s="99" t="s">
        <v>153</v>
      </c>
      <c r="E66" s="99" t="s">
        <v>215</v>
      </c>
      <c r="F66" s="99" t="s">
        <v>156</v>
      </c>
      <c r="G66" s="99" t="s">
        <v>157</v>
      </c>
      <c r="H66" s="99">
        <f>'Cuota Industrial'!E60</f>
        <v>245.09399999999999</v>
      </c>
      <c r="I66" s="99">
        <f>'Cuota Industrial'!F60</f>
        <v>0</v>
      </c>
      <c r="J66" s="99">
        <f>'Cuota Industrial'!G60</f>
        <v>272.26499999999993</v>
      </c>
      <c r="K66" s="99">
        <f>'Cuota Industrial'!H60</f>
        <v>0</v>
      </c>
      <c r="L66" s="99">
        <f>'Cuota Industrial'!I60</f>
        <v>272.26499999999993</v>
      </c>
      <c r="M66" s="95">
        <f>'Cuota Industrial'!J60</f>
        <v>0</v>
      </c>
      <c r="N66" s="110" t="s">
        <v>209</v>
      </c>
      <c r="O66" s="122">
        <v>43465</v>
      </c>
    </row>
    <row r="67" spans="1:15">
      <c r="A67" s="146" t="s">
        <v>163</v>
      </c>
      <c r="B67" s="99" t="s">
        <v>152</v>
      </c>
      <c r="C67" s="99" t="s">
        <v>164</v>
      </c>
      <c r="D67" s="99" t="s">
        <v>153</v>
      </c>
      <c r="E67" s="99" t="s">
        <v>215</v>
      </c>
      <c r="F67" s="99" t="s">
        <v>154</v>
      </c>
      <c r="G67" s="99" t="s">
        <v>157</v>
      </c>
      <c r="H67" s="99">
        <f>'Cuota Industrial'!K59</f>
        <v>4905.9189999999999</v>
      </c>
      <c r="I67" s="99">
        <f>'Cuota Industrial'!L59</f>
        <v>-3885.0349999999999</v>
      </c>
      <c r="J67" s="99">
        <f>'Cuota Industrial'!M59</f>
        <v>1020.884</v>
      </c>
      <c r="K67" s="99">
        <f>'Cuota Industrial'!N59</f>
        <v>748.61900000000003</v>
      </c>
      <c r="L67" s="99">
        <f>'Cuota Industrial'!O59</f>
        <v>272.26499999999999</v>
      </c>
      <c r="M67" s="95">
        <f>'Cuota Industrial'!P59</f>
        <v>0.73330466536844541</v>
      </c>
      <c r="N67" s="110" t="s">
        <v>209</v>
      </c>
      <c r="O67" s="122">
        <v>43465</v>
      </c>
    </row>
    <row r="68" spans="1:15">
      <c r="A68" s="98" t="s">
        <v>163</v>
      </c>
      <c r="B68" s="99" t="s">
        <v>152</v>
      </c>
      <c r="C68" s="99" t="s">
        <v>164</v>
      </c>
      <c r="D68" s="99" t="s">
        <v>153</v>
      </c>
      <c r="E68" s="99" t="s">
        <v>227</v>
      </c>
      <c r="F68" s="99" t="s">
        <v>154</v>
      </c>
      <c r="G68" s="97" t="s">
        <v>155</v>
      </c>
      <c r="H68" s="99">
        <f>'Cuota Industrial'!E61</f>
        <v>617.86199999999997</v>
      </c>
      <c r="I68" s="99">
        <f>'Cuota Industrial'!F61</f>
        <v>-600.09</v>
      </c>
      <c r="J68" s="99">
        <f>'Cuota Industrial'!G61</f>
        <v>17.771999999999935</v>
      </c>
      <c r="K68" s="99">
        <f>'Cuota Industrial'!H61</f>
        <v>0</v>
      </c>
      <c r="L68" s="99">
        <f>'Cuota Industrial'!I61</f>
        <v>17.771999999999935</v>
      </c>
      <c r="M68" s="95">
        <f>'Cuota Industrial'!J61</f>
        <v>0</v>
      </c>
      <c r="N68" s="110" t="s">
        <v>209</v>
      </c>
      <c r="O68" s="122">
        <v>43465</v>
      </c>
    </row>
    <row r="69" spans="1:15">
      <c r="A69" s="98" t="s">
        <v>163</v>
      </c>
      <c r="B69" s="99" t="s">
        <v>152</v>
      </c>
      <c r="C69" s="99" t="s">
        <v>164</v>
      </c>
      <c r="D69" s="99" t="s">
        <v>153</v>
      </c>
      <c r="E69" s="99" t="s">
        <v>227</v>
      </c>
      <c r="F69" s="99" t="s">
        <v>156</v>
      </c>
      <c r="G69" s="99" t="s">
        <v>157</v>
      </c>
      <c r="H69" s="99">
        <f>'Cuota Industrial'!E62</f>
        <v>32.491</v>
      </c>
      <c r="I69" s="99">
        <f>'Cuota Industrial'!F62</f>
        <v>0</v>
      </c>
      <c r="J69" s="99">
        <f>'Cuota Industrial'!G62</f>
        <v>50.262999999999934</v>
      </c>
      <c r="K69" s="99">
        <f>'Cuota Industrial'!H62</f>
        <v>0</v>
      </c>
      <c r="L69" s="99">
        <f>'Cuota Industrial'!I62</f>
        <v>50.262999999999934</v>
      </c>
      <c r="M69" s="95">
        <f>'Cuota Industrial'!J62</f>
        <v>0</v>
      </c>
      <c r="N69" s="110" t="s">
        <v>209</v>
      </c>
      <c r="O69" s="122">
        <v>43465</v>
      </c>
    </row>
    <row r="70" spans="1:15">
      <c r="A70" s="98" t="s">
        <v>163</v>
      </c>
      <c r="B70" s="99" t="s">
        <v>152</v>
      </c>
      <c r="C70" s="99" t="s">
        <v>164</v>
      </c>
      <c r="D70" s="99" t="s">
        <v>153</v>
      </c>
      <c r="E70" s="99" t="s">
        <v>227</v>
      </c>
      <c r="F70" s="99" t="s">
        <v>154</v>
      </c>
      <c r="G70" s="99" t="s">
        <v>157</v>
      </c>
      <c r="H70" s="99">
        <f>'Cuota Industrial'!K61</f>
        <v>650.35299999999995</v>
      </c>
      <c r="I70" s="99">
        <f>'Cuota Industrial'!L61</f>
        <v>-600.09</v>
      </c>
      <c r="J70" s="99">
        <f>'Cuota Industrial'!M61</f>
        <v>50.26299999999992</v>
      </c>
      <c r="K70" s="99">
        <f>'Cuota Industrial'!N61</f>
        <v>0</v>
      </c>
      <c r="L70" s="99">
        <f>'Cuota Industrial'!O61</f>
        <v>50.26299999999992</v>
      </c>
      <c r="M70" s="95">
        <f>'Cuota Industrial'!P61</f>
        <v>0</v>
      </c>
      <c r="N70" s="110" t="s">
        <v>209</v>
      </c>
      <c r="O70" s="122">
        <v>43465</v>
      </c>
    </row>
    <row r="71" spans="1:15">
      <c r="A71" s="98" t="s">
        <v>163</v>
      </c>
      <c r="B71" s="99" t="s">
        <v>152</v>
      </c>
      <c r="C71" s="99" t="s">
        <v>164</v>
      </c>
      <c r="D71" s="99" t="s">
        <v>153</v>
      </c>
      <c r="E71" s="99" t="s">
        <v>16</v>
      </c>
      <c r="F71" s="99" t="s">
        <v>154</v>
      </c>
      <c r="G71" s="97" t="s">
        <v>155</v>
      </c>
      <c r="H71" s="99">
        <f>'Cuota Industrial'!E63</f>
        <v>46.808999999999997</v>
      </c>
      <c r="I71" s="99">
        <f>'Cuota Industrial'!F63</f>
        <v>-49.271000000000001</v>
      </c>
      <c r="J71" s="99">
        <f>'Cuota Industrial'!G63</f>
        <v>-2.4620000000000033</v>
      </c>
      <c r="K71" s="99">
        <f>'Cuota Industrial'!H63</f>
        <v>0</v>
      </c>
      <c r="L71" s="99">
        <f>'Cuota Industrial'!I63</f>
        <v>-2.4620000000000033</v>
      </c>
      <c r="M71" s="95">
        <f>'Cuota Industrial'!J63</f>
        <v>0</v>
      </c>
      <c r="N71" s="110" t="s">
        <v>209</v>
      </c>
      <c r="O71" s="122">
        <v>43465</v>
      </c>
    </row>
    <row r="72" spans="1:15">
      <c r="A72" s="98" t="s">
        <v>163</v>
      </c>
      <c r="B72" s="99" t="s">
        <v>152</v>
      </c>
      <c r="C72" s="99" t="s">
        <v>164</v>
      </c>
      <c r="D72" s="99" t="s">
        <v>153</v>
      </c>
      <c r="E72" s="99" t="s">
        <v>16</v>
      </c>
      <c r="F72" s="99" t="s">
        <v>156</v>
      </c>
      <c r="G72" s="99" t="s">
        <v>157</v>
      </c>
      <c r="H72" s="99">
        <f>'Cuota Industrial'!E64</f>
        <v>2.4620000000000002</v>
      </c>
      <c r="I72" s="99">
        <f>'Cuota Industrial'!F64</f>
        <v>0</v>
      </c>
      <c r="J72" s="99">
        <f>'Cuota Industrial'!I64</f>
        <v>0</v>
      </c>
      <c r="K72" s="99">
        <f>'Cuota Industrial'!H64</f>
        <v>0</v>
      </c>
      <c r="L72" s="99">
        <f>'Cuota Industrial'!I64</f>
        <v>0</v>
      </c>
      <c r="M72" s="95">
        <f>'Cuota Industrial'!J64</f>
        <v>0</v>
      </c>
      <c r="N72" s="110" t="s">
        <v>209</v>
      </c>
      <c r="O72" s="122">
        <v>43465</v>
      </c>
    </row>
    <row r="73" spans="1:15">
      <c r="A73" s="98" t="s">
        <v>163</v>
      </c>
      <c r="B73" s="99" t="s">
        <v>152</v>
      </c>
      <c r="C73" s="99" t="s">
        <v>164</v>
      </c>
      <c r="D73" s="99" t="s">
        <v>153</v>
      </c>
      <c r="E73" s="99" t="s">
        <v>16</v>
      </c>
      <c r="F73" s="99" t="s">
        <v>154</v>
      </c>
      <c r="G73" s="99" t="s">
        <v>157</v>
      </c>
      <c r="H73" s="99">
        <f>'Cuota Industrial'!K63</f>
        <v>49.271000000000001</v>
      </c>
      <c r="I73" s="99">
        <f>'Cuota Industrial'!L63</f>
        <v>-49.271000000000001</v>
      </c>
      <c r="J73" s="99">
        <f>'Cuota Industrial'!M63</f>
        <v>0</v>
      </c>
      <c r="K73" s="99">
        <f>'Cuota Industrial'!N63</f>
        <v>0</v>
      </c>
      <c r="L73" s="99">
        <f>'Cuota Industrial'!O63</f>
        <v>0</v>
      </c>
      <c r="M73" s="95">
        <f>'Cuota Industrial'!P63</f>
        <v>0</v>
      </c>
      <c r="N73" s="110" t="s">
        <v>209</v>
      </c>
      <c r="O73" s="122">
        <v>43465</v>
      </c>
    </row>
    <row r="74" spans="1:15">
      <c r="A74" s="98" t="s">
        <v>163</v>
      </c>
      <c r="B74" s="99" t="s">
        <v>152</v>
      </c>
      <c r="C74" s="99" t="s">
        <v>164</v>
      </c>
      <c r="D74" s="99" t="s">
        <v>153</v>
      </c>
      <c r="E74" s="99" t="s">
        <v>216</v>
      </c>
      <c r="F74" s="99" t="s">
        <v>154</v>
      </c>
      <c r="G74" s="97" t="s">
        <v>155</v>
      </c>
      <c r="H74" s="99">
        <f>'Cuota Industrial'!E65</f>
        <v>436.88400000000001</v>
      </c>
      <c r="I74" s="99">
        <f>'Cuota Industrial'!F65</f>
        <v>-459.85900000000004</v>
      </c>
      <c r="J74" s="99">
        <f>'Cuota Industrial'!G65</f>
        <v>-22.975000000000023</v>
      </c>
      <c r="K74" s="99">
        <f>'Cuota Industrial'!H65</f>
        <v>0</v>
      </c>
      <c r="L74" s="99">
        <f>'Cuota Industrial'!I65</f>
        <v>-22.975000000000023</v>
      </c>
      <c r="M74" s="95">
        <f>'Cuota Industrial'!J65</f>
        <v>0</v>
      </c>
      <c r="N74" s="110" t="s">
        <v>209</v>
      </c>
      <c r="O74" s="122">
        <v>43465</v>
      </c>
    </row>
    <row r="75" spans="1:15">
      <c r="A75" s="98" t="s">
        <v>163</v>
      </c>
      <c r="B75" s="99" t="s">
        <v>152</v>
      </c>
      <c r="C75" s="99" t="s">
        <v>164</v>
      </c>
      <c r="D75" s="99" t="s">
        <v>153</v>
      </c>
      <c r="E75" s="99" t="s">
        <v>216</v>
      </c>
      <c r="F75" s="99" t="s">
        <v>156</v>
      </c>
      <c r="G75" s="99" t="s">
        <v>157</v>
      </c>
      <c r="H75" s="99">
        <f>'Cuota Industrial'!E66</f>
        <v>22.975000000000001</v>
      </c>
      <c r="I75" s="99">
        <f>'Cuota Industrial'!F66</f>
        <v>0</v>
      </c>
      <c r="J75" s="99">
        <f>'Cuota Industrial'!G66</f>
        <v>0</v>
      </c>
      <c r="K75" s="99">
        <f>'Cuota Industrial'!H66</f>
        <v>0</v>
      </c>
      <c r="L75" s="99">
        <f>'Cuota Industrial'!I66</f>
        <v>0</v>
      </c>
      <c r="M75" s="95">
        <f>'Cuota Industrial'!J66</f>
        <v>0</v>
      </c>
      <c r="N75" s="110" t="s">
        <v>209</v>
      </c>
      <c r="O75" s="122">
        <v>43465</v>
      </c>
    </row>
    <row r="76" spans="1:15">
      <c r="A76" s="98" t="s">
        <v>163</v>
      </c>
      <c r="B76" s="99" t="s">
        <v>152</v>
      </c>
      <c r="C76" s="99" t="s">
        <v>164</v>
      </c>
      <c r="D76" s="99" t="s">
        <v>153</v>
      </c>
      <c r="E76" s="99" t="s">
        <v>216</v>
      </c>
      <c r="F76" s="99" t="s">
        <v>154</v>
      </c>
      <c r="G76" s="99" t="s">
        <v>157</v>
      </c>
      <c r="H76" s="99">
        <f>'Cuota Industrial'!K65</f>
        <v>459.85900000000004</v>
      </c>
      <c r="I76" s="99">
        <f>'Cuota Industrial'!L65</f>
        <v>-459.85900000000004</v>
      </c>
      <c r="J76" s="99">
        <f>'Cuota Industrial'!M65</f>
        <v>0</v>
      </c>
      <c r="K76" s="99">
        <f>'Cuota Industrial'!N65</f>
        <v>0</v>
      </c>
      <c r="L76" s="99">
        <f>'Cuota Industrial'!O65</f>
        <v>0</v>
      </c>
      <c r="M76" s="95">
        <f>'Cuota Industrial'!P65</f>
        <v>0</v>
      </c>
      <c r="N76" s="110" t="s">
        <v>209</v>
      </c>
      <c r="O76" s="122">
        <v>43465</v>
      </c>
    </row>
    <row r="77" spans="1:15">
      <c r="A77" s="98" t="s">
        <v>163</v>
      </c>
      <c r="B77" s="99" t="s">
        <v>152</v>
      </c>
      <c r="C77" s="99" t="s">
        <v>164</v>
      </c>
      <c r="D77" s="99" t="s">
        <v>153</v>
      </c>
      <c r="E77" s="99" t="s">
        <v>111</v>
      </c>
      <c r="F77" s="99" t="s">
        <v>154</v>
      </c>
      <c r="G77" s="97" t="s">
        <v>155</v>
      </c>
      <c r="H77" s="99">
        <f>'Cuota Industrial'!E67</f>
        <v>327.66300000000001</v>
      </c>
      <c r="I77" s="99">
        <f>'Cuota Industrial'!F67</f>
        <v>-344.89400000000001</v>
      </c>
      <c r="J77" s="99">
        <f>'Cuota Industrial'!G67</f>
        <v>-17.230999999999995</v>
      </c>
      <c r="K77" s="99">
        <f>'Cuota Industrial'!H67</f>
        <v>0</v>
      </c>
      <c r="L77" s="99">
        <f>'Cuota Industrial'!I67</f>
        <v>-17.230999999999995</v>
      </c>
      <c r="M77" s="95">
        <f>'Cuota Industrial'!J67</f>
        <v>0</v>
      </c>
      <c r="N77" s="110" t="s">
        <v>209</v>
      </c>
      <c r="O77" s="122">
        <v>43465</v>
      </c>
    </row>
    <row r="78" spans="1:15">
      <c r="A78" s="98" t="s">
        <v>163</v>
      </c>
      <c r="B78" s="99" t="s">
        <v>152</v>
      </c>
      <c r="C78" s="99" t="s">
        <v>164</v>
      </c>
      <c r="D78" s="99" t="s">
        <v>153</v>
      </c>
      <c r="E78" s="99" t="s">
        <v>111</v>
      </c>
      <c r="F78" s="99" t="s">
        <v>156</v>
      </c>
      <c r="G78" s="99" t="s">
        <v>157</v>
      </c>
      <c r="H78" s="99">
        <f>'Cuota Industrial'!E68</f>
        <v>17.231000000000002</v>
      </c>
      <c r="I78" s="99">
        <f>'Cuota Industrial'!F68</f>
        <v>0</v>
      </c>
      <c r="J78" s="99">
        <f>'Cuota Industrial'!G68</f>
        <v>0</v>
      </c>
      <c r="K78" s="99">
        <f>'Cuota Industrial'!H68</f>
        <v>0</v>
      </c>
      <c r="L78" s="99">
        <f>'Cuota Industrial'!I68</f>
        <v>0</v>
      </c>
      <c r="M78" s="95">
        <f>'Cuota Industrial'!J68</f>
        <v>0</v>
      </c>
      <c r="N78" s="110" t="s">
        <v>209</v>
      </c>
      <c r="O78" s="122">
        <v>43465</v>
      </c>
    </row>
    <row r="79" spans="1:15">
      <c r="A79" s="98" t="s">
        <v>163</v>
      </c>
      <c r="B79" s="99" t="s">
        <v>152</v>
      </c>
      <c r="C79" s="99" t="s">
        <v>164</v>
      </c>
      <c r="D79" s="99" t="s">
        <v>153</v>
      </c>
      <c r="E79" s="99" t="s">
        <v>111</v>
      </c>
      <c r="F79" s="99" t="s">
        <v>154</v>
      </c>
      <c r="G79" s="99" t="s">
        <v>157</v>
      </c>
      <c r="H79" s="99">
        <f>'Cuota Industrial'!K67</f>
        <v>344.89400000000001</v>
      </c>
      <c r="I79" s="99">
        <f>'Cuota Industrial'!L67</f>
        <v>-344.89400000000001</v>
      </c>
      <c r="J79" s="99">
        <f>'Cuota Industrial'!M67</f>
        <v>0</v>
      </c>
      <c r="K79" s="99">
        <f>'Cuota Industrial'!N67</f>
        <v>0</v>
      </c>
      <c r="L79" s="99">
        <f>'Cuota Industrial'!O67</f>
        <v>0</v>
      </c>
      <c r="M79" s="95">
        <f>'Cuota Industrial'!P67</f>
        <v>0</v>
      </c>
      <c r="N79" s="110" t="s">
        <v>209</v>
      </c>
      <c r="O79" s="122">
        <v>43465</v>
      </c>
    </row>
    <row r="80" spans="1:15">
      <c r="A80" s="98" t="s">
        <v>163</v>
      </c>
      <c r="B80" s="99" t="s">
        <v>152</v>
      </c>
      <c r="C80" s="99" t="s">
        <v>164</v>
      </c>
      <c r="D80" s="99" t="s">
        <v>153</v>
      </c>
      <c r="E80" s="99" t="s">
        <v>166</v>
      </c>
      <c r="F80" s="99" t="s">
        <v>154</v>
      </c>
      <c r="G80" s="97" t="s">
        <v>155</v>
      </c>
      <c r="H80" s="99">
        <f>'Cuota Industrial'!E69</f>
        <v>124.824</v>
      </c>
      <c r="I80" s="99">
        <f>'Cuota Industrial'!F69</f>
        <v>-130.69400000000002</v>
      </c>
      <c r="J80" s="99">
        <f>'Cuota Industrial'!G69</f>
        <v>-5.8700000000000188</v>
      </c>
      <c r="K80" s="99">
        <f>'Cuota Industrial'!H69</f>
        <v>0</v>
      </c>
      <c r="L80" s="99">
        <f>'Cuota Industrial'!I69</f>
        <v>-5.8700000000000188</v>
      </c>
      <c r="M80" s="95">
        <f>'Cuota Industrial'!J69</f>
        <v>0</v>
      </c>
      <c r="N80" s="110" t="s">
        <v>209</v>
      </c>
      <c r="O80" s="122">
        <v>43465</v>
      </c>
    </row>
    <row r="81" spans="1:15">
      <c r="A81" s="98" t="s">
        <v>163</v>
      </c>
      <c r="B81" s="99" t="s">
        <v>152</v>
      </c>
      <c r="C81" s="99" t="s">
        <v>164</v>
      </c>
      <c r="D81" s="99" t="s">
        <v>153</v>
      </c>
      <c r="E81" s="99" t="s">
        <v>166</v>
      </c>
      <c r="F81" s="99" t="s">
        <v>156</v>
      </c>
      <c r="G81" s="99" t="s">
        <v>157</v>
      </c>
      <c r="H81" s="99">
        <f>'Cuota Industrial'!E70</f>
        <v>6.5640000000000001</v>
      </c>
      <c r="I81" s="99">
        <f>'Cuota Industrial'!F70</f>
        <v>0</v>
      </c>
      <c r="J81" s="99">
        <f>'Cuota Industrial'!G70</f>
        <v>0.6939999999999813</v>
      </c>
      <c r="K81" s="99">
        <f>'Cuota Industrial'!H70</f>
        <v>0</v>
      </c>
      <c r="L81" s="99">
        <f>'Cuota Industrial'!I70</f>
        <v>0.6939999999999813</v>
      </c>
      <c r="M81" s="95">
        <f>'Cuota Industrial'!J70</f>
        <v>0</v>
      </c>
      <c r="N81" s="110" t="s">
        <v>209</v>
      </c>
      <c r="O81" s="122">
        <v>43465</v>
      </c>
    </row>
    <row r="82" spans="1:15">
      <c r="A82" s="98" t="s">
        <v>163</v>
      </c>
      <c r="B82" s="99" t="s">
        <v>152</v>
      </c>
      <c r="C82" s="99" t="s">
        <v>164</v>
      </c>
      <c r="D82" s="99" t="s">
        <v>153</v>
      </c>
      <c r="E82" s="99" t="s">
        <v>166</v>
      </c>
      <c r="F82" s="99" t="s">
        <v>154</v>
      </c>
      <c r="G82" s="99" t="s">
        <v>157</v>
      </c>
      <c r="H82" s="99">
        <f>'Cuota Industrial'!K69</f>
        <v>131.38800000000001</v>
      </c>
      <c r="I82" s="99">
        <f>'Cuota Industrial'!L69</f>
        <v>-130.69400000000002</v>
      </c>
      <c r="J82" s="99">
        <f>'Cuota Industrial'!M69</f>
        <v>0.6939999999999884</v>
      </c>
      <c r="K82" s="99">
        <f>'Cuota Industrial'!N69</f>
        <v>0</v>
      </c>
      <c r="L82" s="99">
        <f>'Cuota Industrial'!O69</f>
        <v>0.6939999999999884</v>
      </c>
      <c r="M82" s="95">
        <f>'Cuota Industrial'!P69</f>
        <v>0</v>
      </c>
      <c r="N82" s="110" t="s">
        <v>209</v>
      </c>
      <c r="O82" s="122">
        <v>43465</v>
      </c>
    </row>
    <row r="83" spans="1:15">
      <c r="A83" s="98" t="s">
        <v>167</v>
      </c>
      <c r="B83" s="99" t="s">
        <v>152</v>
      </c>
      <c r="C83" s="99" t="s">
        <v>96</v>
      </c>
      <c r="D83" s="99" t="s">
        <v>153</v>
      </c>
      <c r="E83" s="99" t="s">
        <v>221</v>
      </c>
      <c r="F83" s="99" t="s">
        <v>154</v>
      </c>
      <c r="G83" s="97" t="s">
        <v>155</v>
      </c>
      <c r="H83" s="99">
        <f>'Cuota Industrial'!E75</f>
        <v>20674.532999999999</v>
      </c>
      <c r="I83" s="99">
        <f>'Cuota Industrial'!F75</f>
        <v>10903.142</v>
      </c>
      <c r="J83" s="99">
        <f>'Cuota Industrial'!G75</f>
        <v>31577.674999999999</v>
      </c>
      <c r="K83" s="99">
        <f>'Cuota Industrial'!H75</f>
        <v>31944.118999999999</v>
      </c>
      <c r="L83" s="99">
        <f>'Cuota Industrial'!I75</f>
        <v>-366.44399999999951</v>
      </c>
      <c r="M83" s="95">
        <f>'Cuota Industrial'!J75</f>
        <v>1.0116045275657566</v>
      </c>
      <c r="N83" s="110" t="s">
        <v>209</v>
      </c>
      <c r="O83" s="122">
        <v>43465</v>
      </c>
    </row>
    <row r="84" spans="1:15">
      <c r="A84" s="98" t="s">
        <v>167</v>
      </c>
      <c r="B84" s="99" t="s">
        <v>152</v>
      </c>
      <c r="C84" s="99" t="s">
        <v>96</v>
      </c>
      <c r="D84" s="99" t="s">
        <v>153</v>
      </c>
      <c r="E84" s="99" t="s">
        <v>221</v>
      </c>
      <c r="F84" s="99" t="s">
        <v>156</v>
      </c>
      <c r="G84" s="99" t="s">
        <v>157</v>
      </c>
      <c r="H84" s="99">
        <f>'Cuota Industrial'!E76</f>
        <v>421.96600000000001</v>
      </c>
      <c r="I84" s="99">
        <f>'Cuota Industrial'!F76</f>
        <v>0</v>
      </c>
      <c r="J84" s="99">
        <f>'Cuota Industrial'!G76</f>
        <v>55.522000000000503</v>
      </c>
      <c r="K84" s="99">
        <f>'Cuota Industrial'!H76</f>
        <v>0</v>
      </c>
      <c r="L84" s="99">
        <f>'Cuota Industrial'!I76</f>
        <v>55.522000000000503</v>
      </c>
      <c r="M84" s="95">
        <f>'Cuota Industrial'!J76</f>
        <v>0</v>
      </c>
      <c r="N84" s="110" t="s">
        <v>209</v>
      </c>
      <c r="O84" s="122">
        <v>43465</v>
      </c>
    </row>
    <row r="85" spans="1:15">
      <c r="A85" s="98" t="s">
        <v>167</v>
      </c>
      <c r="B85" s="99" t="s">
        <v>152</v>
      </c>
      <c r="C85" s="99" t="s">
        <v>96</v>
      </c>
      <c r="D85" s="99" t="s">
        <v>153</v>
      </c>
      <c r="E85" s="99" t="s">
        <v>221</v>
      </c>
      <c r="F85" s="99" t="s">
        <v>154</v>
      </c>
      <c r="G85" s="99" t="s">
        <v>157</v>
      </c>
      <c r="H85" s="99">
        <f>'Cuota Industrial'!K75</f>
        <v>21096.499</v>
      </c>
      <c r="I85" s="99">
        <f>'Cuota Industrial'!L75</f>
        <v>10903.142</v>
      </c>
      <c r="J85" s="99">
        <f>'Cuota Industrial'!M75</f>
        <v>31999.641</v>
      </c>
      <c r="K85" s="99">
        <f>'Cuota Industrial'!M75</f>
        <v>31999.641</v>
      </c>
      <c r="L85" s="99">
        <f>'Cuota Industrial'!O75</f>
        <v>55.522000000000844</v>
      </c>
      <c r="M85" s="95">
        <f>'Cuota Industrial'!P75</f>
        <v>0.9982649180345492</v>
      </c>
      <c r="N85" s="110" t="s">
        <v>209</v>
      </c>
      <c r="O85" s="122">
        <v>43465</v>
      </c>
    </row>
    <row r="86" spans="1:15">
      <c r="A86" s="98" t="s">
        <v>167</v>
      </c>
      <c r="B86" s="99" t="s">
        <v>152</v>
      </c>
      <c r="C86" s="99" t="s">
        <v>96</v>
      </c>
      <c r="D86" s="99" t="s">
        <v>153</v>
      </c>
      <c r="E86" s="99" t="s">
        <v>223</v>
      </c>
      <c r="F86" s="99" t="s">
        <v>154</v>
      </c>
      <c r="G86" s="97" t="s">
        <v>155</v>
      </c>
      <c r="H86" s="99">
        <f>'Cuota Industrial'!E77</f>
        <v>46241.307999999997</v>
      </c>
      <c r="I86" s="99">
        <f>'Cuota Industrial'!F77</f>
        <v>5330.0479999999989</v>
      </c>
      <c r="J86" s="99">
        <f>'Cuota Industrial'!G77</f>
        <v>51571.356</v>
      </c>
      <c r="K86" s="99">
        <f>'Cuota Industrial'!H77</f>
        <v>48444.661</v>
      </c>
      <c r="L86" s="99">
        <f>'Cuota Industrial'!I77</f>
        <v>3126.6949999999997</v>
      </c>
      <c r="M86" s="95">
        <f>'Cuota Industrial'!J77</f>
        <v>0.93937147978036495</v>
      </c>
      <c r="N86" s="110" t="s">
        <v>209</v>
      </c>
      <c r="O86" s="122">
        <v>43465</v>
      </c>
    </row>
    <row r="87" spans="1:15">
      <c r="A87" s="98" t="s">
        <v>167</v>
      </c>
      <c r="B87" s="99" t="s">
        <v>152</v>
      </c>
      <c r="C87" s="99" t="s">
        <v>96</v>
      </c>
      <c r="D87" s="99" t="s">
        <v>153</v>
      </c>
      <c r="E87" s="99" t="s">
        <v>223</v>
      </c>
      <c r="F87" s="99" t="s">
        <v>156</v>
      </c>
      <c r="G87" s="99" t="s">
        <v>157</v>
      </c>
      <c r="H87" s="99">
        <f>'Cuota Industrial'!E78</f>
        <v>943.78200000000004</v>
      </c>
      <c r="I87" s="99">
        <f>'Cuota Industrial'!F78</f>
        <v>0</v>
      </c>
      <c r="J87" s="99">
        <f>'Cuota Industrial'!G78</f>
        <v>4070.4769999999999</v>
      </c>
      <c r="K87" s="99">
        <f>'Cuota Industrial'!H78</f>
        <v>2883.4560000000001</v>
      </c>
      <c r="L87" s="99">
        <f>'Cuota Industrial'!I78</f>
        <v>1187.0209999999997</v>
      </c>
      <c r="M87" s="95">
        <f>'Cuota Industrial'!J78</f>
        <v>0.70838282589485213</v>
      </c>
      <c r="N87" s="110" t="s">
        <v>209</v>
      </c>
      <c r="O87" s="122">
        <v>43465</v>
      </c>
    </row>
    <row r="88" spans="1:15">
      <c r="A88" s="98" t="s">
        <v>167</v>
      </c>
      <c r="B88" s="99" t="s">
        <v>152</v>
      </c>
      <c r="C88" s="99" t="s">
        <v>96</v>
      </c>
      <c r="D88" s="99" t="s">
        <v>153</v>
      </c>
      <c r="E88" s="99" t="s">
        <v>223</v>
      </c>
      <c r="F88" s="99" t="s">
        <v>154</v>
      </c>
      <c r="G88" s="99" t="s">
        <v>157</v>
      </c>
      <c r="H88" s="99">
        <f>'Cuota Industrial'!K77</f>
        <v>47185.09</v>
      </c>
      <c r="I88" s="99">
        <f>'Cuota Industrial'!L77</f>
        <v>5330.0479999999989</v>
      </c>
      <c r="J88" s="99">
        <f>'Cuota Industrial'!M77</f>
        <v>52515.137999999992</v>
      </c>
      <c r="K88" s="99">
        <f>'Cuota Industrial'!N77</f>
        <v>51328.116999999998</v>
      </c>
      <c r="L88" s="99">
        <f>'Cuota Industrial'!O77</f>
        <v>1187.0209999999934</v>
      </c>
      <c r="M88" s="95">
        <f>'Cuota Industrial'!P77</f>
        <v>0.97739659372122389</v>
      </c>
      <c r="N88" s="110" t="s">
        <v>209</v>
      </c>
      <c r="O88" s="122">
        <v>43465</v>
      </c>
    </row>
    <row r="89" spans="1:15">
      <c r="A89" s="98" t="s">
        <v>167</v>
      </c>
      <c r="B89" s="99" t="s">
        <v>152</v>
      </c>
      <c r="C89" s="99" t="s">
        <v>96</v>
      </c>
      <c r="D89" s="99" t="s">
        <v>153</v>
      </c>
      <c r="E89" s="99" t="s">
        <v>168</v>
      </c>
      <c r="F89" s="99" t="s">
        <v>154</v>
      </c>
      <c r="G89" s="97" t="s">
        <v>155</v>
      </c>
      <c r="H89" s="99">
        <f>'Cuota Industrial'!E79</f>
        <v>5.87</v>
      </c>
      <c r="I89" s="99">
        <f>'Cuota Industrial'!F79</f>
        <v>0</v>
      </c>
      <c r="J89" s="99">
        <f>'Cuota Industrial'!G79</f>
        <v>5.87</v>
      </c>
      <c r="K89" s="99">
        <f>'Cuota Industrial'!H79</f>
        <v>0</v>
      </c>
      <c r="L89" s="99">
        <f>'Cuota Industrial'!I79</f>
        <v>5.87</v>
      </c>
      <c r="M89" s="95">
        <f>'Cuota Industrial'!J79</f>
        <v>0</v>
      </c>
      <c r="N89" s="110" t="s">
        <v>209</v>
      </c>
      <c r="O89" s="122">
        <v>43465</v>
      </c>
    </row>
    <row r="90" spans="1:15">
      <c r="A90" s="98" t="s">
        <v>167</v>
      </c>
      <c r="B90" s="99" t="s">
        <v>152</v>
      </c>
      <c r="C90" s="99" t="s">
        <v>96</v>
      </c>
      <c r="D90" s="99" t="s">
        <v>153</v>
      </c>
      <c r="E90" s="99" t="s">
        <v>168</v>
      </c>
      <c r="F90" s="99" t="s">
        <v>156</v>
      </c>
      <c r="G90" s="99" t="s">
        <v>157</v>
      </c>
      <c r="H90" s="99">
        <f>'Cuota Industrial'!E80</f>
        <v>0.12</v>
      </c>
      <c r="I90" s="99">
        <f>'Cuota Industrial'!F80</f>
        <v>0</v>
      </c>
      <c r="J90" s="99">
        <f>'Cuota Industrial'!G80</f>
        <v>5.99</v>
      </c>
      <c r="K90" s="99">
        <f>'Cuota Industrial'!H80</f>
        <v>0</v>
      </c>
      <c r="L90" s="99">
        <f>'Cuota Industrial'!I80</f>
        <v>5.99</v>
      </c>
      <c r="M90" s="95">
        <f>'Cuota Industrial'!J80</f>
        <v>0</v>
      </c>
      <c r="N90" s="110" t="s">
        <v>209</v>
      </c>
      <c r="O90" s="122">
        <v>43465</v>
      </c>
    </row>
    <row r="91" spans="1:15">
      <c r="A91" s="98" t="s">
        <v>167</v>
      </c>
      <c r="B91" s="99" t="s">
        <v>152</v>
      </c>
      <c r="C91" s="99" t="s">
        <v>96</v>
      </c>
      <c r="D91" s="99" t="s">
        <v>153</v>
      </c>
      <c r="E91" s="99" t="s">
        <v>168</v>
      </c>
      <c r="F91" s="99" t="s">
        <v>154</v>
      </c>
      <c r="G91" s="99" t="s">
        <v>157</v>
      </c>
      <c r="H91" s="99">
        <f>'Cuota Industrial'!K79</f>
        <v>5.99</v>
      </c>
      <c r="I91" s="99">
        <f>'Cuota Industrial'!L79</f>
        <v>0</v>
      </c>
      <c r="J91" s="99">
        <f>'Cuota Industrial'!M79</f>
        <v>5.99</v>
      </c>
      <c r="K91" s="99">
        <f>'Cuota Industrial'!N79</f>
        <v>0</v>
      </c>
      <c r="L91" s="99">
        <f>'Cuota Industrial'!O79</f>
        <v>5.99</v>
      </c>
      <c r="M91" s="95">
        <f>'Cuota Industrial'!P79</f>
        <v>0</v>
      </c>
      <c r="N91" s="110" t="s">
        <v>209</v>
      </c>
      <c r="O91" s="122">
        <v>43465</v>
      </c>
    </row>
    <row r="92" spans="1:15">
      <c r="A92" s="98" t="s">
        <v>167</v>
      </c>
      <c r="B92" s="99" t="s">
        <v>152</v>
      </c>
      <c r="C92" s="99" t="s">
        <v>96</v>
      </c>
      <c r="D92" s="99" t="s">
        <v>153</v>
      </c>
      <c r="E92" s="99" t="s">
        <v>227</v>
      </c>
      <c r="F92" s="99" t="s">
        <v>154</v>
      </c>
      <c r="G92" s="97" t="s">
        <v>155</v>
      </c>
      <c r="H92" s="99">
        <f>'Cuota Industrial'!E81</f>
        <v>38562.298000000003</v>
      </c>
      <c r="I92" s="99">
        <f>'Cuota Industrial'!F81</f>
        <v>9796.7019999999993</v>
      </c>
      <c r="J92" s="99">
        <f>'Cuota Industrial'!G81</f>
        <v>48359</v>
      </c>
      <c r="K92" s="99">
        <f>'Cuota Industrial'!H81</f>
        <v>44607.232000000004</v>
      </c>
      <c r="L92" s="99">
        <f>'Cuota Industrial'!I81</f>
        <v>3751.7679999999964</v>
      </c>
      <c r="M92" s="95">
        <f>'Cuota Industrial'!J81</f>
        <v>0.92241841229140398</v>
      </c>
      <c r="N92" s="110" t="s">
        <v>209</v>
      </c>
      <c r="O92" s="122">
        <v>43465</v>
      </c>
    </row>
    <row r="93" spans="1:15">
      <c r="A93" s="98" t="s">
        <v>167</v>
      </c>
      <c r="B93" s="99" t="s">
        <v>152</v>
      </c>
      <c r="C93" s="99" t="s">
        <v>96</v>
      </c>
      <c r="D93" s="99" t="s">
        <v>153</v>
      </c>
      <c r="E93" s="99" t="s">
        <v>227</v>
      </c>
      <c r="F93" s="99" t="s">
        <v>156</v>
      </c>
      <c r="G93" s="99" t="s">
        <v>157</v>
      </c>
      <c r="H93" s="99">
        <f>'Cuota Industrial'!E82</f>
        <v>787.05399999999997</v>
      </c>
      <c r="I93" s="99">
        <f>'Cuota Industrial'!F82</f>
        <v>0</v>
      </c>
      <c r="J93" s="99">
        <f>'Cuota Industrial'!G82</f>
        <v>4538.8219999999965</v>
      </c>
      <c r="K93" s="99">
        <f>'Cuota Industrial'!H82</f>
        <v>4457.9790000000003</v>
      </c>
      <c r="L93" s="99">
        <f>'Cuota Industrial'!I82</f>
        <v>80.842999999996209</v>
      </c>
      <c r="M93" s="95">
        <f>'Cuota Industrial'!J82</f>
        <v>0.98218855024497631</v>
      </c>
      <c r="N93" s="110" t="s">
        <v>209</v>
      </c>
      <c r="O93" s="122">
        <v>43465</v>
      </c>
    </row>
    <row r="94" spans="1:15">
      <c r="A94" s="98" t="s">
        <v>167</v>
      </c>
      <c r="B94" s="99" t="s">
        <v>152</v>
      </c>
      <c r="C94" s="99" t="s">
        <v>96</v>
      </c>
      <c r="D94" s="99" t="s">
        <v>153</v>
      </c>
      <c r="E94" s="99" t="s">
        <v>227</v>
      </c>
      <c r="F94" s="99" t="s">
        <v>154</v>
      </c>
      <c r="G94" s="99" t="s">
        <v>157</v>
      </c>
      <c r="H94" s="99">
        <f>'Cuota Industrial'!K81</f>
        <v>39349.351999999999</v>
      </c>
      <c r="I94" s="99">
        <f>'Cuota Industrial'!L81</f>
        <v>9796.7019999999993</v>
      </c>
      <c r="J94" s="99">
        <f>'Cuota Industrial'!M81</f>
        <v>49146.053999999996</v>
      </c>
      <c r="K94" s="99">
        <f>'Cuota Industrial'!N81</f>
        <v>49065.211000000003</v>
      </c>
      <c r="L94" s="99">
        <f>'Cuota Industrial'!O81</f>
        <v>80.842999999993481</v>
      </c>
      <c r="M94" s="95">
        <f>'Cuota Industrial'!P81</f>
        <v>0.99835504596157421</v>
      </c>
      <c r="N94" s="110" t="s">
        <v>209</v>
      </c>
      <c r="O94" s="122">
        <v>43465</v>
      </c>
    </row>
    <row r="95" spans="1:15">
      <c r="A95" s="98" t="s">
        <v>167</v>
      </c>
      <c r="B95" s="99" t="s">
        <v>152</v>
      </c>
      <c r="C95" s="99" t="s">
        <v>96</v>
      </c>
      <c r="D95" s="99" t="s">
        <v>153</v>
      </c>
      <c r="E95" s="99" t="s">
        <v>213</v>
      </c>
      <c r="F95" s="99" t="s">
        <v>154</v>
      </c>
      <c r="G95" s="97" t="s">
        <v>155</v>
      </c>
      <c r="H95" s="99">
        <f>'Cuota Industrial'!E83</f>
        <v>544.77200000000005</v>
      </c>
      <c r="I95" s="99">
        <f>'Cuota Industrial'!F83</f>
        <v>-555.89099999999996</v>
      </c>
      <c r="J95" s="99">
        <f>'Cuota Industrial'!G83</f>
        <v>-11.118999999999915</v>
      </c>
      <c r="K95" s="99">
        <f>'Cuota Industrial'!H83</f>
        <v>0</v>
      </c>
      <c r="L95" s="99">
        <f>'Cuota Industrial'!I83</f>
        <v>-11.118999999999915</v>
      </c>
      <c r="M95" s="95">
        <f>'Cuota Industrial'!J83</f>
        <v>0</v>
      </c>
      <c r="N95" s="110" t="s">
        <v>209</v>
      </c>
      <c r="O95" s="122">
        <v>43465</v>
      </c>
    </row>
    <row r="96" spans="1:15">
      <c r="A96" s="98" t="s">
        <v>167</v>
      </c>
      <c r="B96" s="99" t="s">
        <v>152</v>
      </c>
      <c r="C96" s="99" t="s">
        <v>96</v>
      </c>
      <c r="D96" s="99" t="s">
        <v>153</v>
      </c>
      <c r="E96" s="99" t="s">
        <v>213</v>
      </c>
      <c r="F96" s="99" t="s">
        <v>156</v>
      </c>
      <c r="G96" s="99" t="s">
        <v>157</v>
      </c>
      <c r="H96" s="99">
        <f>'Cuota Industrial'!E84</f>
        <v>11.119</v>
      </c>
      <c r="I96" s="99">
        <f>'Cuota Industrial'!F84</f>
        <v>0</v>
      </c>
      <c r="J96" s="99">
        <f>'Cuota Industrial'!G84</f>
        <v>0</v>
      </c>
      <c r="K96" s="99">
        <f>'Cuota Industrial'!H84</f>
        <v>0</v>
      </c>
      <c r="L96" s="99">
        <f>'Cuota Industrial'!I84</f>
        <v>0</v>
      </c>
      <c r="M96" s="95">
        <f>'Cuota Industrial'!J84</f>
        <v>0</v>
      </c>
      <c r="N96" s="110" t="s">
        <v>209</v>
      </c>
      <c r="O96" s="122">
        <v>43465</v>
      </c>
    </row>
    <row r="97" spans="1:15">
      <c r="A97" s="98" t="s">
        <v>167</v>
      </c>
      <c r="B97" s="99" t="s">
        <v>152</v>
      </c>
      <c r="C97" s="99" t="s">
        <v>96</v>
      </c>
      <c r="D97" s="99" t="s">
        <v>153</v>
      </c>
      <c r="E97" s="99" t="s">
        <v>213</v>
      </c>
      <c r="F97" s="99" t="s">
        <v>154</v>
      </c>
      <c r="G97" s="99" t="s">
        <v>157</v>
      </c>
      <c r="H97" s="99">
        <f>'Cuota Industrial'!K83</f>
        <v>555.89100000000008</v>
      </c>
      <c r="I97" s="99">
        <f>'Cuota Industrial'!L83</f>
        <v>-555.89099999999996</v>
      </c>
      <c r="J97" s="99">
        <f>'Cuota Industrial'!M83</f>
        <v>0</v>
      </c>
      <c r="K97" s="99">
        <f>'Cuota Industrial'!N83</f>
        <v>0</v>
      </c>
      <c r="L97" s="99">
        <f>'Cuota Industrial'!O83</f>
        <v>0</v>
      </c>
      <c r="M97" s="95">
        <f>'Cuota Industrial'!P83</f>
        <v>0</v>
      </c>
      <c r="N97" s="110" t="s">
        <v>209</v>
      </c>
      <c r="O97" s="122">
        <v>43465</v>
      </c>
    </row>
    <row r="98" spans="1:15">
      <c r="A98" s="98" t="s">
        <v>167</v>
      </c>
      <c r="B98" s="99" t="s">
        <v>152</v>
      </c>
      <c r="C98" s="99" t="s">
        <v>96</v>
      </c>
      <c r="D98" s="99" t="s">
        <v>153</v>
      </c>
      <c r="E98" s="99" t="s">
        <v>165</v>
      </c>
      <c r="F98" s="99" t="s">
        <v>154</v>
      </c>
      <c r="G98" s="97" t="s">
        <v>155</v>
      </c>
      <c r="H98" s="99">
        <f>'Cuota Industrial'!E85</f>
        <v>11766.494000000001</v>
      </c>
      <c r="I98" s="99">
        <f>'Cuota Industrial'!F85</f>
        <v>1191.319</v>
      </c>
      <c r="J98" s="99">
        <f>'Cuota Industrial'!G85</f>
        <v>12957.813</v>
      </c>
      <c r="K98" s="99">
        <f>'Cuota Industrial'!H85</f>
        <v>13047.308999999999</v>
      </c>
      <c r="L98" s="99">
        <f>'Cuota Industrial'!I85</f>
        <v>-89.495999999999185</v>
      </c>
      <c r="M98" s="95">
        <f>'Cuota Industrial'!J85</f>
        <v>1.0069067210647351</v>
      </c>
      <c r="N98" s="110" t="s">
        <v>209</v>
      </c>
      <c r="O98" s="122">
        <v>43465</v>
      </c>
    </row>
    <row r="99" spans="1:15">
      <c r="A99" s="98" t="s">
        <v>167</v>
      </c>
      <c r="B99" s="99" t="s">
        <v>152</v>
      </c>
      <c r="C99" s="99" t="s">
        <v>96</v>
      </c>
      <c r="D99" s="99" t="s">
        <v>153</v>
      </c>
      <c r="E99" s="99" t="s">
        <v>165</v>
      </c>
      <c r="F99" s="99" t="s">
        <v>156</v>
      </c>
      <c r="G99" s="99" t="s">
        <v>157</v>
      </c>
      <c r="H99" s="99">
        <f>'Cuota Industrial'!E86</f>
        <v>240.15400000000002</v>
      </c>
      <c r="I99" s="99">
        <f>'Cuota Industrial'!F86</f>
        <v>0</v>
      </c>
      <c r="J99" s="99">
        <f>'Cuota Industrial'!G86</f>
        <v>150.65800000000084</v>
      </c>
      <c r="K99" s="99">
        <f>'Cuota Industrial'!H86</f>
        <v>0</v>
      </c>
      <c r="L99" s="99">
        <f>'Cuota Industrial'!I86</f>
        <v>150.65800000000084</v>
      </c>
      <c r="M99" s="95">
        <f>'Cuota Industrial'!J86</f>
        <v>0</v>
      </c>
      <c r="N99" s="110" t="s">
        <v>209</v>
      </c>
      <c r="O99" s="122">
        <v>43465</v>
      </c>
    </row>
    <row r="100" spans="1:15">
      <c r="A100" s="98" t="s">
        <v>167</v>
      </c>
      <c r="B100" s="99" t="s">
        <v>152</v>
      </c>
      <c r="C100" s="99" t="s">
        <v>96</v>
      </c>
      <c r="D100" s="99" t="s">
        <v>153</v>
      </c>
      <c r="E100" s="99" t="s">
        <v>165</v>
      </c>
      <c r="F100" s="99" t="s">
        <v>154</v>
      </c>
      <c r="G100" s="99" t="s">
        <v>157</v>
      </c>
      <c r="H100" s="99">
        <f>'Cuota Industrial'!K85</f>
        <v>12006.648000000001</v>
      </c>
      <c r="I100" s="99">
        <f>'Cuota Industrial'!L85</f>
        <v>1191.319</v>
      </c>
      <c r="J100" s="99">
        <f>'Cuota Industrial'!M85</f>
        <v>13197.967000000001</v>
      </c>
      <c r="K100" s="99">
        <f>'Cuota Industrial'!N85</f>
        <v>13047.308999999999</v>
      </c>
      <c r="L100" s="99">
        <f>'Cuota Industrial'!O85</f>
        <v>150.65800000000127</v>
      </c>
      <c r="M100" s="95">
        <f>'Cuota Industrial'!P85</f>
        <v>0.98858475703113957</v>
      </c>
      <c r="N100" s="110" t="s">
        <v>209</v>
      </c>
      <c r="O100" s="122">
        <v>43465</v>
      </c>
    </row>
    <row r="101" spans="1:15">
      <c r="A101" s="98" t="s">
        <v>167</v>
      </c>
      <c r="B101" s="99" t="s">
        <v>152</v>
      </c>
      <c r="C101" s="99" t="s">
        <v>96</v>
      </c>
      <c r="D101" s="99" t="s">
        <v>153</v>
      </c>
      <c r="E101" s="99" t="s">
        <v>224</v>
      </c>
      <c r="F101" s="99" t="s">
        <v>154</v>
      </c>
      <c r="G101" s="97" t="s">
        <v>155</v>
      </c>
      <c r="H101" s="99">
        <f>'Cuota Industrial'!E87</f>
        <v>18431.018</v>
      </c>
      <c r="I101" s="99">
        <f>'Cuota Industrial'!F87</f>
        <v>7988.1140000000005</v>
      </c>
      <c r="J101" s="99">
        <f>'Cuota Industrial'!G87</f>
        <v>26419.132000000001</v>
      </c>
      <c r="K101" s="99">
        <f>'Cuota Industrial'!H87</f>
        <v>25844.909</v>
      </c>
      <c r="L101" s="99">
        <f>'Cuota Industrial'!I87</f>
        <v>574.22300000000178</v>
      </c>
      <c r="M101" s="95">
        <f>'Cuota Industrial'!J87</f>
        <v>0.97826488016336033</v>
      </c>
      <c r="N101" s="110" t="s">
        <v>209</v>
      </c>
      <c r="O101" s="122">
        <v>43465</v>
      </c>
    </row>
    <row r="102" spans="1:15">
      <c r="A102" s="98" t="s">
        <v>167</v>
      </c>
      <c r="B102" s="99" t="s">
        <v>152</v>
      </c>
      <c r="C102" s="99" t="s">
        <v>96</v>
      </c>
      <c r="D102" s="99" t="s">
        <v>153</v>
      </c>
      <c r="E102" s="99" t="s">
        <v>224</v>
      </c>
      <c r="F102" s="99" t="s">
        <v>156</v>
      </c>
      <c r="G102" s="99" t="s">
        <v>157</v>
      </c>
      <c r="H102" s="99">
        <f>'Cuota Industrial'!E88</f>
        <v>376.17599999999999</v>
      </c>
      <c r="I102" s="99">
        <f>'Cuota Industrial'!F88</f>
        <v>0</v>
      </c>
      <c r="J102" s="99">
        <f>'Cuota Industrial'!G88</f>
        <v>950.39900000000171</v>
      </c>
      <c r="K102" s="99">
        <f>'Cuota Industrial'!H88</f>
        <v>924.59900000000005</v>
      </c>
      <c r="L102" s="99">
        <f>'Cuota Industrial'!I88</f>
        <v>25.80000000000166</v>
      </c>
      <c r="M102" s="95">
        <f>'Cuota Industrial'!J88</f>
        <v>0.97285350679030425</v>
      </c>
      <c r="N102" s="110" t="s">
        <v>209</v>
      </c>
      <c r="O102" s="122">
        <v>43465</v>
      </c>
    </row>
    <row r="103" spans="1:15">
      <c r="A103" s="98" t="s">
        <v>167</v>
      </c>
      <c r="B103" s="99" t="s">
        <v>152</v>
      </c>
      <c r="C103" s="99" t="s">
        <v>96</v>
      </c>
      <c r="D103" s="99" t="s">
        <v>153</v>
      </c>
      <c r="E103" s="99" t="s">
        <v>224</v>
      </c>
      <c r="F103" s="99" t="s">
        <v>154</v>
      </c>
      <c r="G103" s="99" t="s">
        <v>157</v>
      </c>
      <c r="H103" s="99">
        <f>'Cuota Industrial'!K87</f>
        <v>18807.194</v>
      </c>
      <c r="I103" s="99">
        <f>'Cuota Industrial'!L87</f>
        <v>7988.1140000000005</v>
      </c>
      <c r="J103" s="99">
        <f>'Cuota Industrial'!M87</f>
        <v>26795.308000000001</v>
      </c>
      <c r="K103" s="99">
        <f>'Cuota Industrial'!N87</f>
        <v>26769.507999999998</v>
      </c>
      <c r="L103" s="99">
        <f>'Cuota Industrial'!O87</f>
        <v>25.80000000000291</v>
      </c>
      <c r="M103" s="95">
        <f>'Cuota Industrial'!P87</f>
        <v>0.99903714486133155</v>
      </c>
      <c r="N103" s="110" t="s">
        <v>209</v>
      </c>
      <c r="O103" s="122">
        <v>43465</v>
      </c>
    </row>
    <row r="104" spans="1:15">
      <c r="A104" s="98" t="s">
        <v>167</v>
      </c>
      <c r="B104" s="99" t="s">
        <v>152</v>
      </c>
      <c r="C104" s="99" t="s">
        <v>96</v>
      </c>
      <c r="D104" s="99" t="s">
        <v>153</v>
      </c>
      <c r="E104" s="99" t="s">
        <v>228</v>
      </c>
      <c r="F104" s="99" t="s">
        <v>154</v>
      </c>
      <c r="G104" s="97" t="s">
        <v>155</v>
      </c>
      <c r="H104" s="99">
        <f>'Cuota Industrial'!E89</f>
        <v>1.9570000000000001</v>
      </c>
      <c r="I104" s="99">
        <f>'Cuota Industrial'!F89</f>
        <v>0</v>
      </c>
      <c r="J104" s="99">
        <f>'Cuota Industrial'!G89</f>
        <v>1.9570000000000001</v>
      </c>
      <c r="K104" s="99">
        <f>'Cuota Industrial'!H89</f>
        <v>0</v>
      </c>
      <c r="L104" s="99">
        <f>'Cuota Industrial'!I89</f>
        <v>1.9570000000000001</v>
      </c>
      <c r="M104" s="95">
        <f>'Cuota Industrial'!J89</f>
        <v>0</v>
      </c>
      <c r="N104" s="110" t="s">
        <v>209</v>
      </c>
      <c r="O104" s="122">
        <v>43465</v>
      </c>
    </row>
    <row r="105" spans="1:15">
      <c r="A105" s="98" t="s">
        <v>167</v>
      </c>
      <c r="B105" s="99" t="s">
        <v>152</v>
      </c>
      <c r="C105" s="99" t="s">
        <v>96</v>
      </c>
      <c r="D105" s="99" t="s">
        <v>153</v>
      </c>
      <c r="E105" s="99" t="s">
        <v>228</v>
      </c>
      <c r="F105" s="99" t="s">
        <v>156</v>
      </c>
      <c r="G105" s="99" t="s">
        <v>157</v>
      </c>
      <c r="H105" s="99">
        <f>'Cuota Industrial'!E90</f>
        <v>0.04</v>
      </c>
      <c r="I105" s="99">
        <f>'Cuota Industrial'!F90</f>
        <v>0</v>
      </c>
      <c r="J105" s="99">
        <f>'Cuota Industrial'!G90</f>
        <v>1.9970000000000001</v>
      </c>
      <c r="K105" s="99">
        <f>'Cuota Industrial'!H90</f>
        <v>0</v>
      </c>
      <c r="L105" s="99">
        <f>'Cuota Industrial'!I90</f>
        <v>1.9970000000000001</v>
      </c>
      <c r="M105" s="95">
        <f>'Cuota Industrial'!J90</f>
        <v>0</v>
      </c>
      <c r="N105" s="110" t="s">
        <v>209</v>
      </c>
      <c r="O105" s="122">
        <v>43465</v>
      </c>
    </row>
    <row r="106" spans="1:15">
      <c r="A106" s="98" t="s">
        <v>167</v>
      </c>
      <c r="B106" s="99" t="s">
        <v>152</v>
      </c>
      <c r="C106" s="99" t="s">
        <v>96</v>
      </c>
      <c r="D106" s="99" t="s">
        <v>153</v>
      </c>
      <c r="E106" s="99" t="s">
        <v>228</v>
      </c>
      <c r="F106" s="99" t="s">
        <v>154</v>
      </c>
      <c r="G106" s="99" t="s">
        <v>157</v>
      </c>
      <c r="H106" s="99">
        <f>'Cuota Industrial'!K89</f>
        <v>1.9970000000000001</v>
      </c>
      <c r="I106" s="99">
        <f>'Cuota Industrial'!L89</f>
        <v>0</v>
      </c>
      <c r="J106" s="99">
        <f>'Cuota Industrial'!M89</f>
        <v>1.9970000000000001</v>
      </c>
      <c r="K106" s="99">
        <f>'Cuota Industrial'!N89</f>
        <v>0</v>
      </c>
      <c r="L106" s="99">
        <f>'Cuota Industrial'!O89</f>
        <v>1.9970000000000001</v>
      </c>
      <c r="M106" s="95">
        <f>'Cuota Industrial'!P89</f>
        <v>0</v>
      </c>
      <c r="N106" s="110" t="s">
        <v>209</v>
      </c>
      <c r="O106" s="122">
        <v>43465</v>
      </c>
    </row>
    <row r="107" spans="1:15">
      <c r="A107" s="98" t="s">
        <v>167</v>
      </c>
      <c r="B107" s="99" t="s">
        <v>152</v>
      </c>
      <c r="C107" s="99" t="s">
        <v>96</v>
      </c>
      <c r="D107" s="99" t="s">
        <v>153</v>
      </c>
      <c r="E107" s="99" t="s">
        <v>220</v>
      </c>
      <c r="F107" s="99" t="s">
        <v>154</v>
      </c>
      <c r="G107" s="97" t="s">
        <v>155</v>
      </c>
      <c r="H107" s="99">
        <f>'Cuota Industrial'!E91</f>
        <v>10530.111000000001</v>
      </c>
      <c r="I107" s="99">
        <f>'Cuota Industrial'!F91</f>
        <v>10700.659000000001</v>
      </c>
      <c r="J107" s="99">
        <f>'Cuota Industrial'!G91</f>
        <v>21230.770000000004</v>
      </c>
      <c r="K107" s="99">
        <f>'Cuota Industrial'!H91</f>
        <v>19884.944</v>
      </c>
      <c r="L107" s="99">
        <f>'Cuota Industrial'!I91</f>
        <v>1345.8260000000046</v>
      </c>
      <c r="M107" s="95">
        <f>'Cuota Industrial'!J91</f>
        <v>0.93660964722428797</v>
      </c>
      <c r="N107" s="110" t="s">
        <v>209</v>
      </c>
      <c r="O107" s="122">
        <v>43465</v>
      </c>
    </row>
    <row r="108" spans="1:15">
      <c r="A108" s="98" t="s">
        <v>167</v>
      </c>
      <c r="B108" s="99" t="s">
        <v>152</v>
      </c>
      <c r="C108" s="99" t="s">
        <v>96</v>
      </c>
      <c r="D108" s="99" t="s">
        <v>153</v>
      </c>
      <c r="E108" s="99" t="s">
        <v>220</v>
      </c>
      <c r="F108" s="99" t="s">
        <v>156</v>
      </c>
      <c r="G108" s="99" t="s">
        <v>157</v>
      </c>
      <c r="H108" s="99">
        <f>'Cuota Industrial'!E92</f>
        <v>214.91899999999998</v>
      </c>
      <c r="I108" s="99">
        <f>'Cuota Industrial'!F92</f>
        <v>0</v>
      </c>
      <c r="J108" s="99">
        <f>'Cuota Industrial'!G92</f>
        <v>1560.7450000000044</v>
      </c>
      <c r="K108" s="99">
        <f>'Cuota Industrial'!H92</f>
        <v>1500.5640000000001</v>
      </c>
      <c r="L108" s="99">
        <f>'Cuota Industrial'!I92</f>
        <v>60.18100000000436</v>
      </c>
      <c r="M108" s="95">
        <f>'Cuota Industrial'!J92</f>
        <v>0.96144085036312521</v>
      </c>
      <c r="N108" s="110" t="s">
        <v>209</v>
      </c>
      <c r="O108" s="122">
        <v>43465</v>
      </c>
    </row>
    <row r="109" spans="1:15">
      <c r="A109" s="98" t="s">
        <v>167</v>
      </c>
      <c r="B109" s="99" t="s">
        <v>152</v>
      </c>
      <c r="C109" s="99" t="s">
        <v>96</v>
      </c>
      <c r="D109" s="99" t="s">
        <v>153</v>
      </c>
      <c r="E109" s="99" t="s">
        <v>220</v>
      </c>
      <c r="F109" s="99" t="s">
        <v>154</v>
      </c>
      <c r="G109" s="99" t="s">
        <v>157</v>
      </c>
      <c r="H109" s="99">
        <f>'Cuota Industrial'!K91</f>
        <v>10745.03</v>
      </c>
      <c r="I109" s="99">
        <f>'Cuota Industrial'!L91</f>
        <v>10700.659000000001</v>
      </c>
      <c r="J109" s="99">
        <f>'Cuota Industrial'!M91</f>
        <v>21445.689000000002</v>
      </c>
      <c r="K109" s="99">
        <f>'Cuota Industrial'!N91</f>
        <v>21385.507999999998</v>
      </c>
      <c r="L109" s="99">
        <f>'Cuota Industrial'!O91</f>
        <v>60.181000000004133</v>
      </c>
      <c r="M109" s="95">
        <f>'Cuota Industrial'!P91</f>
        <v>0.99719379498602245</v>
      </c>
      <c r="N109" s="110" t="s">
        <v>209</v>
      </c>
      <c r="O109" s="122">
        <v>43465</v>
      </c>
    </row>
    <row r="110" spans="1:15">
      <c r="A110" s="98" t="s">
        <v>167</v>
      </c>
      <c r="B110" s="99" t="s">
        <v>152</v>
      </c>
      <c r="C110" s="99" t="s">
        <v>96</v>
      </c>
      <c r="D110" s="99" t="s">
        <v>153</v>
      </c>
      <c r="E110" s="99" t="s">
        <v>226</v>
      </c>
      <c r="F110" s="99" t="s">
        <v>154</v>
      </c>
      <c r="G110" s="97" t="s">
        <v>155</v>
      </c>
      <c r="H110" s="99">
        <f>'Cuota Industrial'!E93</f>
        <v>3180.7240000000002</v>
      </c>
      <c r="I110" s="99">
        <f>'Cuota Industrial'!F93</f>
        <v>3095.4470000000001</v>
      </c>
      <c r="J110" s="99">
        <f>'Cuota Industrial'!G93</f>
        <v>6276.1710000000003</v>
      </c>
      <c r="K110" s="99">
        <f>'Cuota Industrial'!H93</f>
        <v>3177.5619999999999</v>
      </c>
      <c r="L110" s="99">
        <f>'Cuota Industrial'!I93</f>
        <v>3098.6090000000004</v>
      </c>
      <c r="M110" s="95">
        <f>'Cuota Industrial'!J93</f>
        <v>0.50628990191631162</v>
      </c>
      <c r="N110" s="110" t="s">
        <v>209</v>
      </c>
      <c r="O110" s="122">
        <v>43465</v>
      </c>
    </row>
    <row r="111" spans="1:15">
      <c r="A111" s="98" t="s">
        <v>167</v>
      </c>
      <c r="B111" s="99" t="s">
        <v>152</v>
      </c>
      <c r="C111" s="99" t="s">
        <v>96</v>
      </c>
      <c r="D111" s="99" t="s">
        <v>153</v>
      </c>
      <c r="E111" s="99" t="s">
        <v>226</v>
      </c>
      <c r="F111" s="99" t="s">
        <v>156</v>
      </c>
      <c r="G111" s="99" t="s">
        <v>157</v>
      </c>
      <c r="H111" s="99">
        <f>'Cuota Industrial'!E94</f>
        <v>64.918000000000006</v>
      </c>
      <c r="I111" s="99">
        <f>'Cuota Industrial'!F94</f>
        <v>0</v>
      </c>
      <c r="J111" s="99">
        <f>'Cuota Industrial'!G94</f>
        <v>3163.5270000000005</v>
      </c>
      <c r="K111" s="99">
        <f>'Cuota Industrial'!H94</f>
        <v>3076.953</v>
      </c>
      <c r="L111" s="99">
        <f>'Cuota Industrial'!I94</f>
        <v>86.574000000000524</v>
      </c>
      <c r="M111" s="95">
        <f>'Cuota Industrial'!J94</f>
        <v>0.97263370914804881</v>
      </c>
      <c r="N111" s="110" t="s">
        <v>209</v>
      </c>
      <c r="O111" s="122">
        <v>43465</v>
      </c>
    </row>
    <row r="112" spans="1:15">
      <c r="A112" s="98" t="s">
        <v>167</v>
      </c>
      <c r="B112" s="99" t="s">
        <v>152</v>
      </c>
      <c r="C112" s="99" t="s">
        <v>96</v>
      </c>
      <c r="D112" s="99" t="s">
        <v>153</v>
      </c>
      <c r="E112" s="99" t="s">
        <v>226</v>
      </c>
      <c r="F112" s="99" t="s">
        <v>154</v>
      </c>
      <c r="G112" s="99" t="s">
        <v>157</v>
      </c>
      <c r="H112" s="99">
        <f>'Cuota Industrial'!K93</f>
        <v>3245.6420000000003</v>
      </c>
      <c r="I112" s="99">
        <f>'Cuota Industrial'!L93</f>
        <v>3095.4470000000001</v>
      </c>
      <c r="J112" s="99">
        <f>'Cuota Industrial'!M93</f>
        <v>6341.0889999999999</v>
      </c>
      <c r="K112" s="99">
        <f>'Cuota Industrial'!N93</f>
        <v>6254.5149999999994</v>
      </c>
      <c r="L112" s="99">
        <f>'Cuota Industrial'!O93</f>
        <v>86.574000000000524</v>
      </c>
      <c r="M112" s="95">
        <f>'Cuota Industrial'!P93</f>
        <v>0.98634714005748847</v>
      </c>
      <c r="N112" s="110" t="s">
        <v>209</v>
      </c>
      <c r="O112" s="122">
        <v>43465</v>
      </c>
    </row>
    <row r="113" spans="1:15">
      <c r="A113" s="98" t="s">
        <v>167</v>
      </c>
      <c r="B113" s="99" t="s">
        <v>152</v>
      </c>
      <c r="C113" s="99" t="s">
        <v>96</v>
      </c>
      <c r="D113" s="99" t="s">
        <v>153</v>
      </c>
      <c r="E113" s="99" t="s">
        <v>229</v>
      </c>
      <c r="F113" s="99" t="s">
        <v>154</v>
      </c>
      <c r="G113" s="97" t="s">
        <v>155</v>
      </c>
      <c r="H113" s="99">
        <f>'Cuota Industrial'!E95</f>
        <v>2700.61</v>
      </c>
      <c r="I113" s="99">
        <f>'Cuota Industrial'!F95</f>
        <v>-2755.7289999999998</v>
      </c>
      <c r="J113" s="99">
        <f>'Cuota Industrial'!G95</f>
        <v>-55.118999999999687</v>
      </c>
      <c r="K113" s="99">
        <f>'Cuota Industrial'!H95</f>
        <v>0</v>
      </c>
      <c r="L113" s="99">
        <f>'Cuota Industrial'!I95</f>
        <v>-55.118999999999687</v>
      </c>
      <c r="M113" s="95">
        <f>'Cuota Industrial'!J95</f>
        <v>0</v>
      </c>
      <c r="N113" s="110" t="s">
        <v>209</v>
      </c>
      <c r="O113" s="122">
        <v>43465</v>
      </c>
    </row>
    <row r="114" spans="1:15">
      <c r="A114" s="98" t="s">
        <v>167</v>
      </c>
      <c r="B114" s="99" t="s">
        <v>152</v>
      </c>
      <c r="C114" s="99" t="s">
        <v>96</v>
      </c>
      <c r="D114" s="99" t="s">
        <v>153</v>
      </c>
      <c r="E114" s="99" t="s">
        <v>229</v>
      </c>
      <c r="F114" s="99" t="s">
        <v>156</v>
      </c>
      <c r="G114" s="99" t="s">
        <v>157</v>
      </c>
      <c r="H114" s="99">
        <f>'Cuota Industrial'!E96</f>
        <v>55.119</v>
      </c>
      <c r="I114" s="99">
        <f>'Cuota Industrial'!F96</f>
        <v>0</v>
      </c>
      <c r="J114" s="99">
        <f>'Cuota Industrial'!G96</f>
        <v>0</v>
      </c>
      <c r="K114" s="99">
        <f>'Cuota Industrial'!H96</f>
        <v>0</v>
      </c>
      <c r="L114" s="99">
        <f>'Cuota Industrial'!I96</f>
        <v>0</v>
      </c>
      <c r="M114" s="95">
        <f>'Cuota Industrial'!J96</f>
        <v>0</v>
      </c>
      <c r="N114" s="110" t="s">
        <v>209</v>
      </c>
      <c r="O114" s="122">
        <v>43465</v>
      </c>
    </row>
    <row r="115" spans="1:15">
      <c r="A115" s="98" t="s">
        <v>167</v>
      </c>
      <c r="B115" s="99" t="s">
        <v>152</v>
      </c>
      <c r="C115" s="99" t="s">
        <v>96</v>
      </c>
      <c r="D115" s="99" t="s">
        <v>153</v>
      </c>
      <c r="E115" s="99" t="s">
        <v>229</v>
      </c>
      <c r="F115" s="99" t="s">
        <v>154</v>
      </c>
      <c r="G115" s="99" t="s">
        <v>157</v>
      </c>
      <c r="H115" s="99">
        <f>'Cuota Industrial'!K95</f>
        <v>2755.7290000000003</v>
      </c>
      <c r="I115" s="99">
        <f>'Cuota Industrial'!L95</f>
        <v>-2755.7289999999998</v>
      </c>
      <c r="J115" s="99">
        <f>'Cuota Industrial'!M95</f>
        <v>0</v>
      </c>
      <c r="K115" s="99">
        <f>'Cuota Industrial'!N95</f>
        <v>0</v>
      </c>
      <c r="L115" s="99">
        <f>'Cuota Industrial'!O95</f>
        <v>0</v>
      </c>
      <c r="M115" s="95">
        <f>'Cuota Industrial'!P95</f>
        <v>0</v>
      </c>
      <c r="N115" s="110" t="s">
        <v>209</v>
      </c>
      <c r="O115" s="122">
        <v>43465</v>
      </c>
    </row>
    <row r="116" spans="1:15">
      <c r="A116" s="146" t="s">
        <v>167</v>
      </c>
      <c r="B116" s="99" t="s">
        <v>152</v>
      </c>
      <c r="C116" s="99" t="s">
        <v>96</v>
      </c>
      <c r="D116" s="99" t="s">
        <v>153</v>
      </c>
      <c r="E116" s="99" t="s">
        <v>215</v>
      </c>
      <c r="F116" s="99" t="s">
        <v>154</v>
      </c>
      <c r="G116" s="97" t="s">
        <v>155</v>
      </c>
      <c r="H116" s="99">
        <f>'Cuota Industrial'!E97</f>
        <v>52473.370999999999</v>
      </c>
      <c r="I116" s="99">
        <f>'Cuota Industrial'!F97</f>
        <v>18358.279999999995</v>
      </c>
      <c r="J116" s="99">
        <f>'Cuota Industrial'!G97</f>
        <v>70831.650999999998</v>
      </c>
      <c r="K116" s="99">
        <f>'Cuota Industrial'!H97</f>
        <v>66073.793999999994</v>
      </c>
      <c r="L116" s="99">
        <f>'Cuota Industrial'!I97</f>
        <v>4757.8570000000036</v>
      </c>
      <c r="M116" s="95">
        <f>'Cuota Industrial'!J97</f>
        <v>0.93282865875877996</v>
      </c>
      <c r="N116" s="110" t="s">
        <v>209</v>
      </c>
      <c r="O116" s="122">
        <v>43465</v>
      </c>
    </row>
    <row r="117" spans="1:15">
      <c r="A117" s="146" t="s">
        <v>167</v>
      </c>
      <c r="B117" s="99" t="s">
        <v>152</v>
      </c>
      <c r="C117" s="99" t="s">
        <v>96</v>
      </c>
      <c r="D117" s="99" t="s">
        <v>153</v>
      </c>
      <c r="E117" s="99" t="s">
        <v>215</v>
      </c>
      <c r="F117" s="99" t="s">
        <v>156</v>
      </c>
      <c r="G117" s="99" t="s">
        <v>157</v>
      </c>
      <c r="H117" s="99">
        <f>'Cuota Industrial'!E98</f>
        <v>1070.9780000000001</v>
      </c>
      <c r="I117" s="99">
        <f>'Cuota Industrial'!F98</f>
        <v>0</v>
      </c>
      <c r="J117" s="99">
        <f>'Cuota Industrial'!G98</f>
        <v>5828.8350000000037</v>
      </c>
      <c r="K117" s="99">
        <f>'Cuota Industrial'!H98</f>
        <v>10137.901</v>
      </c>
      <c r="L117" s="99">
        <f>'Cuota Industrial'!I98</f>
        <v>-4309.0659999999962</v>
      </c>
      <c r="M117" s="95">
        <f>'Cuota Industrial'!J98</f>
        <v>1.7392671091221477</v>
      </c>
      <c r="N117" s="110" t="s">
        <v>209</v>
      </c>
      <c r="O117" s="122">
        <v>43465</v>
      </c>
    </row>
    <row r="118" spans="1:15">
      <c r="A118" s="146" t="s">
        <v>167</v>
      </c>
      <c r="B118" s="99" t="s">
        <v>152</v>
      </c>
      <c r="C118" s="99" t="s">
        <v>96</v>
      </c>
      <c r="D118" s="99" t="s">
        <v>153</v>
      </c>
      <c r="E118" s="99" t="s">
        <v>215</v>
      </c>
      <c r="F118" s="99" t="s">
        <v>154</v>
      </c>
      <c r="G118" s="99" t="s">
        <v>157</v>
      </c>
      <c r="H118" s="99">
        <f>'Cuota Industrial'!K97</f>
        <v>53544.349000000002</v>
      </c>
      <c r="I118" s="99">
        <f>'Cuota Industrial'!L97</f>
        <v>18358.279999999995</v>
      </c>
      <c r="J118" s="99">
        <f>'Cuota Industrial'!M97</f>
        <v>71902.629000000001</v>
      </c>
      <c r="K118" s="99">
        <f>'Cuota Industrial'!N97</f>
        <v>76211.694999999992</v>
      </c>
      <c r="L118" s="99">
        <f>'Cuota Industrial'!O97</f>
        <v>-4309.0659999999916</v>
      </c>
      <c r="M118" s="95">
        <f>'Cuota Industrial'!P97</f>
        <v>1.0599291856212933</v>
      </c>
      <c r="N118" s="110" t="s">
        <v>209</v>
      </c>
      <c r="O118" s="122">
        <v>43465</v>
      </c>
    </row>
    <row r="119" spans="1:15">
      <c r="A119" s="98" t="s">
        <v>167</v>
      </c>
      <c r="B119" s="99" t="s">
        <v>152</v>
      </c>
      <c r="C119" s="99" t="s">
        <v>96</v>
      </c>
      <c r="D119" s="99" t="s">
        <v>153</v>
      </c>
      <c r="E119" s="99" t="s">
        <v>230</v>
      </c>
      <c r="F119" s="99" t="s">
        <v>154</v>
      </c>
      <c r="G119" s="97" t="s">
        <v>155</v>
      </c>
      <c r="H119" s="99">
        <f>'Cuota Industrial'!E99</f>
        <v>577.64200000000005</v>
      </c>
      <c r="I119" s="99">
        <f>'Cuota Industrial'!F99</f>
        <v>-589.43200000000002</v>
      </c>
      <c r="J119" s="99">
        <f>'Cuota Industrial'!G99</f>
        <v>-11.789999999999964</v>
      </c>
      <c r="K119" s="99">
        <f>'Cuota Industrial'!H99</f>
        <v>0</v>
      </c>
      <c r="L119" s="99">
        <f>'Cuota Industrial'!I99</f>
        <v>-11.789999999999964</v>
      </c>
      <c r="M119" s="95">
        <f>'Cuota Industrial'!J99</f>
        <v>0</v>
      </c>
      <c r="N119" s="110" t="s">
        <v>209</v>
      </c>
      <c r="O119" s="122">
        <v>43465</v>
      </c>
    </row>
    <row r="120" spans="1:15">
      <c r="A120" s="98" t="s">
        <v>167</v>
      </c>
      <c r="B120" s="99" t="s">
        <v>152</v>
      </c>
      <c r="C120" s="99" t="s">
        <v>96</v>
      </c>
      <c r="D120" s="99" t="s">
        <v>153</v>
      </c>
      <c r="E120" s="99" t="s">
        <v>230</v>
      </c>
      <c r="F120" s="99" t="s">
        <v>156</v>
      </c>
      <c r="G120" s="99" t="s">
        <v>157</v>
      </c>
      <c r="H120" s="99">
        <f>'Cuota Industrial'!E100</f>
        <v>11.79</v>
      </c>
      <c r="I120" s="99">
        <f>'Cuota Industrial'!F100</f>
        <v>0</v>
      </c>
      <c r="J120" s="99">
        <f>'Cuota Industrial'!G100</f>
        <v>0</v>
      </c>
      <c r="K120" s="99">
        <f>'Cuota Industrial'!H100</f>
        <v>0</v>
      </c>
      <c r="L120" s="99">
        <f>'Cuota Industrial'!I100</f>
        <v>0</v>
      </c>
      <c r="M120" s="95">
        <f>'Cuota Industrial'!J100</f>
        <v>0</v>
      </c>
      <c r="N120" s="110" t="s">
        <v>209</v>
      </c>
      <c r="O120" s="122">
        <v>43465</v>
      </c>
    </row>
    <row r="121" spans="1:15">
      <c r="A121" s="98" t="s">
        <v>167</v>
      </c>
      <c r="B121" s="99" t="s">
        <v>152</v>
      </c>
      <c r="C121" s="99" t="s">
        <v>96</v>
      </c>
      <c r="D121" s="99" t="s">
        <v>153</v>
      </c>
      <c r="E121" s="99" t="s">
        <v>230</v>
      </c>
      <c r="F121" s="99" t="s">
        <v>154</v>
      </c>
      <c r="G121" s="99" t="s">
        <v>157</v>
      </c>
      <c r="H121" s="99">
        <f>'Cuota Industrial'!K99</f>
        <v>589.43200000000002</v>
      </c>
      <c r="I121" s="99">
        <f>'Cuota Industrial'!L99</f>
        <v>-589.43200000000002</v>
      </c>
      <c r="J121" s="99">
        <f>'Cuota Industrial'!M99</f>
        <v>0</v>
      </c>
      <c r="K121" s="99">
        <f>'Cuota Industrial'!N99</f>
        <v>0</v>
      </c>
      <c r="L121" s="99">
        <f>'Cuota Industrial'!O99</f>
        <v>0</v>
      </c>
      <c r="M121" s="95">
        <f>'Cuota Industrial'!P99</f>
        <v>0</v>
      </c>
      <c r="N121" s="110" t="s">
        <v>209</v>
      </c>
      <c r="O121" s="122">
        <v>43465</v>
      </c>
    </row>
    <row r="122" spans="1:15">
      <c r="A122" s="98" t="s">
        <v>167</v>
      </c>
      <c r="B122" s="99" t="s">
        <v>152</v>
      </c>
      <c r="C122" s="99" t="s">
        <v>96</v>
      </c>
      <c r="D122" s="99" t="s">
        <v>153</v>
      </c>
      <c r="E122" s="99" t="s">
        <v>231</v>
      </c>
      <c r="F122" s="99" t="s">
        <v>154</v>
      </c>
      <c r="G122" s="97" t="s">
        <v>155</v>
      </c>
      <c r="H122" s="99">
        <f>'Cuota Industrial'!E101</f>
        <v>75.522999999999996</v>
      </c>
      <c r="I122" s="99">
        <f>'Cuota Industrial'!F101</f>
        <v>0</v>
      </c>
      <c r="J122" s="99">
        <f>'Cuota Industrial'!G101</f>
        <v>75.522999999999996</v>
      </c>
      <c r="K122" s="99">
        <f>'Cuota Industrial'!H101</f>
        <v>0</v>
      </c>
      <c r="L122" s="99">
        <f>'Cuota Industrial'!I101</f>
        <v>75.522999999999996</v>
      </c>
      <c r="M122" s="95">
        <f>'Cuota Industrial'!J101</f>
        <v>0</v>
      </c>
      <c r="N122" s="110" t="s">
        <v>209</v>
      </c>
      <c r="O122" s="122">
        <v>43465</v>
      </c>
    </row>
    <row r="123" spans="1:15">
      <c r="A123" s="98" t="s">
        <v>167</v>
      </c>
      <c r="B123" s="99" t="s">
        <v>152</v>
      </c>
      <c r="C123" s="99" t="s">
        <v>96</v>
      </c>
      <c r="D123" s="99" t="s">
        <v>153</v>
      </c>
      <c r="E123" s="99" t="s">
        <v>231</v>
      </c>
      <c r="F123" s="99" t="s">
        <v>156</v>
      </c>
      <c r="G123" s="99" t="s">
        <v>157</v>
      </c>
      <c r="H123" s="99">
        <f>'Cuota Industrial'!E102</f>
        <v>1.5409999999999999</v>
      </c>
      <c r="I123" s="99">
        <f>'Cuota Industrial'!F102</f>
        <v>0</v>
      </c>
      <c r="J123" s="99">
        <f>'Cuota Industrial'!G102</f>
        <v>77.063999999999993</v>
      </c>
      <c r="K123" s="99">
        <f>'Cuota Industrial'!H102</f>
        <v>0</v>
      </c>
      <c r="L123" s="99">
        <f>'Cuota Industrial'!I102</f>
        <v>77.063999999999993</v>
      </c>
      <c r="M123" s="95">
        <f>'Cuota Industrial'!J102</f>
        <v>0</v>
      </c>
      <c r="N123" s="110" t="s">
        <v>209</v>
      </c>
      <c r="O123" s="122">
        <v>43465</v>
      </c>
    </row>
    <row r="124" spans="1:15">
      <c r="A124" s="98" t="s">
        <v>167</v>
      </c>
      <c r="B124" s="99" t="s">
        <v>152</v>
      </c>
      <c r="C124" s="99" t="s">
        <v>96</v>
      </c>
      <c r="D124" s="99" t="s">
        <v>153</v>
      </c>
      <c r="E124" s="99" t="s">
        <v>231</v>
      </c>
      <c r="F124" s="99" t="s">
        <v>154</v>
      </c>
      <c r="G124" s="99" t="s">
        <v>157</v>
      </c>
      <c r="H124" s="99">
        <f>'Cuota Industrial'!K101</f>
        <v>77.063999999999993</v>
      </c>
      <c r="I124" s="99">
        <f>'Cuota Industrial'!L101</f>
        <v>0</v>
      </c>
      <c r="J124" s="99">
        <f>'Cuota Industrial'!M101</f>
        <v>77.063999999999993</v>
      </c>
      <c r="K124" s="99">
        <f>'Cuota Industrial'!N101</f>
        <v>0</v>
      </c>
      <c r="L124" s="99">
        <f>'Cuota Industrial'!O101</f>
        <v>77.063999999999993</v>
      </c>
      <c r="M124" s="95">
        <f>'Cuota Industrial'!P101</f>
        <v>0</v>
      </c>
      <c r="N124" s="110" t="s">
        <v>209</v>
      </c>
      <c r="O124" s="122">
        <v>43465</v>
      </c>
    </row>
    <row r="125" spans="1:15">
      <c r="A125" s="98" t="s">
        <v>167</v>
      </c>
      <c r="B125" s="99" t="s">
        <v>152</v>
      </c>
      <c r="C125" s="99" t="s">
        <v>96</v>
      </c>
      <c r="D125" s="99" t="s">
        <v>153</v>
      </c>
      <c r="E125" s="99" t="s">
        <v>232</v>
      </c>
      <c r="F125" s="99" t="s">
        <v>154</v>
      </c>
      <c r="G125" s="97" t="s">
        <v>155</v>
      </c>
      <c r="H125" s="99">
        <f>'Cuota Industrial'!E103</f>
        <v>33.261000000000003</v>
      </c>
      <c r="I125" s="99">
        <f>'Cuota Industrial'!F103</f>
        <v>0</v>
      </c>
      <c r="J125" s="99">
        <f>'Cuota Industrial'!G103</f>
        <v>33.261000000000003</v>
      </c>
      <c r="K125" s="99">
        <f>'Cuota Industrial'!H103</f>
        <v>0.8</v>
      </c>
      <c r="L125" s="99">
        <f>'Cuota Industrial'!I103</f>
        <v>32.461000000000006</v>
      </c>
      <c r="M125" s="95">
        <f>'Cuota Industrial'!J103</f>
        <v>2.4052193259372839E-2</v>
      </c>
      <c r="N125" s="110" t="s">
        <v>209</v>
      </c>
      <c r="O125" s="122">
        <v>43465</v>
      </c>
    </row>
    <row r="126" spans="1:15">
      <c r="A126" s="98" t="s">
        <v>167</v>
      </c>
      <c r="B126" s="99" t="s">
        <v>152</v>
      </c>
      <c r="C126" s="99" t="s">
        <v>96</v>
      </c>
      <c r="D126" s="99" t="s">
        <v>153</v>
      </c>
      <c r="E126" s="99" t="s">
        <v>232</v>
      </c>
      <c r="F126" s="99" t="s">
        <v>156</v>
      </c>
      <c r="G126" s="99" t="s">
        <v>157</v>
      </c>
      <c r="H126" s="99">
        <f>'Cuota Industrial'!E104</f>
        <v>0.67900000000000005</v>
      </c>
      <c r="I126" s="99">
        <f>'Cuota Industrial'!F104</f>
        <v>0</v>
      </c>
      <c r="J126" s="99">
        <f>'Cuota Industrial'!G104</f>
        <v>33.140000000000008</v>
      </c>
      <c r="K126" s="99">
        <f>'Cuota Industrial'!H104</f>
        <v>0</v>
      </c>
      <c r="L126" s="99">
        <f>'Cuota Industrial'!I104</f>
        <v>33.140000000000008</v>
      </c>
      <c r="M126" s="95">
        <f>'Cuota Industrial'!J104</f>
        <v>0</v>
      </c>
      <c r="N126" s="110" t="s">
        <v>209</v>
      </c>
      <c r="O126" s="122">
        <v>43465</v>
      </c>
    </row>
    <row r="127" spans="1:15">
      <c r="A127" s="98" t="s">
        <v>167</v>
      </c>
      <c r="B127" s="99" t="s">
        <v>152</v>
      </c>
      <c r="C127" s="99" t="s">
        <v>96</v>
      </c>
      <c r="D127" s="99" t="s">
        <v>153</v>
      </c>
      <c r="E127" s="99" t="s">
        <v>232</v>
      </c>
      <c r="F127" s="99" t="s">
        <v>154</v>
      </c>
      <c r="G127" s="99" t="s">
        <v>157</v>
      </c>
      <c r="H127" s="99">
        <f>'Cuota Industrial'!K103</f>
        <v>33.940000000000005</v>
      </c>
      <c r="I127" s="99">
        <f>'Cuota Industrial'!L103</f>
        <v>0</v>
      </c>
      <c r="J127" s="99">
        <f>'Cuota Industrial'!M103</f>
        <v>33.940000000000005</v>
      </c>
      <c r="K127" s="99">
        <f>'Cuota Industrial'!N103</f>
        <v>0.8</v>
      </c>
      <c r="L127" s="99">
        <f>'Cuota Industrial'!O103</f>
        <v>33.140000000000008</v>
      </c>
      <c r="M127" s="95">
        <f>'Cuota Industrial'!P103</f>
        <v>2.3571007660577487E-2</v>
      </c>
      <c r="N127" s="110" t="s">
        <v>209</v>
      </c>
      <c r="O127" s="122">
        <v>43465</v>
      </c>
    </row>
    <row r="128" spans="1:15">
      <c r="A128" s="98" t="s">
        <v>167</v>
      </c>
      <c r="B128" s="99" t="s">
        <v>152</v>
      </c>
      <c r="C128" s="99" t="s">
        <v>96</v>
      </c>
      <c r="D128" s="99" t="s">
        <v>153</v>
      </c>
      <c r="E128" s="99" t="s">
        <v>106</v>
      </c>
      <c r="F128" s="99" t="s">
        <v>154</v>
      </c>
      <c r="G128" s="97" t="s">
        <v>155</v>
      </c>
      <c r="H128" s="99">
        <f>'Cuota Industrial'!E105</f>
        <v>2071.6379999999999</v>
      </c>
      <c r="I128" s="99">
        <f>'Cuota Industrial'!F105</f>
        <v>-2113.92</v>
      </c>
      <c r="J128" s="99">
        <f>'Cuota Industrial'!G105</f>
        <v>-42.282000000000153</v>
      </c>
      <c r="K128" s="99">
        <f>'Cuota Industrial'!H105</f>
        <v>0</v>
      </c>
      <c r="L128" s="99">
        <f>'Cuota Industrial'!I105</f>
        <v>-42.282000000000153</v>
      </c>
      <c r="M128" s="95">
        <f>'Cuota Industrial'!J105</f>
        <v>0</v>
      </c>
      <c r="N128" s="110" t="s">
        <v>209</v>
      </c>
      <c r="O128" s="122">
        <v>43465</v>
      </c>
    </row>
    <row r="129" spans="1:15">
      <c r="A129" s="98" t="s">
        <v>167</v>
      </c>
      <c r="B129" s="99" t="s">
        <v>152</v>
      </c>
      <c r="C129" s="99" t="s">
        <v>96</v>
      </c>
      <c r="D129" s="99" t="s">
        <v>153</v>
      </c>
      <c r="E129" s="99" t="s">
        <v>106</v>
      </c>
      <c r="F129" s="99" t="s">
        <v>156</v>
      </c>
      <c r="G129" s="99" t="s">
        <v>157</v>
      </c>
      <c r="H129" s="99">
        <f>'Cuota Industrial'!E106</f>
        <v>42.281999999999996</v>
      </c>
      <c r="I129" s="99">
        <f>'Cuota Industrial'!F106</f>
        <v>0</v>
      </c>
      <c r="J129" s="99">
        <f>'Cuota Industrial'!G106</f>
        <v>0</v>
      </c>
      <c r="K129" s="99">
        <f>'Cuota Industrial'!H106</f>
        <v>0</v>
      </c>
      <c r="L129" s="99">
        <f>'Cuota Industrial'!I106</f>
        <v>0</v>
      </c>
      <c r="M129" s="95">
        <f>'Cuota Industrial'!J106</f>
        <v>0</v>
      </c>
      <c r="N129" s="110" t="s">
        <v>209</v>
      </c>
      <c r="O129" s="122">
        <v>43465</v>
      </c>
    </row>
    <row r="130" spans="1:15">
      <c r="A130" s="98" t="s">
        <v>167</v>
      </c>
      <c r="B130" s="99" t="s">
        <v>152</v>
      </c>
      <c r="C130" s="99" t="s">
        <v>96</v>
      </c>
      <c r="D130" s="99" t="s">
        <v>153</v>
      </c>
      <c r="E130" s="99" t="s">
        <v>106</v>
      </c>
      <c r="F130" s="99" t="s">
        <v>154</v>
      </c>
      <c r="G130" s="99" t="s">
        <v>157</v>
      </c>
      <c r="H130" s="99">
        <f>'Cuota Industrial'!K105</f>
        <v>2113.92</v>
      </c>
      <c r="I130" s="99">
        <f>'Cuota Industrial'!L105</f>
        <v>-2113.92</v>
      </c>
      <c r="J130" s="99">
        <f>'Cuota Industrial'!M105</f>
        <v>0</v>
      </c>
      <c r="K130" s="99">
        <f>'Cuota Industrial'!N105</f>
        <v>0</v>
      </c>
      <c r="L130" s="99">
        <f>'Cuota Industrial'!O105</f>
        <v>0</v>
      </c>
      <c r="M130" s="95">
        <f>'Cuota Industrial'!P105</f>
        <v>0</v>
      </c>
      <c r="N130" s="110" t="s">
        <v>209</v>
      </c>
      <c r="O130" s="122">
        <v>43465</v>
      </c>
    </row>
    <row r="131" spans="1:15">
      <c r="A131" s="98" t="s">
        <v>167</v>
      </c>
      <c r="B131" s="99" t="s">
        <v>152</v>
      </c>
      <c r="C131" s="99" t="s">
        <v>96</v>
      </c>
      <c r="D131" s="99" t="s">
        <v>153</v>
      </c>
      <c r="E131" s="99" t="s">
        <v>216</v>
      </c>
      <c r="F131" s="99" t="s">
        <v>154</v>
      </c>
      <c r="G131" s="97" t="s">
        <v>155</v>
      </c>
      <c r="H131" s="99">
        <f>'Cuota Industrial'!E107</f>
        <v>1726.365</v>
      </c>
      <c r="I131" s="99">
        <f>'Cuota Industrial'!F107</f>
        <v>-1761.6</v>
      </c>
      <c r="J131" s="99">
        <f>'Cuota Industrial'!G107</f>
        <v>-35.2349999999999</v>
      </c>
      <c r="K131" s="99">
        <f>'Cuota Industrial'!H107</f>
        <v>0</v>
      </c>
      <c r="L131" s="99">
        <f>'Cuota Industrial'!I107</f>
        <v>-35.2349999999999</v>
      </c>
      <c r="M131" s="95">
        <f>'Cuota Industrial'!J107</f>
        <v>0</v>
      </c>
      <c r="N131" s="110" t="s">
        <v>209</v>
      </c>
      <c r="O131" s="122">
        <v>43465</v>
      </c>
    </row>
    <row r="132" spans="1:15">
      <c r="A132" s="98" t="s">
        <v>167</v>
      </c>
      <c r="B132" s="99" t="s">
        <v>152</v>
      </c>
      <c r="C132" s="99" t="s">
        <v>96</v>
      </c>
      <c r="D132" s="99" t="s">
        <v>153</v>
      </c>
      <c r="E132" s="99" t="s">
        <v>216</v>
      </c>
      <c r="F132" s="99" t="s">
        <v>156</v>
      </c>
      <c r="G132" s="99" t="s">
        <v>157</v>
      </c>
      <c r="H132" s="99">
        <f>'Cuota Industrial'!E108</f>
        <v>35.234999999999999</v>
      </c>
      <c r="I132" s="99">
        <f>'Cuota Industrial'!F108</f>
        <v>0</v>
      </c>
      <c r="J132" s="99">
        <f>'Cuota Industrial'!G108</f>
        <v>0</v>
      </c>
      <c r="K132" s="99">
        <f>'Cuota Industrial'!H108</f>
        <v>0</v>
      </c>
      <c r="L132" s="99">
        <f>'Cuota Industrial'!I108</f>
        <v>0</v>
      </c>
      <c r="M132" s="95">
        <f>'Cuota Industrial'!J108</f>
        <v>0</v>
      </c>
      <c r="N132" s="110" t="s">
        <v>209</v>
      </c>
      <c r="O132" s="122">
        <v>43465</v>
      </c>
    </row>
    <row r="133" spans="1:15">
      <c r="A133" s="98" t="s">
        <v>167</v>
      </c>
      <c r="B133" s="99" t="s">
        <v>152</v>
      </c>
      <c r="C133" s="99" t="s">
        <v>96</v>
      </c>
      <c r="D133" s="99" t="s">
        <v>153</v>
      </c>
      <c r="E133" s="99" t="s">
        <v>216</v>
      </c>
      <c r="F133" s="99" t="s">
        <v>154</v>
      </c>
      <c r="G133" s="99" t="s">
        <v>157</v>
      </c>
      <c r="H133" s="99">
        <f>'Cuota Industrial'!K107</f>
        <v>1761.6</v>
      </c>
      <c r="I133" s="99">
        <f>'Cuota Industrial'!L107</f>
        <v>-1761.6</v>
      </c>
      <c r="J133" s="99">
        <f>'Cuota Industrial'!M107</f>
        <v>0</v>
      </c>
      <c r="K133" s="99">
        <f>'Cuota Industrial'!N107</f>
        <v>0</v>
      </c>
      <c r="L133" s="99">
        <f>'Cuota Industrial'!O107</f>
        <v>0</v>
      </c>
      <c r="M133" s="95">
        <f>'Cuota Industrial'!P107</f>
        <v>0</v>
      </c>
      <c r="N133" s="110" t="s">
        <v>209</v>
      </c>
      <c r="O133" s="122">
        <v>43465</v>
      </c>
    </row>
    <row r="134" spans="1:15">
      <c r="A134" s="98" t="s">
        <v>167</v>
      </c>
      <c r="B134" s="99" t="s">
        <v>152</v>
      </c>
      <c r="C134" s="99" t="s">
        <v>96</v>
      </c>
      <c r="D134" s="99" t="s">
        <v>153</v>
      </c>
      <c r="E134" s="99" t="s">
        <v>108</v>
      </c>
      <c r="F134" s="99" t="s">
        <v>154</v>
      </c>
      <c r="G134" s="97" t="s">
        <v>155</v>
      </c>
      <c r="H134" s="99">
        <f>'Cuota Industrial'!E109</f>
        <v>1381.0920000000001</v>
      </c>
      <c r="I134" s="99">
        <f>'Cuota Industrial'!F109</f>
        <v>-1409.28</v>
      </c>
      <c r="J134" s="99">
        <f>'Cuota Industrial'!G109</f>
        <v>-28.187999999999874</v>
      </c>
      <c r="K134" s="99">
        <f>'Cuota Industrial'!H109</f>
        <v>0</v>
      </c>
      <c r="L134" s="99">
        <f>'Cuota Industrial'!I109</f>
        <v>-28.187999999999874</v>
      </c>
      <c r="M134" s="95">
        <f>'Cuota Industrial'!J109</f>
        <v>0</v>
      </c>
      <c r="N134" s="110" t="s">
        <v>209</v>
      </c>
      <c r="O134" s="122">
        <v>43465</v>
      </c>
    </row>
    <row r="135" spans="1:15">
      <c r="A135" s="98" t="s">
        <v>167</v>
      </c>
      <c r="B135" s="99" t="s">
        <v>152</v>
      </c>
      <c r="C135" s="99" t="s">
        <v>96</v>
      </c>
      <c r="D135" s="99" t="s">
        <v>153</v>
      </c>
      <c r="E135" s="99" t="s">
        <v>108</v>
      </c>
      <c r="F135" s="99" t="s">
        <v>156</v>
      </c>
      <c r="G135" s="99" t="s">
        <v>157</v>
      </c>
      <c r="H135" s="99">
        <f>'Cuota Industrial'!E110</f>
        <v>28.187999999999999</v>
      </c>
      <c r="I135" s="99">
        <f>'Cuota Industrial'!F110</f>
        <v>0</v>
      </c>
      <c r="J135" s="99">
        <f>'Cuota Industrial'!G110</f>
        <v>0</v>
      </c>
      <c r="K135" s="99">
        <f>'Cuota Industrial'!H110</f>
        <v>0</v>
      </c>
      <c r="L135" s="99">
        <f>'Cuota Industrial'!I110</f>
        <v>0</v>
      </c>
      <c r="M135" s="95">
        <f>'Cuota Industrial'!J110</f>
        <v>0</v>
      </c>
      <c r="N135" s="110" t="s">
        <v>209</v>
      </c>
      <c r="O135" s="122">
        <v>43465</v>
      </c>
    </row>
    <row r="136" spans="1:15">
      <c r="A136" s="98" t="s">
        <v>167</v>
      </c>
      <c r="B136" s="99" t="s">
        <v>152</v>
      </c>
      <c r="C136" s="99" t="s">
        <v>96</v>
      </c>
      <c r="D136" s="99" t="s">
        <v>153</v>
      </c>
      <c r="E136" s="99" t="s">
        <v>108</v>
      </c>
      <c r="F136" s="99" t="s">
        <v>154</v>
      </c>
      <c r="G136" s="99" t="s">
        <v>157</v>
      </c>
      <c r="H136" s="99">
        <f>'Cuota Industrial'!K109</f>
        <v>1409.2800000000002</v>
      </c>
      <c r="I136" s="99">
        <f>'Cuota Industrial'!L109</f>
        <v>-1409.28</v>
      </c>
      <c r="J136" s="99">
        <f>'Cuota Industrial'!M109</f>
        <v>0</v>
      </c>
      <c r="K136" s="99">
        <f>'Cuota Industrial'!N109</f>
        <v>0</v>
      </c>
      <c r="L136" s="99">
        <f>'Cuota Industrial'!O109</f>
        <v>0</v>
      </c>
      <c r="M136" s="95">
        <f>'Cuota Industrial'!P109</f>
        <v>0</v>
      </c>
      <c r="N136" s="110" t="s">
        <v>209</v>
      </c>
      <c r="O136" s="122">
        <v>43465</v>
      </c>
    </row>
    <row r="137" spans="1:15">
      <c r="A137" s="98" t="s">
        <v>167</v>
      </c>
      <c r="B137" s="99" t="s">
        <v>152</v>
      </c>
      <c r="C137" s="99" t="s">
        <v>96</v>
      </c>
      <c r="D137" s="99" t="s">
        <v>153</v>
      </c>
      <c r="E137" s="96" t="s">
        <v>233</v>
      </c>
      <c r="F137" s="99" t="s">
        <v>154</v>
      </c>
      <c r="G137" s="97" t="s">
        <v>155</v>
      </c>
      <c r="H137" s="99">
        <f>'Cuota Industrial'!E111</f>
        <v>3452.73</v>
      </c>
      <c r="I137" s="99">
        <f>'Cuota Industrial'!F111</f>
        <v>-3523.2</v>
      </c>
      <c r="J137" s="99">
        <f>'Cuota Industrial'!G111</f>
        <v>-70.4699999999998</v>
      </c>
      <c r="K137" s="99">
        <f>'Cuota Industrial'!H111</f>
        <v>0</v>
      </c>
      <c r="L137" s="99">
        <f>'Cuota Industrial'!I111</f>
        <v>-70.4699999999998</v>
      </c>
      <c r="M137" s="95">
        <f>'Cuota Industrial'!J111</f>
        <v>0</v>
      </c>
      <c r="N137" s="110" t="s">
        <v>209</v>
      </c>
      <c r="O137" s="122">
        <v>43465</v>
      </c>
    </row>
    <row r="138" spans="1:15">
      <c r="A138" s="98" t="s">
        <v>167</v>
      </c>
      <c r="B138" s="99" t="s">
        <v>152</v>
      </c>
      <c r="C138" s="99" t="s">
        <v>96</v>
      </c>
      <c r="D138" s="99" t="s">
        <v>153</v>
      </c>
      <c r="E138" s="96" t="s">
        <v>233</v>
      </c>
      <c r="F138" s="99" t="s">
        <v>156</v>
      </c>
      <c r="G138" s="99" t="s">
        <v>157</v>
      </c>
      <c r="H138" s="99">
        <f>'Cuota Industrial'!E112</f>
        <v>70.47</v>
      </c>
      <c r="I138" s="99">
        <f>'Cuota Industrial'!F112</f>
        <v>0</v>
      </c>
      <c r="J138" s="99">
        <f>'Cuota Industrial'!G112</f>
        <v>0</v>
      </c>
      <c r="K138" s="99">
        <f>'Cuota Industrial'!H112</f>
        <v>0</v>
      </c>
      <c r="L138" s="99">
        <f>'Cuota Industrial'!I112</f>
        <v>0</v>
      </c>
      <c r="M138" s="95">
        <f>'Cuota Industrial'!J112</f>
        <v>0</v>
      </c>
      <c r="N138" s="110" t="s">
        <v>209</v>
      </c>
      <c r="O138" s="122">
        <v>43465</v>
      </c>
    </row>
    <row r="139" spans="1:15">
      <c r="A139" s="98" t="s">
        <v>167</v>
      </c>
      <c r="B139" s="99" t="s">
        <v>152</v>
      </c>
      <c r="C139" s="99" t="s">
        <v>96</v>
      </c>
      <c r="D139" s="99" t="s">
        <v>153</v>
      </c>
      <c r="E139" s="96" t="s">
        <v>233</v>
      </c>
      <c r="F139" s="99" t="s">
        <v>154</v>
      </c>
      <c r="G139" s="99" t="s">
        <v>157</v>
      </c>
      <c r="H139" s="99">
        <f>'Cuota Industrial'!K111</f>
        <v>3523.2</v>
      </c>
      <c r="I139" s="99">
        <f>'Cuota Industrial'!L111</f>
        <v>-3523.2</v>
      </c>
      <c r="J139" s="99">
        <f>'Cuota Industrial'!M111</f>
        <v>0</v>
      </c>
      <c r="K139" s="99">
        <f>'Cuota Industrial'!N111</f>
        <v>0</v>
      </c>
      <c r="L139" s="99">
        <f>'Cuota Industrial'!O111</f>
        <v>0</v>
      </c>
      <c r="M139" s="95">
        <f>'Cuota Industrial'!P111</f>
        <v>0</v>
      </c>
      <c r="N139" s="110" t="s">
        <v>209</v>
      </c>
      <c r="O139" s="122">
        <v>43465</v>
      </c>
    </row>
    <row r="140" spans="1:15">
      <c r="A140" s="98" t="s">
        <v>167</v>
      </c>
      <c r="B140" s="99" t="s">
        <v>152</v>
      </c>
      <c r="C140" s="99" t="s">
        <v>96</v>
      </c>
      <c r="D140" s="99" t="s">
        <v>153</v>
      </c>
      <c r="E140" s="99" t="s">
        <v>40</v>
      </c>
      <c r="F140" s="99" t="s">
        <v>154</v>
      </c>
      <c r="G140" s="97" t="s">
        <v>155</v>
      </c>
      <c r="H140" s="99">
        <f>'Cuota Industrial'!E113</f>
        <v>1726.367</v>
      </c>
      <c r="I140" s="99">
        <f>'Cuota Industrial'!F113</f>
        <v>-1761.6000000000001</v>
      </c>
      <c r="J140" s="99">
        <f>'Cuota Industrial'!G113</f>
        <v>-35.233000000000175</v>
      </c>
      <c r="K140" s="99">
        <f>'Cuota Industrial'!H113</f>
        <v>0</v>
      </c>
      <c r="L140" s="99">
        <f>'Cuota Industrial'!I113</f>
        <v>-35.233000000000175</v>
      </c>
      <c r="M140" s="95">
        <f>'Cuota Industrial'!J113</f>
        <v>0</v>
      </c>
      <c r="N140" s="110" t="s">
        <v>209</v>
      </c>
      <c r="O140" s="122">
        <v>43465</v>
      </c>
    </row>
    <row r="141" spans="1:15">
      <c r="A141" s="98" t="s">
        <v>167</v>
      </c>
      <c r="B141" s="99" t="s">
        <v>152</v>
      </c>
      <c r="C141" s="99" t="s">
        <v>96</v>
      </c>
      <c r="D141" s="99" t="s">
        <v>153</v>
      </c>
      <c r="E141" s="99" t="s">
        <v>40</v>
      </c>
      <c r="F141" s="99" t="s">
        <v>156</v>
      </c>
      <c r="G141" s="99" t="s">
        <v>157</v>
      </c>
      <c r="H141" s="99">
        <f>'Cuota Industrial'!E114</f>
        <v>35.237000000000002</v>
      </c>
      <c r="I141" s="99">
        <f>'Cuota Industrial'!F114</f>
        <v>0</v>
      </c>
      <c r="J141" s="99">
        <f>'Cuota Industrial'!G114</f>
        <v>3.9999999998272529E-3</v>
      </c>
      <c r="K141" s="99">
        <f>'Cuota Industrial'!H114</f>
        <v>0</v>
      </c>
      <c r="L141" s="99">
        <f>'Cuota Industrial'!I114</f>
        <v>3.9999999998272529E-3</v>
      </c>
      <c r="M141" s="95">
        <f>'Cuota Industrial'!J114</f>
        <v>0</v>
      </c>
      <c r="N141" s="110" t="s">
        <v>209</v>
      </c>
      <c r="O141" s="122">
        <v>43465</v>
      </c>
    </row>
    <row r="142" spans="1:15">
      <c r="A142" s="98" t="s">
        <v>167</v>
      </c>
      <c r="B142" s="99" t="s">
        <v>152</v>
      </c>
      <c r="C142" s="99" t="s">
        <v>96</v>
      </c>
      <c r="D142" s="99" t="s">
        <v>153</v>
      </c>
      <c r="E142" s="99" t="s">
        <v>40</v>
      </c>
      <c r="F142" s="99" t="s">
        <v>154</v>
      </c>
      <c r="G142" s="99" t="s">
        <v>157</v>
      </c>
      <c r="H142" s="99">
        <f>'Cuota Industrial'!K113</f>
        <v>1761.604</v>
      </c>
      <c r="I142" s="99">
        <f>'Cuota Industrial'!L113</f>
        <v>-1761.6000000000001</v>
      </c>
      <c r="J142" s="99">
        <f>'Cuota Industrial'!M113</f>
        <v>3.9999999999054126E-3</v>
      </c>
      <c r="K142" s="99">
        <f>'Cuota Industrial'!N113</f>
        <v>0</v>
      </c>
      <c r="L142" s="99">
        <f>'Cuota Industrial'!O113</f>
        <v>3.9999999999054126E-3</v>
      </c>
      <c r="M142" s="95">
        <f>'Cuota Industrial'!P113</f>
        <v>0</v>
      </c>
      <c r="N142" s="110" t="s">
        <v>209</v>
      </c>
      <c r="O142" s="122">
        <v>43465</v>
      </c>
    </row>
    <row r="143" spans="1:15">
      <c r="A143" s="98" t="s">
        <v>167</v>
      </c>
      <c r="B143" s="99" t="s">
        <v>152</v>
      </c>
      <c r="C143" s="99" t="s">
        <v>96</v>
      </c>
      <c r="D143" s="99" t="s">
        <v>153</v>
      </c>
      <c r="E143" s="99" t="s">
        <v>111</v>
      </c>
      <c r="F143" s="99" t="s">
        <v>154</v>
      </c>
      <c r="G143" s="97" t="s">
        <v>155</v>
      </c>
      <c r="H143" s="99">
        <f>'Cuota Industrial'!E115</f>
        <v>690.54600000000005</v>
      </c>
      <c r="I143" s="99">
        <f>'Cuota Industrial'!F115</f>
        <v>-692.89599999999996</v>
      </c>
      <c r="J143" s="99">
        <f>'Cuota Industrial'!G115</f>
        <v>-2.3499999999999091</v>
      </c>
      <c r="K143" s="99">
        <f>'Cuota Industrial'!H115</f>
        <v>0</v>
      </c>
      <c r="L143" s="99">
        <f>'Cuota Industrial'!I115</f>
        <v>-2.3499999999999091</v>
      </c>
      <c r="M143" s="95">
        <f>'Cuota Industrial'!J115</f>
        <v>0</v>
      </c>
      <c r="N143" s="110" t="s">
        <v>209</v>
      </c>
      <c r="O143" s="122">
        <v>43465</v>
      </c>
    </row>
    <row r="144" spans="1:15">
      <c r="A144" s="98" t="s">
        <v>167</v>
      </c>
      <c r="B144" s="99" t="s">
        <v>152</v>
      </c>
      <c r="C144" s="99" t="s">
        <v>96</v>
      </c>
      <c r="D144" s="99" t="s">
        <v>153</v>
      </c>
      <c r="E144" s="99" t="s">
        <v>111</v>
      </c>
      <c r="F144" s="99" t="s">
        <v>156</v>
      </c>
      <c r="G144" s="99" t="s">
        <v>157</v>
      </c>
      <c r="H144" s="99">
        <f>'Cuota Industrial'!E116</f>
        <v>14.093999999999999</v>
      </c>
      <c r="I144" s="99">
        <f>'Cuota Industrial'!F116</f>
        <v>0</v>
      </c>
      <c r="J144" s="99">
        <f>'Cuota Industrial'!G116</f>
        <v>11.74400000000009</v>
      </c>
      <c r="K144" s="99">
        <f>'Cuota Industrial'!H116</f>
        <v>0</v>
      </c>
      <c r="L144" s="99">
        <f>'Cuota Industrial'!I116</f>
        <v>11.74400000000009</v>
      </c>
      <c r="M144" s="95">
        <f>'Cuota Industrial'!J116</f>
        <v>0</v>
      </c>
      <c r="N144" s="110" t="s">
        <v>209</v>
      </c>
      <c r="O144" s="122">
        <v>43465</v>
      </c>
    </row>
    <row r="145" spans="1:15">
      <c r="A145" s="98" t="s">
        <v>167</v>
      </c>
      <c r="B145" s="99" t="s">
        <v>152</v>
      </c>
      <c r="C145" s="99" t="s">
        <v>96</v>
      </c>
      <c r="D145" s="99" t="s">
        <v>153</v>
      </c>
      <c r="E145" s="99" t="s">
        <v>111</v>
      </c>
      <c r="F145" s="99" t="s">
        <v>154</v>
      </c>
      <c r="G145" s="99" t="s">
        <v>157</v>
      </c>
      <c r="H145" s="99">
        <f>'Cuota Industrial'!K115</f>
        <v>704.6400000000001</v>
      </c>
      <c r="I145" s="99">
        <f>'Cuota Industrial'!L115</f>
        <v>-692.89599999999996</v>
      </c>
      <c r="J145" s="99">
        <f>'Cuota Industrial'!M115</f>
        <v>11.744000000000142</v>
      </c>
      <c r="K145" s="99">
        <f>'Cuota Industrial'!N115</f>
        <v>0</v>
      </c>
      <c r="L145" s="99">
        <f>'Cuota Industrial'!O115</f>
        <v>11.744000000000142</v>
      </c>
      <c r="M145" s="95">
        <f>'Cuota Industrial'!P115</f>
        <v>0</v>
      </c>
      <c r="N145" s="110" t="s">
        <v>209</v>
      </c>
      <c r="O145" s="122">
        <v>43465</v>
      </c>
    </row>
    <row r="146" spans="1:15">
      <c r="A146" s="98" t="s">
        <v>167</v>
      </c>
      <c r="B146" s="99" t="s">
        <v>152</v>
      </c>
      <c r="C146" s="99" t="s">
        <v>96</v>
      </c>
      <c r="D146" s="99" t="s">
        <v>153</v>
      </c>
      <c r="E146" s="99" t="s">
        <v>16</v>
      </c>
      <c r="F146" s="99" t="s">
        <v>154</v>
      </c>
      <c r="G146" s="97" t="s">
        <v>155</v>
      </c>
      <c r="H146" s="99">
        <f>'Cuota Industrial'!E117</f>
        <v>1381.0920000000001</v>
      </c>
      <c r="I146" s="99">
        <f>'Cuota Industrial'!F117</f>
        <v>-1409.28</v>
      </c>
      <c r="J146" s="99">
        <f>'Cuota Industrial'!G117</f>
        <v>-28.187999999999874</v>
      </c>
      <c r="K146" s="99">
        <f>'Cuota Industrial'!H117</f>
        <v>0</v>
      </c>
      <c r="L146" s="99">
        <f>'Cuota Industrial'!I117</f>
        <v>-28.187999999999874</v>
      </c>
      <c r="M146" s="95">
        <f>'Cuota Industrial'!J117</f>
        <v>0</v>
      </c>
      <c r="N146" s="110" t="s">
        <v>209</v>
      </c>
      <c r="O146" s="122">
        <v>43465</v>
      </c>
    </row>
    <row r="147" spans="1:15">
      <c r="A147" s="98" t="s">
        <v>167</v>
      </c>
      <c r="B147" s="99" t="s">
        <v>152</v>
      </c>
      <c r="C147" s="99" t="s">
        <v>96</v>
      </c>
      <c r="D147" s="99" t="s">
        <v>153</v>
      </c>
      <c r="E147" s="99" t="s">
        <v>16</v>
      </c>
      <c r="F147" s="99" t="s">
        <v>156</v>
      </c>
      <c r="G147" s="99" t="s">
        <v>157</v>
      </c>
      <c r="H147" s="99">
        <f>'Cuota Industrial'!E118</f>
        <v>28.187999999999999</v>
      </c>
      <c r="I147" s="99">
        <f>'Cuota Industrial'!F118</f>
        <v>0</v>
      </c>
      <c r="J147" s="99">
        <f>'Cuota Industrial'!G118</f>
        <v>0</v>
      </c>
      <c r="K147" s="99">
        <f>'Cuota Industrial'!H118</f>
        <v>0</v>
      </c>
      <c r="L147" s="99">
        <f>'Cuota Industrial'!I118</f>
        <v>0</v>
      </c>
      <c r="M147" s="95">
        <f>'Cuota Industrial'!J118</f>
        <v>0</v>
      </c>
      <c r="N147" s="110" t="s">
        <v>209</v>
      </c>
      <c r="O147" s="122">
        <v>43465</v>
      </c>
    </row>
    <row r="148" spans="1:15">
      <c r="A148" s="98" t="s">
        <v>167</v>
      </c>
      <c r="B148" s="99" t="s">
        <v>152</v>
      </c>
      <c r="C148" s="99" t="s">
        <v>96</v>
      </c>
      <c r="D148" s="99" t="s">
        <v>153</v>
      </c>
      <c r="E148" s="99" t="s">
        <v>16</v>
      </c>
      <c r="F148" s="99" t="s">
        <v>154</v>
      </c>
      <c r="G148" s="99" t="s">
        <v>157</v>
      </c>
      <c r="H148" s="99">
        <f>'Cuota Industrial'!K117</f>
        <v>1409.2800000000002</v>
      </c>
      <c r="I148" s="99">
        <f>'Cuota Industrial'!L117</f>
        <v>-1409.28</v>
      </c>
      <c r="J148" s="99">
        <f>'Cuota Industrial'!M117</f>
        <v>0</v>
      </c>
      <c r="K148" s="99">
        <f>'Cuota Industrial'!N117</f>
        <v>0</v>
      </c>
      <c r="L148" s="99">
        <f>'Cuota Industrial'!O117</f>
        <v>0</v>
      </c>
      <c r="M148" s="95">
        <f>'Cuota Industrial'!P117</f>
        <v>0</v>
      </c>
      <c r="N148" s="110" t="s">
        <v>209</v>
      </c>
      <c r="O148" s="122">
        <v>43465</v>
      </c>
    </row>
    <row r="149" spans="1:15">
      <c r="A149" s="98" t="s">
        <v>167</v>
      </c>
      <c r="B149" s="99" t="s">
        <v>152</v>
      </c>
      <c r="C149" s="99" t="s">
        <v>96</v>
      </c>
      <c r="D149" s="99" t="s">
        <v>153</v>
      </c>
      <c r="E149" s="99" t="s">
        <v>166</v>
      </c>
      <c r="F149" s="99" t="s">
        <v>154</v>
      </c>
      <c r="G149" s="97" t="s">
        <v>155</v>
      </c>
      <c r="H149" s="99">
        <f>'Cuota Industrial'!E119</f>
        <v>3107.4650000000001</v>
      </c>
      <c r="I149" s="99">
        <f>'Cuota Industrial'!F119</f>
        <v>-3170.72</v>
      </c>
      <c r="J149" s="99">
        <f>'Cuota Industrial'!G119</f>
        <v>-63.254999999999654</v>
      </c>
      <c r="K149" s="99">
        <f>'Cuota Industrial'!H119</f>
        <v>0</v>
      </c>
      <c r="L149" s="99">
        <f>'Cuota Industrial'!I119</f>
        <v>-63.254999999999654</v>
      </c>
      <c r="M149" s="95">
        <f>'Cuota Industrial'!J119</f>
        <v>0</v>
      </c>
      <c r="N149" s="110" t="s">
        <v>209</v>
      </c>
      <c r="O149" s="122">
        <v>43465</v>
      </c>
    </row>
    <row r="150" spans="1:15">
      <c r="A150" s="98" t="s">
        <v>167</v>
      </c>
      <c r="B150" s="99" t="s">
        <v>152</v>
      </c>
      <c r="C150" s="99" t="s">
        <v>96</v>
      </c>
      <c r="D150" s="99" t="s">
        <v>153</v>
      </c>
      <c r="E150" s="99" t="s">
        <v>166</v>
      </c>
      <c r="F150" s="99" t="s">
        <v>156</v>
      </c>
      <c r="G150" s="99" t="s">
        <v>157</v>
      </c>
      <c r="H150" s="99">
        <f>'Cuota Industrial'!E120</f>
        <v>63.430999999999997</v>
      </c>
      <c r="I150" s="99">
        <f>'Cuota Industrial'!F120</f>
        <v>0</v>
      </c>
      <c r="J150" s="99">
        <f>'Cuota Industrial'!G120</f>
        <v>0.17600000000034299</v>
      </c>
      <c r="K150" s="99">
        <f>'Cuota Industrial'!H120</f>
        <v>0</v>
      </c>
      <c r="L150" s="99">
        <f>'Cuota Industrial'!I120</f>
        <v>0.17600000000034299</v>
      </c>
      <c r="M150" s="95">
        <f>'Cuota Industrial'!J120</f>
        <v>0</v>
      </c>
      <c r="N150" s="110" t="s">
        <v>209</v>
      </c>
      <c r="O150" s="122">
        <v>43465</v>
      </c>
    </row>
    <row r="151" spans="1:15">
      <c r="A151" s="98" t="s">
        <v>167</v>
      </c>
      <c r="B151" s="99" t="s">
        <v>152</v>
      </c>
      <c r="C151" s="99" t="s">
        <v>96</v>
      </c>
      <c r="D151" s="99" t="s">
        <v>153</v>
      </c>
      <c r="E151" s="99" t="s">
        <v>166</v>
      </c>
      <c r="F151" s="99" t="s">
        <v>154</v>
      </c>
      <c r="G151" s="99" t="s">
        <v>157</v>
      </c>
      <c r="H151" s="99">
        <f>'Cuota Industrial'!K119</f>
        <v>3170.8960000000002</v>
      </c>
      <c r="I151" s="99">
        <f>'Cuota Industrial'!L119</f>
        <v>-3170.72</v>
      </c>
      <c r="J151" s="99">
        <f>'Cuota Industrial'!M119</f>
        <v>0.17600000000038563</v>
      </c>
      <c r="K151" s="99">
        <f>'Cuota Industrial'!N119</f>
        <v>0</v>
      </c>
      <c r="L151" s="99">
        <f>'Cuota Industrial'!O119</f>
        <v>0.17600000000038563</v>
      </c>
      <c r="M151" s="95">
        <f>'Cuota Industrial'!P119</f>
        <v>0</v>
      </c>
      <c r="N151" s="110" t="s">
        <v>209</v>
      </c>
      <c r="O151" s="122">
        <v>43465</v>
      </c>
    </row>
    <row r="152" spans="1:15">
      <c r="A152" s="98" t="s">
        <v>167</v>
      </c>
      <c r="B152" s="99" t="s">
        <v>152</v>
      </c>
      <c r="C152" s="99" t="s">
        <v>96</v>
      </c>
      <c r="D152" s="99" t="s">
        <v>153</v>
      </c>
      <c r="E152" s="99" t="s">
        <v>234</v>
      </c>
      <c r="F152" s="99" t="s">
        <v>154</v>
      </c>
      <c r="G152" s="97" t="s">
        <v>155</v>
      </c>
      <c r="H152" s="99">
        <f>'Cuota Industrial'!E121</f>
        <v>1726.365</v>
      </c>
      <c r="I152" s="99">
        <f>'Cuota Industrial'!F121</f>
        <v>-1761.6</v>
      </c>
      <c r="J152" s="99">
        <f>'Cuota Industrial'!G121</f>
        <v>-35.2349999999999</v>
      </c>
      <c r="K152" s="99">
        <f>'Cuota Industrial'!H121</f>
        <v>0</v>
      </c>
      <c r="L152" s="99">
        <f>'Cuota Industrial'!I121</f>
        <v>-35.2349999999999</v>
      </c>
      <c r="M152" s="95">
        <f>'Cuota Industrial'!J121</f>
        <v>0</v>
      </c>
      <c r="N152" s="110" t="s">
        <v>209</v>
      </c>
      <c r="O152" s="122">
        <v>43465</v>
      </c>
    </row>
    <row r="153" spans="1:15">
      <c r="A153" s="98" t="s">
        <v>167</v>
      </c>
      <c r="B153" s="99" t="s">
        <v>152</v>
      </c>
      <c r="C153" s="99" t="s">
        <v>96</v>
      </c>
      <c r="D153" s="99" t="s">
        <v>153</v>
      </c>
      <c r="E153" s="99" t="s">
        <v>234</v>
      </c>
      <c r="F153" s="99" t="s">
        <v>156</v>
      </c>
      <c r="G153" s="99" t="s">
        <v>157</v>
      </c>
      <c r="H153" s="99">
        <f>'Cuota Industrial'!E122</f>
        <v>35.234999999999999</v>
      </c>
      <c r="I153" s="99">
        <f>'Cuota Industrial'!F122</f>
        <v>0</v>
      </c>
      <c r="J153" s="99">
        <f>'Cuota Industrial'!G122</f>
        <v>0</v>
      </c>
      <c r="K153" s="99">
        <f>'Cuota Industrial'!H122</f>
        <v>0</v>
      </c>
      <c r="L153" s="99">
        <f>'Cuota Industrial'!I122</f>
        <v>0</v>
      </c>
      <c r="M153" s="95">
        <f>'Cuota Industrial'!J122</f>
        <v>0</v>
      </c>
      <c r="N153" s="110" t="s">
        <v>209</v>
      </c>
      <c r="O153" s="122">
        <v>43465</v>
      </c>
    </row>
    <row r="154" spans="1:15">
      <c r="A154" s="98" t="s">
        <v>167</v>
      </c>
      <c r="B154" s="99" t="s">
        <v>152</v>
      </c>
      <c r="C154" s="99" t="s">
        <v>96</v>
      </c>
      <c r="D154" s="99" t="s">
        <v>153</v>
      </c>
      <c r="E154" s="99" t="s">
        <v>234</v>
      </c>
      <c r="F154" s="99" t="s">
        <v>154</v>
      </c>
      <c r="G154" s="99" t="s">
        <v>157</v>
      </c>
      <c r="H154" s="99">
        <f>'Cuota Industrial'!K121</f>
        <v>1761.6</v>
      </c>
      <c r="I154" s="99">
        <f>'Cuota Industrial'!L121</f>
        <v>-1761.6</v>
      </c>
      <c r="J154" s="99">
        <f>'Cuota Industrial'!M121</f>
        <v>0</v>
      </c>
      <c r="K154" s="99">
        <f>'Cuota Industrial'!N121</f>
        <v>0</v>
      </c>
      <c r="L154" s="99">
        <f>'Cuota Industrial'!O121</f>
        <v>0</v>
      </c>
      <c r="M154" s="95">
        <f>'Cuota Industrial'!P121</f>
        <v>0</v>
      </c>
      <c r="N154" s="110" t="s">
        <v>209</v>
      </c>
      <c r="O154" s="122">
        <v>43465</v>
      </c>
    </row>
    <row r="155" spans="1:15">
      <c r="A155" s="98" t="s">
        <v>167</v>
      </c>
      <c r="B155" s="99" t="s">
        <v>152</v>
      </c>
      <c r="C155" s="99" t="s">
        <v>96</v>
      </c>
      <c r="D155" s="99" t="s">
        <v>153</v>
      </c>
      <c r="E155" s="99" t="s">
        <v>235</v>
      </c>
      <c r="F155" s="99" t="s">
        <v>154</v>
      </c>
      <c r="G155" s="97" t="s">
        <v>155</v>
      </c>
      <c r="H155" s="99">
        <f>'Cuota Industrial'!E123</f>
        <v>2762.1840000000002</v>
      </c>
      <c r="I155" s="99">
        <f>'Cuota Industrial'!F123</f>
        <v>-2818.56</v>
      </c>
      <c r="J155" s="99">
        <f>'Cuota Industrial'!G123</f>
        <v>-56.375999999999749</v>
      </c>
      <c r="K155" s="99">
        <f>'Cuota Industrial'!H123</f>
        <v>0</v>
      </c>
      <c r="L155" s="99">
        <f>'Cuota Industrial'!I123</f>
        <v>-56.375999999999749</v>
      </c>
      <c r="M155" s="95">
        <f>'Cuota Industrial'!J123</f>
        <v>0</v>
      </c>
      <c r="N155" s="110" t="s">
        <v>209</v>
      </c>
      <c r="O155" s="122">
        <v>43465</v>
      </c>
    </row>
    <row r="156" spans="1:15">
      <c r="A156" s="98" t="s">
        <v>167</v>
      </c>
      <c r="B156" s="99" t="s">
        <v>152</v>
      </c>
      <c r="C156" s="99" t="s">
        <v>96</v>
      </c>
      <c r="D156" s="99" t="s">
        <v>153</v>
      </c>
      <c r="E156" s="99" t="s">
        <v>235</v>
      </c>
      <c r="F156" s="99" t="s">
        <v>156</v>
      </c>
      <c r="G156" s="99" t="s">
        <v>157</v>
      </c>
      <c r="H156" s="99">
        <f>'Cuota Industrial'!E124</f>
        <v>56.375999999999998</v>
      </c>
      <c r="I156" s="99">
        <f>'Cuota Industrial'!F124</f>
        <v>0</v>
      </c>
      <c r="J156" s="99">
        <f>'Cuota Industrial'!G124</f>
        <v>0</v>
      </c>
      <c r="K156" s="99">
        <f>'Cuota Industrial'!H124</f>
        <v>0</v>
      </c>
      <c r="L156" s="99">
        <f>'Cuota Industrial'!I124</f>
        <v>0</v>
      </c>
      <c r="M156" s="95">
        <f>'Cuota Industrial'!J124</f>
        <v>0</v>
      </c>
      <c r="N156" s="110" t="s">
        <v>209</v>
      </c>
      <c r="O156" s="122">
        <v>43465</v>
      </c>
    </row>
    <row r="157" spans="1:15">
      <c r="A157" s="98" t="s">
        <v>167</v>
      </c>
      <c r="B157" s="99" t="s">
        <v>152</v>
      </c>
      <c r="C157" s="99" t="s">
        <v>96</v>
      </c>
      <c r="D157" s="99" t="s">
        <v>153</v>
      </c>
      <c r="E157" s="99" t="s">
        <v>235</v>
      </c>
      <c r="F157" s="99" t="s">
        <v>154</v>
      </c>
      <c r="G157" s="99" t="s">
        <v>157</v>
      </c>
      <c r="H157" s="99">
        <f>'Cuota Industrial'!K123</f>
        <v>2818.5600000000004</v>
      </c>
      <c r="I157" s="99">
        <f>'Cuota Industrial'!L123</f>
        <v>-2818.56</v>
      </c>
      <c r="J157" s="99">
        <f>'Cuota Industrial'!M123</f>
        <v>0</v>
      </c>
      <c r="K157" s="99">
        <f>'Cuota Industrial'!N123</f>
        <v>0</v>
      </c>
      <c r="L157" s="99">
        <f>'Cuota Industrial'!O123</f>
        <v>0</v>
      </c>
      <c r="M157" s="95">
        <f>'Cuota Industrial'!P123</f>
        <v>0</v>
      </c>
      <c r="N157" s="110" t="s">
        <v>209</v>
      </c>
      <c r="O157" s="122">
        <v>43465</v>
      </c>
    </row>
    <row r="158" spans="1:15">
      <c r="A158" s="98" t="s">
        <v>167</v>
      </c>
      <c r="B158" s="99" t="s">
        <v>152</v>
      </c>
      <c r="C158" s="99" t="s">
        <v>96</v>
      </c>
      <c r="D158" s="99" t="s">
        <v>153</v>
      </c>
      <c r="E158" s="99" t="s">
        <v>217</v>
      </c>
      <c r="F158" s="99" t="s">
        <v>154</v>
      </c>
      <c r="G158" s="97" t="s">
        <v>155</v>
      </c>
      <c r="H158" s="99">
        <f>'Cuota Industrial'!E125</f>
        <v>690.54600000000005</v>
      </c>
      <c r="I158" s="99">
        <f>'Cuota Industrial'!F125</f>
        <v>-704.64</v>
      </c>
      <c r="J158" s="99">
        <f>'Cuota Industrial'!G125</f>
        <v>-14.093999999999937</v>
      </c>
      <c r="K158" s="99">
        <f>'Cuota Industrial'!H125</f>
        <v>0</v>
      </c>
      <c r="L158" s="99">
        <f>'Cuota Industrial'!I125</f>
        <v>-14.093999999999937</v>
      </c>
      <c r="M158" s="95">
        <f>'Cuota Industrial'!J125</f>
        <v>0</v>
      </c>
      <c r="N158" s="110" t="s">
        <v>209</v>
      </c>
      <c r="O158" s="122">
        <v>43465</v>
      </c>
    </row>
    <row r="159" spans="1:15">
      <c r="A159" s="98" t="s">
        <v>167</v>
      </c>
      <c r="B159" s="99" t="s">
        <v>152</v>
      </c>
      <c r="C159" s="99" t="s">
        <v>96</v>
      </c>
      <c r="D159" s="99" t="s">
        <v>153</v>
      </c>
      <c r="E159" s="99" t="s">
        <v>217</v>
      </c>
      <c r="F159" s="99" t="s">
        <v>156</v>
      </c>
      <c r="G159" s="99" t="s">
        <v>157</v>
      </c>
      <c r="H159" s="99">
        <f>'Cuota Industrial'!E126</f>
        <v>14.093999999999999</v>
      </c>
      <c r="I159" s="99">
        <f>'Cuota Industrial'!F126</f>
        <v>0</v>
      </c>
      <c r="J159" s="99">
        <f>'Cuota Industrial'!G126</f>
        <v>0</v>
      </c>
      <c r="K159" s="99">
        <f>'Cuota Industrial'!H126</f>
        <v>0</v>
      </c>
      <c r="L159" s="99">
        <f>'Cuota Industrial'!I126</f>
        <v>0</v>
      </c>
      <c r="M159" s="95">
        <f>'Cuota Industrial'!J126</f>
        <v>0</v>
      </c>
      <c r="N159" s="110" t="s">
        <v>209</v>
      </c>
      <c r="O159" s="122">
        <v>43465</v>
      </c>
    </row>
    <row r="160" spans="1:15">
      <c r="A160" s="98" t="s">
        <v>167</v>
      </c>
      <c r="B160" s="99" t="s">
        <v>152</v>
      </c>
      <c r="C160" s="99" t="s">
        <v>96</v>
      </c>
      <c r="D160" s="99" t="s">
        <v>153</v>
      </c>
      <c r="E160" s="99" t="s">
        <v>217</v>
      </c>
      <c r="F160" s="99" t="s">
        <v>154</v>
      </c>
      <c r="G160" s="99" t="s">
        <v>157</v>
      </c>
      <c r="H160" s="99">
        <f>'Cuota Industrial'!K125</f>
        <v>704.6400000000001</v>
      </c>
      <c r="I160" s="99">
        <f>'Cuota Industrial'!L125</f>
        <v>-704.64</v>
      </c>
      <c r="J160" s="99">
        <f>'Cuota Industrial'!M125</f>
        <v>0</v>
      </c>
      <c r="K160" s="99">
        <f>'Cuota Industrial'!N125</f>
        <v>0</v>
      </c>
      <c r="L160" s="99">
        <f>'Cuota Industrial'!O125</f>
        <v>0</v>
      </c>
      <c r="M160" s="95">
        <f>'Cuota Industrial'!P125</f>
        <v>0</v>
      </c>
      <c r="N160" s="110" t="s">
        <v>209</v>
      </c>
      <c r="O160" s="122">
        <v>43465</v>
      </c>
    </row>
    <row r="161" spans="1:15">
      <c r="A161" s="98" t="s">
        <v>167</v>
      </c>
      <c r="B161" s="99" t="s">
        <v>152</v>
      </c>
      <c r="C161" s="99" t="s">
        <v>96</v>
      </c>
      <c r="D161" s="99" t="s">
        <v>153</v>
      </c>
      <c r="E161" s="99" t="s">
        <v>236</v>
      </c>
      <c r="F161" s="99" t="s">
        <v>154</v>
      </c>
      <c r="G161" s="97" t="s">
        <v>155</v>
      </c>
      <c r="H161" s="99">
        <f>'Cuota Industrial'!E127</f>
        <v>1594.5170000000001</v>
      </c>
      <c r="I161" s="99">
        <f>'Cuota Industrial'!F127</f>
        <v>-1627.0609999999999</v>
      </c>
      <c r="J161" s="99">
        <f>'Cuota Industrial'!G127</f>
        <v>-32.543999999999869</v>
      </c>
      <c r="K161" s="99">
        <f>'Cuota Industrial'!H127</f>
        <v>0</v>
      </c>
      <c r="L161" s="99">
        <f>'Cuota Industrial'!I127</f>
        <v>-32.543999999999869</v>
      </c>
      <c r="M161" s="95">
        <f>'Cuota Industrial'!J127</f>
        <v>0</v>
      </c>
      <c r="N161" s="110" t="s">
        <v>209</v>
      </c>
      <c r="O161" s="122">
        <v>43465</v>
      </c>
    </row>
    <row r="162" spans="1:15">
      <c r="A162" s="98" t="s">
        <v>167</v>
      </c>
      <c r="B162" s="99" t="s">
        <v>152</v>
      </c>
      <c r="C162" s="99" t="s">
        <v>96</v>
      </c>
      <c r="D162" s="99" t="s">
        <v>153</v>
      </c>
      <c r="E162" s="99" t="s">
        <v>236</v>
      </c>
      <c r="F162" s="99" t="s">
        <v>156</v>
      </c>
      <c r="G162" s="99" t="s">
        <v>157</v>
      </c>
      <c r="H162" s="99">
        <f>'Cuota Industrial'!E128</f>
        <v>32.543999999999997</v>
      </c>
      <c r="I162" s="99">
        <f>'Cuota Industrial'!F128</f>
        <v>0</v>
      </c>
      <c r="J162" s="99">
        <f>'Cuota Industrial'!G128</f>
        <v>0</v>
      </c>
      <c r="K162" s="99">
        <f>'Cuota Industrial'!H128</f>
        <v>0</v>
      </c>
      <c r="L162" s="99">
        <f>'Cuota Industrial'!I128</f>
        <v>0</v>
      </c>
      <c r="M162" s="95">
        <f>'Cuota Industrial'!J128</f>
        <v>0</v>
      </c>
      <c r="N162" s="110" t="s">
        <v>209</v>
      </c>
      <c r="O162" s="122">
        <v>43465</v>
      </c>
    </row>
    <row r="163" spans="1:15">
      <c r="A163" s="98" t="s">
        <v>167</v>
      </c>
      <c r="B163" s="99" t="s">
        <v>152</v>
      </c>
      <c r="C163" s="99" t="s">
        <v>96</v>
      </c>
      <c r="D163" s="99" t="s">
        <v>153</v>
      </c>
      <c r="E163" s="99" t="s">
        <v>236</v>
      </c>
      <c r="F163" s="99" t="s">
        <v>154</v>
      </c>
      <c r="G163" s="99" t="s">
        <v>157</v>
      </c>
      <c r="H163" s="99">
        <f>'Cuota Industrial'!K127</f>
        <v>1627.0610000000001</v>
      </c>
      <c r="I163" s="99">
        <f>'Cuota Industrial'!L127</f>
        <v>-1627.0609999999999</v>
      </c>
      <c r="J163" s="99">
        <f>'Cuota Industrial'!M127</f>
        <v>0</v>
      </c>
      <c r="K163" s="99">
        <f>'Cuota Industrial'!N127</f>
        <v>0</v>
      </c>
      <c r="L163" s="99">
        <f>'Cuota Industrial'!O127</f>
        <v>0</v>
      </c>
      <c r="M163" s="95">
        <f>'Cuota Industrial'!P127</f>
        <v>0</v>
      </c>
      <c r="N163" s="110" t="s">
        <v>209</v>
      </c>
      <c r="O163" s="122">
        <v>43465</v>
      </c>
    </row>
    <row r="164" spans="1:15">
      <c r="A164" s="98" t="s">
        <v>170</v>
      </c>
      <c r="B164" s="99" t="s">
        <v>152</v>
      </c>
      <c r="C164" s="99" t="s">
        <v>102</v>
      </c>
      <c r="D164" s="99" t="s">
        <v>153</v>
      </c>
      <c r="E164" s="99" t="s">
        <v>221</v>
      </c>
      <c r="F164" s="99" t="s">
        <v>154</v>
      </c>
      <c r="G164" s="97" t="s">
        <v>155</v>
      </c>
      <c r="H164" s="99">
        <f>'Cuota Industrial'!E133</f>
        <v>3071.0129999999999</v>
      </c>
      <c r="I164" s="99">
        <f>'Cuota Industrial'!F133</f>
        <v>2149.5320000000002</v>
      </c>
      <c r="J164" s="99">
        <f>'Cuota Industrial'!G133</f>
        <v>5220.5450000000001</v>
      </c>
      <c r="K164" s="99">
        <f>'Cuota Industrial'!H133</f>
        <v>5281.826</v>
      </c>
      <c r="L164" s="99">
        <f>'Cuota Industrial'!I133</f>
        <v>-61.280999999999949</v>
      </c>
      <c r="M164" s="95">
        <f>'Cuota Industrial'!J133</f>
        <v>1.0117384296084029</v>
      </c>
      <c r="N164" s="110" t="s">
        <v>209</v>
      </c>
      <c r="O164" s="122">
        <v>43465</v>
      </c>
    </row>
    <row r="165" spans="1:15">
      <c r="A165" s="98" t="s">
        <v>170</v>
      </c>
      <c r="B165" s="99" t="s">
        <v>152</v>
      </c>
      <c r="C165" s="99" t="s">
        <v>102</v>
      </c>
      <c r="D165" s="99" t="s">
        <v>153</v>
      </c>
      <c r="E165" s="99" t="s">
        <v>221</v>
      </c>
      <c r="F165" s="99" t="s">
        <v>156</v>
      </c>
      <c r="G165" s="99" t="s">
        <v>157</v>
      </c>
      <c r="H165" s="99">
        <f>'Cuota Industrial'!E134</f>
        <v>62.655999999999999</v>
      </c>
      <c r="I165" s="99">
        <f>'Cuota Industrial'!F134</f>
        <v>0</v>
      </c>
      <c r="J165" s="99">
        <f>'Cuota Industrial'!G134</f>
        <v>1.3750000000000497</v>
      </c>
      <c r="K165" s="99">
        <f>'Cuota Industrial'!H134</f>
        <v>0</v>
      </c>
      <c r="L165" s="99">
        <f>'Cuota Industrial'!I134</f>
        <v>1.3750000000000497</v>
      </c>
      <c r="M165" s="95">
        <f>'Cuota Industrial'!J134</f>
        <v>0</v>
      </c>
      <c r="N165" s="110" t="s">
        <v>209</v>
      </c>
      <c r="O165" s="122">
        <v>43465</v>
      </c>
    </row>
    <row r="166" spans="1:15">
      <c r="A166" s="98" t="s">
        <v>170</v>
      </c>
      <c r="B166" s="99" t="s">
        <v>152</v>
      </c>
      <c r="C166" s="99" t="s">
        <v>102</v>
      </c>
      <c r="D166" s="99" t="s">
        <v>153</v>
      </c>
      <c r="E166" s="99" t="s">
        <v>221</v>
      </c>
      <c r="F166" s="99" t="s">
        <v>154</v>
      </c>
      <c r="G166" s="99" t="s">
        <v>157</v>
      </c>
      <c r="H166" s="99">
        <f>'Cuota Industrial'!K133</f>
        <v>3133.6689999999999</v>
      </c>
      <c r="I166" s="99">
        <f>'Cuota Industrial'!L133</f>
        <v>2149.5320000000002</v>
      </c>
      <c r="J166" s="99">
        <f>'Cuota Industrial'!M133</f>
        <v>5283.201</v>
      </c>
      <c r="K166" s="99">
        <f>'Cuota Industrial'!N133</f>
        <v>5281.826</v>
      </c>
      <c r="L166" s="99">
        <f>'Cuota Industrial'!O133</f>
        <v>1.375</v>
      </c>
      <c r="M166" s="95">
        <f>'Cuota Industrial'!P133</f>
        <v>0.99973974111528219</v>
      </c>
      <c r="N166" s="110" t="s">
        <v>209</v>
      </c>
      <c r="O166" s="122">
        <v>43465</v>
      </c>
    </row>
    <row r="167" spans="1:15">
      <c r="A167" s="98" t="s">
        <v>170</v>
      </c>
      <c r="B167" s="99" t="s">
        <v>152</v>
      </c>
      <c r="C167" s="99" t="s">
        <v>102</v>
      </c>
      <c r="D167" s="99" t="s">
        <v>153</v>
      </c>
      <c r="E167" s="99" t="s">
        <v>222</v>
      </c>
      <c r="F167" s="99" t="s">
        <v>154</v>
      </c>
      <c r="G167" s="97" t="s">
        <v>155</v>
      </c>
      <c r="H167" s="99">
        <f>'Cuota Industrial'!E135</f>
        <v>27.689</v>
      </c>
      <c r="I167" s="99">
        <f>'Cuota Industrial'!F135</f>
        <v>0</v>
      </c>
      <c r="J167" s="99">
        <f>'Cuota Industrial'!G135</f>
        <v>27.689</v>
      </c>
      <c r="K167" s="99">
        <f>'Cuota Industrial'!H135</f>
        <v>0</v>
      </c>
      <c r="L167" s="99">
        <f>'Cuota Industrial'!I135</f>
        <v>27.689</v>
      </c>
      <c r="M167" s="95">
        <f>'Cuota Industrial'!J135</f>
        <v>0</v>
      </c>
      <c r="N167" s="110" t="s">
        <v>209</v>
      </c>
      <c r="O167" s="122">
        <v>43465</v>
      </c>
    </row>
    <row r="168" spans="1:15">
      <c r="A168" s="98" t="s">
        <v>170</v>
      </c>
      <c r="B168" s="99" t="s">
        <v>152</v>
      </c>
      <c r="C168" s="99" t="s">
        <v>102</v>
      </c>
      <c r="D168" s="99" t="s">
        <v>153</v>
      </c>
      <c r="E168" s="99" t="s">
        <v>222</v>
      </c>
      <c r="F168" s="99" t="s">
        <v>156</v>
      </c>
      <c r="G168" s="99" t="s">
        <v>157</v>
      </c>
      <c r="H168" s="99">
        <f>'Cuota Industrial'!E136</f>
        <v>0.56499999999999995</v>
      </c>
      <c r="I168" s="99">
        <f>'Cuota Industrial'!F136</f>
        <v>0</v>
      </c>
      <c r="J168" s="99">
        <f>'Cuota Industrial'!G136</f>
        <v>28.254000000000001</v>
      </c>
      <c r="K168" s="99">
        <f>'Cuota Industrial'!H136</f>
        <v>0</v>
      </c>
      <c r="L168" s="99">
        <f>'Cuota Industrial'!I136</f>
        <v>28.254000000000001</v>
      </c>
      <c r="M168" s="95">
        <f>'Cuota Industrial'!J136</f>
        <v>0</v>
      </c>
      <c r="N168" s="110" t="s">
        <v>209</v>
      </c>
      <c r="O168" s="122">
        <v>43465</v>
      </c>
    </row>
    <row r="169" spans="1:15">
      <c r="A169" s="98" t="s">
        <v>170</v>
      </c>
      <c r="B169" s="99" t="s">
        <v>152</v>
      </c>
      <c r="C169" s="99" t="s">
        <v>102</v>
      </c>
      <c r="D169" s="99" t="s">
        <v>153</v>
      </c>
      <c r="E169" s="99" t="s">
        <v>222</v>
      </c>
      <c r="F169" s="99" t="s">
        <v>154</v>
      </c>
      <c r="G169" s="99" t="s">
        <v>157</v>
      </c>
      <c r="H169" s="99">
        <f>'Cuota Industrial'!K135</f>
        <v>28.254000000000001</v>
      </c>
      <c r="I169" s="99">
        <f>'Cuota Industrial'!L135</f>
        <v>0</v>
      </c>
      <c r="J169" s="99">
        <f>'Cuota Industrial'!M135</f>
        <v>28.254000000000001</v>
      </c>
      <c r="K169" s="99">
        <f>'Cuota Industrial'!N135</f>
        <v>0</v>
      </c>
      <c r="L169" s="99">
        <f>'Cuota Industrial'!O135</f>
        <v>28.254000000000001</v>
      </c>
      <c r="M169" s="95">
        <f>'Cuota Industrial'!P135</f>
        <v>0</v>
      </c>
      <c r="N169" s="110" t="s">
        <v>209</v>
      </c>
      <c r="O169" s="122">
        <v>43465</v>
      </c>
    </row>
    <row r="170" spans="1:15">
      <c r="A170" s="98" t="s">
        <v>170</v>
      </c>
      <c r="B170" s="99" t="s">
        <v>152</v>
      </c>
      <c r="C170" s="99" t="s">
        <v>102</v>
      </c>
      <c r="D170" s="99" t="s">
        <v>153</v>
      </c>
      <c r="E170" s="99" t="s">
        <v>227</v>
      </c>
      <c r="F170" s="99" t="s">
        <v>154</v>
      </c>
      <c r="G170" s="97" t="s">
        <v>155</v>
      </c>
      <c r="H170" s="99">
        <f>'Cuota Industrial'!E137</f>
        <v>3658.6480000000001</v>
      </c>
      <c r="I170" s="99">
        <f>'Cuota Industrial'!F137</f>
        <v>3033.8429999999998</v>
      </c>
      <c r="J170" s="99">
        <f>'Cuota Industrial'!G137</f>
        <v>6692.491</v>
      </c>
      <c r="K170" s="99">
        <f>'Cuota Industrial'!H137</f>
        <v>6509.6440000000002</v>
      </c>
      <c r="L170" s="99">
        <f>'Cuota Industrial'!I137</f>
        <v>182.84699999999975</v>
      </c>
      <c r="M170" s="95">
        <f>'Cuota Industrial'!J137</f>
        <v>0.97267878283287945</v>
      </c>
      <c r="N170" s="110" t="s">
        <v>209</v>
      </c>
      <c r="O170" s="122">
        <v>43465</v>
      </c>
    </row>
    <row r="171" spans="1:15">
      <c r="A171" s="98" t="s">
        <v>170</v>
      </c>
      <c r="B171" s="99" t="s">
        <v>152</v>
      </c>
      <c r="C171" s="99" t="s">
        <v>102</v>
      </c>
      <c r="D171" s="99" t="s">
        <v>153</v>
      </c>
      <c r="E171" s="99" t="s">
        <v>227</v>
      </c>
      <c r="F171" s="99" t="s">
        <v>156</v>
      </c>
      <c r="G171" s="99" t="s">
        <v>157</v>
      </c>
      <c r="H171" s="99">
        <f>'Cuota Industrial'!E138</f>
        <v>74.644999999999996</v>
      </c>
      <c r="I171" s="99">
        <f>'Cuota Industrial'!F138</f>
        <v>0</v>
      </c>
      <c r="J171" s="99">
        <f>'Cuota Industrial'!G138</f>
        <v>257.49199999999973</v>
      </c>
      <c r="K171" s="99">
        <f>'Cuota Industrial'!H138</f>
        <v>117.79</v>
      </c>
      <c r="L171" s="99">
        <f>'Cuota Industrial'!I138</f>
        <v>139.70199999999971</v>
      </c>
      <c r="M171" s="95">
        <f>'Cuota Industrial'!J138</f>
        <v>0.45745110527705762</v>
      </c>
      <c r="N171" s="110" t="s">
        <v>209</v>
      </c>
      <c r="O171" s="122">
        <v>43465</v>
      </c>
    </row>
    <row r="172" spans="1:15">
      <c r="A172" s="98" t="s">
        <v>170</v>
      </c>
      <c r="B172" s="99" t="s">
        <v>152</v>
      </c>
      <c r="C172" s="99" t="s">
        <v>102</v>
      </c>
      <c r="D172" s="99" t="s">
        <v>153</v>
      </c>
      <c r="E172" s="99" t="s">
        <v>227</v>
      </c>
      <c r="F172" s="99" t="s">
        <v>154</v>
      </c>
      <c r="G172" s="99" t="s">
        <v>157</v>
      </c>
      <c r="H172" s="99">
        <f>'Cuota Industrial'!K137</f>
        <v>3733.2930000000001</v>
      </c>
      <c r="I172" s="99">
        <f>'Cuota Industrial'!L137</f>
        <v>3033.8429999999998</v>
      </c>
      <c r="J172" s="99">
        <f>'Cuota Industrial'!K137</f>
        <v>3733.2930000000001</v>
      </c>
      <c r="K172" s="99">
        <f>'Cuota Industrial'!N137</f>
        <v>6627.4340000000002</v>
      </c>
      <c r="L172" s="99">
        <f>'Cuota Industrial'!O137</f>
        <v>139.70200000000023</v>
      </c>
      <c r="M172" s="95">
        <f>'Cuota Industrial'!P137</f>
        <v>0.9793558161089122</v>
      </c>
      <c r="N172" s="110" t="s">
        <v>209</v>
      </c>
      <c r="O172" s="122">
        <v>43465</v>
      </c>
    </row>
    <row r="173" spans="1:15">
      <c r="A173" s="98" t="s">
        <v>170</v>
      </c>
      <c r="B173" s="99" t="s">
        <v>152</v>
      </c>
      <c r="C173" s="99" t="s">
        <v>102</v>
      </c>
      <c r="D173" s="99" t="s">
        <v>153</v>
      </c>
      <c r="E173" s="99" t="s">
        <v>232</v>
      </c>
      <c r="F173" s="99" t="s">
        <v>154</v>
      </c>
      <c r="G173" s="97" t="s">
        <v>155</v>
      </c>
      <c r="H173" s="99">
        <f>'Cuota Industrial'!E139</f>
        <v>0.27200000000000002</v>
      </c>
      <c r="I173" s="99">
        <f>'Cuota Industrial'!F139</f>
        <v>0</v>
      </c>
      <c r="J173" s="99">
        <f>'Cuota Industrial'!G139</f>
        <v>0.27200000000000002</v>
      </c>
      <c r="K173" s="99">
        <f>'Cuota Industrial'!H139</f>
        <v>0</v>
      </c>
      <c r="L173" s="99">
        <f>'Cuota Industrial'!I139</f>
        <v>0.27200000000000002</v>
      </c>
      <c r="M173" s="95">
        <f>'Cuota Industrial'!J139</f>
        <v>0</v>
      </c>
      <c r="N173" s="110" t="s">
        <v>209</v>
      </c>
      <c r="O173" s="122">
        <v>43465</v>
      </c>
    </row>
    <row r="174" spans="1:15">
      <c r="A174" s="98" t="s">
        <v>170</v>
      </c>
      <c r="B174" s="99" t="s">
        <v>152</v>
      </c>
      <c r="C174" s="99" t="s">
        <v>102</v>
      </c>
      <c r="D174" s="99" t="s">
        <v>153</v>
      </c>
      <c r="E174" s="99" t="s">
        <v>232</v>
      </c>
      <c r="F174" s="99" t="s">
        <v>156</v>
      </c>
      <c r="G174" s="99" t="s">
        <v>157</v>
      </c>
      <c r="H174" s="99">
        <f>'Cuota Industrial'!E140</f>
        <v>6.0000000000000001E-3</v>
      </c>
      <c r="I174" s="99">
        <f>'Cuota Industrial'!F140</f>
        <v>0</v>
      </c>
      <c r="J174" s="99">
        <f>'Cuota Industrial'!G140</f>
        <v>0.27800000000000002</v>
      </c>
      <c r="K174" s="99">
        <f>'Cuota Industrial'!H140</f>
        <v>0</v>
      </c>
      <c r="L174" s="99">
        <f>'Cuota Industrial'!I140</f>
        <v>0.27800000000000002</v>
      </c>
      <c r="M174" s="95">
        <f>'Cuota Industrial'!J140</f>
        <v>0</v>
      </c>
      <c r="N174" s="110" t="s">
        <v>209</v>
      </c>
      <c r="O174" s="122">
        <v>43465</v>
      </c>
    </row>
    <row r="175" spans="1:15">
      <c r="A175" s="98" t="s">
        <v>170</v>
      </c>
      <c r="B175" s="99" t="s">
        <v>152</v>
      </c>
      <c r="C175" s="99" t="s">
        <v>102</v>
      </c>
      <c r="D175" s="99" t="s">
        <v>153</v>
      </c>
      <c r="E175" s="99" t="s">
        <v>232</v>
      </c>
      <c r="F175" s="99" t="s">
        <v>154</v>
      </c>
      <c r="G175" s="99" t="s">
        <v>157</v>
      </c>
      <c r="H175" s="99">
        <f>'Cuota Industrial'!K139</f>
        <v>0.27800000000000002</v>
      </c>
      <c r="I175" s="99">
        <f>'Cuota Industrial'!L139</f>
        <v>0</v>
      </c>
      <c r="J175" s="99">
        <f>'Cuota Industrial'!M139</f>
        <v>0.27800000000000002</v>
      </c>
      <c r="K175" s="99">
        <f>'Cuota Industrial'!N139</f>
        <v>0</v>
      </c>
      <c r="L175" s="99">
        <f>'Cuota Industrial'!O139</f>
        <v>0.27800000000000002</v>
      </c>
      <c r="M175" s="95">
        <f>'Cuota Industrial'!P139</f>
        <v>0</v>
      </c>
      <c r="N175" s="110" t="s">
        <v>209</v>
      </c>
      <c r="O175" s="122">
        <v>43465</v>
      </c>
    </row>
    <row r="176" spans="1:15">
      <c r="A176" s="98" t="s">
        <v>170</v>
      </c>
      <c r="B176" s="99" t="s">
        <v>152</v>
      </c>
      <c r="C176" s="99" t="s">
        <v>102</v>
      </c>
      <c r="D176" s="99" t="s">
        <v>153</v>
      </c>
      <c r="E176" s="99" t="s">
        <v>223</v>
      </c>
      <c r="F176" s="99" t="s">
        <v>154</v>
      </c>
      <c r="G176" s="97" t="s">
        <v>155</v>
      </c>
      <c r="H176" s="99">
        <f>'Cuota Industrial'!E141</f>
        <v>6653.9579999999996</v>
      </c>
      <c r="I176" s="99">
        <f>'Cuota Industrial'!F141</f>
        <v>-1800</v>
      </c>
      <c r="J176" s="99">
        <f>'Cuota Industrial'!G141</f>
        <v>4853.9579999999996</v>
      </c>
      <c r="K176" s="99">
        <f>'Cuota Industrial'!H141</f>
        <v>4763</v>
      </c>
      <c r="L176" s="99">
        <f>'Cuota Industrial'!I141</f>
        <v>90.957999999999629</v>
      </c>
      <c r="M176" s="95">
        <f>'Cuota Industrial'!J141</f>
        <v>0.98126106571173466</v>
      </c>
      <c r="N176" s="110" t="s">
        <v>209</v>
      </c>
      <c r="O176" s="122">
        <v>43465</v>
      </c>
    </row>
    <row r="177" spans="1:15">
      <c r="A177" s="98" t="s">
        <v>170</v>
      </c>
      <c r="B177" s="99" t="s">
        <v>152</v>
      </c>
      <c r="C177" s="99" t="s">
        <v>102</v>
      </c>
      <c r="D177" s="99" t="s">
        <v>153</v>
      </c>
      <c r="E177" s="99" t="s">
        <v>223</v>
      </c>
      <c r="F177" s="99" t="s">
        <v>156</v>
      </c>
      <c r="G177" s="99" t="s">
        <v>157</v>
      </c>
      <c r="H177" s="99">
        <f>'Cuota Industrial'!E142</f>
        <v>135.75700000000001</v>
      </c>
      <c r="I177" s="99">
        <f>'Cuota Industrial'!F142</f>
        <v>0</v>
      </c>
      <c r="J177" s="99">
        <f>'Cuota Industrial'!G142</f>
        <v>226.71499999999963</v>
      </c>
      <c r="K177" s="99">
        <f>'Cuota Industrial'!H142</f>
        <v>0</v>
      </c>
      <c r="L177" s="99">
        <f>'Cuota Industrial'!I142</f>
        <v>226.71499999999963</v>
      </c>
      <c r="M177" s="95">
        <f>'Cuota Industrial'!J142</f>
        <v>0</v>
      </c>
      <c r="N177" s="110" t="s">
        <v>209</v>
      </c>
      <c r="O177" s="122">
        <v>43465</v>
      </c>
    </row>
    <row r="178" spans="1:15">
      <c r="A178" s="98" t="s">
        <v>170</v>
      </c>
      <c r="B178" s="99" t="s">
        <v>152</v>
      </c>
      <c r="C178" s="99" t="s">
        <v>102</v>
      </c>
      <c r="D178" s="99" t="s">
        <v>153</v>
      </c>
      <c r="E178" s="99" t="s">
        <v>223</v>
      </c>
      <c r="F178" s="99" t="s">
        <v>154</v>
      </c>
      <c r="G178" s="99" t="s">
        <v>157</v>
      </c>
      <c r="H178" s="99">
        <f>'Cuota Industrial'!K141</f>
        <v>6789.7149999999992</v>
      </c>
      <c r="I178" s="99">
        <f>'Cuota Industrial'!L141</f>
        <v>-1800</v>
      </c>
      <c r="J178" s="99">
        <f>'Cuota Industrial'!M141</f>
        <v>4989.7149999999992</v>
      </c>
      <c r="K178" s="99">
        <f>'Cuota Industrial'!N141</f>
        <v>4763</v>
      </c>
      <c r="L178" s="99">
        <f>'Cuota Industrial'!O141</f>
        <v>226.71499999999924</v>
      </c>
      <c r="M178" s="95">
        <f>'Cuota Industrial'!P141</f>
        <v>0.95456353719601239</v>
      </c>
      <c r="N178" s="110" t="s">
        <v>209</v>
      </c>
      <c r="O178" s="122">
        <v>43465</v>
      </c>
    </row>
    <row r="179" spans="1:15">
      <c r="A179" s="98" t="s">
        <v>170</v>
      </c>
      <c r="B179" s="99" t="s">
        <v>152</v>
      </c>
      <c r="C179" s="99" t="s">
        <v>102</v>
      </c>
      <c r="D179" s="99" t="s">
        <v>153</v>
      </c>
      <c r="E179" s="99" t="s">
        <v>168</v>
      </c>
      <c r="F179" s="99" t="s">
        <v>154</v>
      </c>
      <c r="G179" s="97" t="s">
        <v>155</v>
      </c>
      <c r="H179" s="99">
        <f>'Cuota Industrial'!E143</f>
        <v>0.81699999999999995</v>
      </c>
      <c r="I179" s="99">
        <f>'Cuota Industrial'!F143</f>
        <v>0</v>
      </c>
      <c r="J179" s="99">
        <f>'Cuota Industrial'!G143</f>
        <v>0.81699999999999995</v>
      </c>
      <c r="K179" s="99">
        <f>'Cuota Industrial'!H143</f>
        <v>0</v>
      </c>
      <c r="L179" s="99">
        <f>'Cuota Industrial'!I143</f>
        <v>0.81699999999999995</v>
      </c>
      <c r="M179" s="95">
        <f>'Cuota Industrial'!J143</f>
        <v>0</v>
      </c>
      <c r="N179" s="110" t="s">
        <v>209</v>
      </c>
      <c r="O179" s="122">
        <v>43465</v>
      </c>
    </row>
    <row r="180" spans="1:15">
      <c r="A180" s="98" t="s">
        <v>170</v>
      </c>
      <c r="B180" s="99" t="s">
        <v>152</v>
      </c>
      <c r="C180" s="99" t="s">
        <v>102</v>
      </c>
      <c r="D180" s="99" t="s">
        <v>153</v>
      </c>
      <c r="E180" s="99" t="s">
        <v>168</v>
      </c>
      <c r="F180" s="99" t="s">
        <v>156</v>
      </c>
      <c r="G180" s="99" t="s">
        <v>157</v>
      </c>
      <c r="H180" s="99">
        <f>'Cuota Industrial'!E144</f>
        <v>1.7000000000000001E-2</v>
      </c>
      <c r="I180" s="99">
        <f>'Cuota Industrial'!F144</f>
        <v>0</v>
      </c>
      <c r="J180" s="99">
        <f>'Cuota Industrial'!G144</f>
        <v>0.83399999999999996</v>
      </c>
      <c r="K180" s="99">
        <f>'Cuota Industrial'!H144</f>
        <v>0</v>
      </c>
      <c r="L180" s="99">
        <f>'Cuota Industrial'!I144</f>
        <v>0.83399999999999996</v>
      </c>
      <c r="M180" s="95">
        <f>'Cuota Industrial'!J144</f>
        <v>0</v>
      </c>
      <c r="N180" s="110" t="s">
        <v>209</v>
      </c>
      <c r="O180" s="122">
        <v>43465</v>
      </c>
    </row>
    <row r="181" spans="1:15">
      <c r="A181" s="98" t="s">
        <v>170</v>
      </c>
      <c r="B181" s="99" t="s">
        <v>152</v>
      </c>
      <c r="C181" s="99" t="s">
        <v>102</v>
      </c>
      <c r="D181" s="99" t="s">
        <v>153</v>
      </c>
      <c r="E181" s="99" t="s">
        <v>168</v>
      </c>
      <c r="F181" s="99" t="s">
        <v>154</v>
      </c>
      <c r="G181" s="99" t="s">
        <v>157</v>
      </c>
      <c r="H181" s="99">
        <f>'Cuota Industrial'!K143</f>
        <v>0.83399999999999996</v>
      </c>
      <c r="I181" s="99">
        <f>'Cuota Industrial'!L143</f>
        <v>0</v>
      </c>
      <c r="J181" s="99">
        <f>'Cuota Industrial'!M143</f>
        <v>0.83399999999999996</v>
      </c>
      <c r="K181" s="99">
        <f>'Cuota Industrial'!N143</f>
        <v>0</v>
      </c>
      <c r="L181" s="99">
        <f>'Cuota Industrial'!O143</f>
        <v>0.83399999999999996</v>
      </c>
      <c r="M181" s="95">
        <f>'Cuota Industrial'!P143</f>
        <v>0</v>
      </c>
      <c r="N181" s="110" t="s">
        <v>209</v>
      </c>
      <c r="O181" s="122">
        <v>43465</v>
      </c>
    </row>
    <row r="182" spans="1:15">
      <c r="A182" s="98" t="s">
        <v>170</v>
      </c>
      <c r="B182" s="99" t="s">
        <v>152</v>
      </c>
      <c r="C182" s="99" t="s">
        <v>102</v>
      </c>
      <c r="D182" s="99" t="s">
        <v>153</v>
      </c>
      <c r="E182" s="99" t="s">
        <v>213</v>
      </c>
      <c r="F182" s="99" t="s">
        <v>154</v>
      </c>
      <c r="G182" s="97" t="s">
        <v>155</v>
      </c>
      <c r="H182" s="99">
        <f>'Cuota Industrial'!E145</f>
        <v>155.58500000000001</v>
      </c>
      <c r="I182" s="99">
        <f>'Cuota Industrial'!F145</f>
        <v>-158.75899999999999</v>
      </c>
      <c r="J182" s="99">
        <f>'Cuota Industrial'!G145</f>
        <v>-3.1739999999999782</v>
      </c>
      <c r="K182" s="99">
        <f>'Cuota Industrial'!H145</f>
        <v>0</v>
      </c>
      <c r="L182" s="99">
        <f>'Cuota Industrial'!I145</f>
        <v>-3.1739999999999782</v>
      </c>
      <c r="M182" s="95">
        <v>0</v>
      </c>
      <c r="N182" s="110" t="s">
        <v>209</v>
      </c>
      <c r="O182" s="122">
        <v>43465</v>
      </c>
    </row>
    <row r="183" spans="1:15">
      <c r="A183" s="98" t="s">
        <v>170</v>
      </c>
      <c r="B183" s="99" t="s">
        <v>152</v>
      </c>
      <c r="C183" s="99" t="s">
        <v>102</v>
      </c>
      <c r="D183" s="99" t="s">
        <v>153</v>
      </c>
      <c r="E183" s="99" t="s">
        <v>213</v>
      </c>
      <c r="F183" s="99" t="s">
        <v>156</v>
      </c>
      <c r="G183" s="99" t="s">
        <v>157</v>
      </c>
      <c r="H183" s="99">
        <f>'Cuota Industrial'!E146</f>
        <v>3.1739999999999999</v>
      </c>
      <c r="I183" s="99">
        <f>'Cuota Industrial'!F146</f>
        <v>0</v>
      </c>
      <c r="J183" s="99">
        <f>'Cuota Industrial'!G146</f>
        <v>0</v>
      </c>
      <c r="K183" s="99">
        <f>'Cuota Industrial'!H146</f>
        <v>0</v>
      </c>
      <c r="L183" s="99">
        <f>'Cuota Industrial'!I146</f>
        <v>0</v>
      </c>
      <c r="M183" s="95">
        <f>'Cuota Industrial'!J146</f>
        <v>0</v>
      </c>
      <c r="N183" s="110" t="s">
        <v>209</v>
      </c>
      <c r="O183" s="122">
        <v>43465</v>
      </c>
    </row>
    <row r="184" spans="1:15">
      <c r="A184" s="98" t="s">
        <v>170</v>
      </c>
      <c r="B184" s="99" t="s">
        <v>152</v>
      </c>
      <c r="C184" s="99" t="s">
        <v>102</v>
      </c>
      <c r="D184" s="99" t="s">
        <v>153</v>
      </c>
      <c r="E184" s="99" t="s">
        <v>213</v>
      </c>
      <c r="F184" s="99" t="s">
        <v>154</v>
      </c>
      <c r="G184" s="99" t="s">
        <v>157</v>
      </c>
      <c r="H184" s="99">
        <f>'Cuota Industrial'!K145</f>
        <v>158.75900000000001</v>
      </c>
      <c r="I184" s="99">
        <f>'Cuota Industrial'!L145</f>
        <v>-158.75899999999999</v>
      </c>
      <c r="J184" s="99">
        <f>'Cuota Industrial'!M145</f>
        <v>0</v>
      </c>
      <c r="K184" s="99">
        <f>'Cuota Industrial'!N145</f>
        <v>0</v>
      </c>
      <c r="L184" s="99">
        <f>'Cuota Industrial'!O145</f>
        <v>0</v>
      </c>
      <c r="M184" s="95">
        <f>'Cuota Industrial'!P145</f>
        <v>0</v>
      </c>
      <c r="N184" s="110" t="s">
        <v>209</v>
      </c>
      <c r="O184" s="122">
        <v>43465</v>
      </c>
    </row>
    <row r="185" spans="1:15">
      <c r="A185" s="98" t="s">
        <v>170</v>
      </c>
      <c r="B185" s="99" t="s">
        <v>152</v>
      </c>
      <c r="C185" s="99" t="s">
        <v>102</v>
      </c>
      <c r="D185" s="99" t="s">
        <v>153</v>
      </c>
      <c r="E185" s="99" t="s">
        <v>165</v>
      </c>
      <c r="F185" s="99" t="s">
        <v>154</v>
      </c>
      <c r="G185" s="97" t="s">
        <v>155</v>
      </c>
      <c r="H185" s="99">
        <f>'Cuota Industrial'!E147</f>
        <v>1456.2249999999999</v>
      </c>
      <c r="I185" s="99">
        <f>'Cuota Industrial'!F147</f>
        <v>0</v>
      </c>
      <c r="J185" s="99">
        <f>'Cuota Industrial'!G147</f>
        <v>1456.2249999999999</v>
      </c>
      <c r="K185" s="99">
        <f>'Cuota Industrial'!H147</f>
        <v>1345.0909999999999</v>
      </c>
      <c r="L185" s="99">
        <f>'Cuota Industrial'!I147</f>
        <v>111.13400000000001</v>
      </c>
      <c r="M185" s="95">
        <f>'Cuota Industrial'!J147</f>
        <v>0.92368349671238992</v>
      </c>
      <c r="N185" s="110" t="s">
        <v>209</v>
      </c>
      <c r="O185" s="122">
        <v>43465</v>
      </c>
    </row>
    <row r="186" spans="1:15">
      <c r="A186" s="98" t="s">
        <v>170</v>
      </c>
      <c r="B186" s="99" t="s">
        <v>152</v>
      </c>
      <c r="C186" s="99" t="s">
        <v>102</v>
      </c>
      <c r="D186" s="99" t="s">
        <v>153</v>
      </c>
      <c r="E186" s="99" t="s">
        <v>165</v>
      </c>
      <c r="F186" s="99" t="s">
        <v>156</v>
      </c>
      <c r="G186" s="99" t="s">
        <v>157</v>
      </c>
      <c r="H186" s="99">
        <f>'Cuota Industrial'!E148</f>
        <v>29.710999999999999</v>
      </c>
      <c r="I186" s="99">
        <f>'Cuota Industrial'!F148</f>
        <v>0</v>
      </c>
      <c r="J186" s="99">
        <f>'Cuota Industrial'!G148</f>
        <v>140.84500000000003</v>
      </c>
      <c r="K186" s="99">
        <f>'Cuota Industrial'!H148</f>
        <v>0</v>
      </c>
      <c r="L186" s="99">
        <f>'Cuota Industrial'!I148</f>
        <v>140.84500000000003</v>
      </c>
      <c r="M186" s="95">
        <f>'Cuota Industrial'!J148</f>
        <v>0</v>
      </c>
      <c r="N186" s="110" t="s">
        <v>209</v>
      </c>
      <c r="O186" s="122">
        <v>43465</v>
      </c>
    </row>
    <row r="187" spans="1:15">
      <c r="A187" s="98" t="s">
        <v>170</v>
      </c>
      <c r="B187" s="99" t="s">
        <v>152</v>
      </c>
      <c r="C187" s="99" t="s">
        <v>102</v>
      </c>
      <c r="D187" s="99" t="s">
        <v>153</v>
      </c>
      <c r="E187" s="99" t="s">
        <v>165</v>
      </c>
      <c r="F187" s="99" t="s">
        <v>154</v>
      </c>
      <c r="G187" s="99" t="s">
        <v>157</v>
      </c>
      <c r="H187" s="99">
        <f>'Cuota Industrial'!K147</f>
        <v>1485.9359999999999</v>
      </c>
      <c r="I187" s="99">
        <f>'Cuota Industrial'!L147</f>
        <v>0</v>
      </c>
      <c r="J187" s="99">
        <f>'Cuota Industrial'!M147</f>
        <v>1485.9359999999999</v>
      </c>
      <c r="K187" s="99">
        <f>'Cuota Industrial'!N147</f>
        <v>1345.0909999999999</v>
      </c>
      <c r="L187" s="99">
        <f>'Cuota Industrial'!O147</f>
        <v>140.84500000000003</v>
      </c>
      <c r="M187" s="95">
        <f>'Cuota Industrial'!P147</f>
        <v>0.90521462566355482</v>
      </c>
      <c r="N187" s="110" t="s">
        <v>209</v>
      </c>
      <c r="O187" s="122">
        <v>43465</v>
      </c>
    </row>
    <row r="188" spans="1:15">
      <c r="A188" s="98" t="s">
        <v>170</v>
      </c>
      <c r="B188" s="99" t="s">
        <v>152</v>
      </c>
      <c r="C188" s="99" t="s">
        <v>102</v>
      </c>
      <c r="D188" s="99" t="s">
        <v>153</v>
      </c>
      <c r="E188" s="99" t="s">
        <v>224</v>
      </c>
      <c r="F188" s="99" t="s">
        <v>154</v>
      </c>
      <c r="G188" s="97" t="s">
        <v>155</v>
      </c>
      <c r="H188" s="99">
        <f>'Cuota Industrial'!E149</f>
        <v>2620.4160000000002</v>
      </c>
      <c r="I188" s="99">
        <f>'Cuota Industrial'!F149</f>
        <v>-113</v>
      </c>
      <c r="J188" s="99">
        <f>'Cuota Industrial'!G149</f>
        <v>2507.4160000000002</v>
      </c>
      <c r="K188" s="99">
        <f>'Cuota Industrial'!H149</f>
        <v>2559.953</v>
      </c>
      <c r="L188" s="99">
        <f>'Cuota Industrial'!I149</f>
        <v>-52.536999999999807</v>
      </c>
      <c r="M188" s="95">
        <f>'Cuota Industrial'!J149</f>
        <v>1.0209526460706959</v>
      </c>
      <c r="N188" s="110" t="s">
        <v>209</v>
      </c>
      <c r="O188" s="122">
        <v>43465</v>
      </c>
    </row>
    <row r="189" spans="1:15">
      <c r="A189" s="98" t="s">
        <v>170</v>
      </c>
      <c r="B189" s="99" t="s">
        <v>152</v>
      </c>
      <c r="C189" s="99" t="s">
        <v>102</v>
      </c>
      <c r="D189" s="99" t="s">
        <v>153</v>
      </c>
      <c r="E189" s="99" t="s">
        <v>224</v>
      </c>
      <c r="F189" s="99" t="s">
        <v>156</v>
      </c>
      <c r="G189" s="99" t="s">
        <v>157</v>
      </c>
      <c r="H189" s="99">
        <f>'Cuota Industrial'!E150</f>
        <v>53.463000000000001</v>
      </c>
      <c r="I189" s="99">
        <f>'Cuota Industrial'!F150</f>
        <v>0</v>
      </c>
      <c r="J189" s="99">
        <f>'Cuota Industrial'!G150</f>
        <v>0.92600000000019378</v>
      </c>
      <c r="K189" s="99">
        <f>'Cuota Industrial'!H150</f>
        <v>0</v>
      </c>
      <c r="L189" s="99">
        <f>'Cuota Industrial'!I150</f>
        <v>0.92600000000019378</v>
      </c>
      <c r="M189" s="95">
        <f>'Cuota Industrial'!J150</f>
        <v>0</v>
      </c>
      <c r="N189" s="110" t="s">
        <v>209</v>
      </c>
      <c r="O189" s="122">
        <v>43465</v>
      </c>
    </row>
    <row r="190" spans="1:15">
      <c r="A190" s="98" t="s">
        <v>170</v>
      </c>
      <c r="B190" s="99" t="s">
        <v>152</v>
      </c>
      <c r="C190" s="99" t="s">
        <v>102</v>
      </c>
      <c r="D190" s="99" t="s">
        <v>153</v>
      </c>
      <c r="E190" s="99" t="s">
        <v>224</v>
      </c>
      <c r="F190" s="99" t="s">
        <v>154</v>
      </c>
      <c r="G190" s="99" t="s">
        <v>157</v>
      </c>
      <c r="H190" s="99">
        <f>'Cuota Industrial'!K149</f>
        <v>2673.8790000000004</v>
      </c>
      <c r="I190" s="99">
        <f>'Cuota Industrial'!L149</f>
        <v>-113</v>
      </c>
      <c r="J190" s="99">
        <f>'Cuota Industrial'!M149</f>
        <v>2560.8790000000004</v>
      </c>
      <c r="K190" s="99">
        <f>'Cuota Industrial'!N149</f>
        <v>2559.953</v>
      </c>
      <c r="L190" s="99">
        <f>'Cuota Industrial'!O149</f>
        <v>0.92600000000038563</v>
      </c>
      <c r="M190" s="95">
        <f>'Cuota Industrial'!P149</f>
        <v>0.9996384054068933</v>
      </c>
      <c r="N190" s="110" t="s">
        <v>209</v>
      </c>
      <c r="O190" s="122">
        <v>43465</v>
      </c>
    </row>
    <row r="191" spans="1:15">
      <c r="A191" s="98" t="s">
        <v>170</v>
      </c>
      <c r="B191" s="99" t="s">
        <v>152</v>
      </c>
      <c r="C191" s="99" t="s">
        <v>102</v>
      </c>
      <c r="D191" s="99" t="s">
        <v>153</v>
      </c>
      <c r="E191" s="99" t="s">
        <v>111</v>
      </c>
      <c r="F191" s="99" t="s">
        <v>154</v>
      </c>
      <c r="G191" s="97" t="s">
        <v>155</v>
      </c>
      <c r="H191" s="99">
        <f>'Cuota Industrial'!E151</f>
        <v>577.26200000000006</v>
      </c>
      <c r="I191" s="99">
        <f>'Cuota Industrial'!F151</f>
        <v>-588.76199999999994</v>
      </c>
      <c r="J191" s="99">
        <f>'Cuota Industrial'!G151</f>
        <v>-11.499999999999886</v>
      </c>
      <c r="K191" s="99">
        <f>'Cuota Industrial'!H151</f>
        <v>0</v>
      </c>
      <c r="L191" s="99">
        <f>'Cuota Industrial'!I151</f>
        <v>-11.499999999999886</v>
      </c>
      <c r="M191" s="95">
        <f>'Cuota Industrial'!J151</f>
        <v>0</v>
      </c>
      <c r="N191" s="110" t="s">
        <v>209</v>
      </c>
      <c r="O191" s="122">
        <v>43465</v>
      </c>
    </row>
    <row r="192" spans="1:15">
      <c r="A192" s="98" t="s">
        <v>170</v>
      </c>
      <c r="B192" s="99" t="s">
        <v>152</v>
      </c>
      <c r="C192" s="99" t="s">
        <v>102</v>
      </c>
      <c r="D192" s="99" t="s">
        <v>153</v>
      </c>
      <c r="E192" s="99" t="s">
        <v>111</v>
      </c>
      <c r="F192" s="99" t="s">
        <v>156</v>
      </c>
      <c r="G192" s="99" t="s">
        <v>157</v>
      </c>
      <c r="H192" s="99">
        <f>'Cuota Industrial'!E152</f>
        <v>11.778</v>
      </c>
      <c r="I192" s="99">
        <f>'Cuota Industrial'!F152</f>
        <v>0</v>
      </c>
      <c r="J192" s="99">
        <f>'Cuota Industrial'!G152</f>
        <v>0.27800000000011416</v>
      </c>
      <c r="K192" s="99">
        <f>'Cuota Industrial'!H152</f>
        <v>0</v>
      </c>
      <c r="L192" s="99">
        <f>'Cuota Industrial'!I152</f>
        <v>0.27800000000011416</v>
      </c>
      <c r="M192" s="95">
        <f>'Cuota Industrial'!J152</f>
        <v>0</v>
      </c>
      <c r="N192" s="110" t="s">
        <v>209</v>
      </c>
      <c r="O192" s="122">
        <v>43465</v>
      </c>
    </row>
    <row r="193" spans="1:15">
      <c r="A193" s="98" t="s">
        <v>170</v>
      </c>
      <c r="B193" s="99" t="s">
        <v>152</v>
      </c>
      <c r="C193" s="99" t="s">
        <v>102</v>
      </c>
      <c r="D193" s="99" t="s">
        <v>153</v>
      </c>
      <c r="E193" s="99" t="s">
        <v>111</v>
      </c>
      <c r="F193" s="99" t="s">
        <v>154</v>
      </c>
      <c r="G193" s="99" t="s">
        <v>157</v>
      </c>
      <c r="H193" s="99">
        <f>'Cuota Industrial'!K151</f>
        <v>589.04000000000008</v>
      </c>
      <c r="I193" s="99">
        <f>'Cuota Industrial'!L151</f>
        <v>-588.76199999999994</v>
      </c>
      <c r="J193" s="99">
        <f>'Cuota Industrial'!M151</f>
        <v>0.2780000000001337</v>
      </c>
      <c r="K193" s="99">
        <f>'Cuota Industrial'!N151</f>
        <v>0</v>
      </c>
      <c r="L193" s="99">
        <f>'Cuota Industrial'!O151</f>
        <v>0.2780000000001337</v>
      </c>
      <c r="M193" s="95">
        <f>'Cuota Industrial'!P151</f>
        <v>0</v>
      </c>
      <c r="N193" s="110" t="s">
        <v>209</v>
      </c>
      <c r="O193" s="122">
        <v>43465</v>
      </c>
    </row>
    <row r="194" spans="1:15">
      <c r="A194" s="98" t="s">
        <v>170</v>
      </c>
      <c r="B194" s="99" t="s">
        <v>152</v>
      </c>
      <c r="C194" s="99" t="s">
        <v>102</v>
      </c>
      <c r="D194" s="99" t="s">
        <v>153</v>
      </c>
      <c r="E194" s="99" t="s">
        <v>220</v>
      </c>
      <c r="F194" s="99" t="s">
        <v>154</v>
      </c>
      <c r="G194" s="97" t="s">
        <v>155</v>
      </c>
      <c r="H194" s="99">
        <f>'Cuota Industrial'!E153</f>
        <v>1781.1840000000002</v>
      </c>
      <c r="I194" s="99">
        <f>'Cuota Industrial'!F153</f>
        <v>387.36399999999981</v>
      </c>
      <c r="J194" s="99">
        <f>'Cuota Industrial'!G153</f>
        <v>2168.5479999999998</v>
      </c>
      <c r="K194" s="99">
        <f>'Cuota Industrial'!H153</f>
        <v>2190.38</v>
      </c>
      <c r="L194" s="99">
        <f>'Cuota Industrial'!I153</f>
        <v>-21.832000000000335</v>
      </c>
      <c r="M194" s="95">
        <f>'Cuota Industrial'!J153</f>
        <v>1.010067565947353</v>
      </c>
      <c r="N194" s="110" t="s">
        <v>209</v>
      </c>
      <c r="O194" s="122">
        <v>43465</v>
      </c>
    </row>
    <row r="195" spans="1:15">
      <c r="A195" s="98" t="s">
        <v>170</v>
      </c>
      <c r="B195" s="99" t="s">
        <v>152</v>
      </c>
      <c r="C195" s="99" t="s">
        <v>102</v>
      </c>
      <c r="D195" s="99" t="s">
        <v>153</v>
      </c>
      <c r="E195" s="99" t="s">
        <v>220</v>
      </c>
      <c r="F195" s="99" t="s">
        <v>156</v>
      </c>
      <c r="G195" s="99" t="s">
        <v>157</v>
      </c>
      <c r="H195" s="99">
        <f>'Cuota Industrial'!E154</f>
        <v>36.340000000000003</v>
      </c>
      <c r="I195" s="99">
        <f>'Cuota Industrial'!F154</f>
        <v>0</v>
      </c>
      <c r="J195" s="99">
        <f>'Cuota Industrial'!G154</f>
        <v>14.507999999999669</v>
      </c>
      <c r="K195" s="99">
        <f>'Cuota Industrial'!H154</f>
        <v>0</v>
      </c>
      <c r="L195" s="99">
        <f>'Cuota Industrial'!I154</f>
        <v>14.507999999999669</v>
      </c>
      <c r="M195" s="95">
        <f>'Cuota Industrial'!J154</f>
        <v>0</v>
      </c>
      <c r="N195" s="110" t="s">
        <v>209</v>
      </c>
      <c r="O195" s="122">
        <v>43465</v>
      </c>
    </row>
    <row r="196" spans="1:15">
      <c r="A196" s="98" t="s">
        <v>170</v>
      </c>
      <c r="B196" s="99" t="s">
        <v>152</v>
      </c>
      <c r="C196" s="99" t="s">
        <v>102</v>
      </c>
      <c r="D196" s="99" t="s">
        <v>153</v>
      </c>
      <c r="E196" s="99" t="s">
        <v>220</v>
      </c>
      <c r="F196" s="99" t="s">
        <v>154</v>
      </c>
      <c r="G196" s="99" t="s">
        <v>157</v>
      </c>
      <c r="H196" s="99">
        <f>'Cuota Industrial'!K153</f>
        <v>1817.5240000000001</v>
      </c>
      <c r="I196" s="99">
        <f>'Cuota Industrial'!L153</f>
        <v>387.36399999999981</v>
      </c>
      <c r="J196" s="99">
        <f>'Cuota Industrial'!M153</f>
        <v>2204.8879999999999</v>
      </c>
      <c r="K196" s="99">
        <f>'Cuota Industrial'!N153</f>
        <v>2190.38</v>
      </c>
      <c r="L196" s="99">
        <f>'Cuota Industrial'!O153</f>
        <v>14.507999999999811</v>
      </c>
      <c r="M196" s="95">
        <f>'Cuota Industrial'!P153</f>
        <v>0.99342007394479914</v>
      </c>
      <c r="N196" s="110" t="s">
        <v>209</v>
      </c>
      <c r="O196" s="122">
        <v>43465</v>
      </c>
    </row>
    <row r="197" spans="1:15">
      <c r="A197" s="98" t="s">
        <v>170</v>
      </c>
      <c r="B197" s="99" t="s">
        <v>152</v>
      </c>
      <c r="C197" s="99" t="s">
        <v>102</v>
      </c>
      <c r="D197" s="99" t="s">
        <v>153</v>
      </c>
      <c r="E197" s="99" t="s">
        <v>226</v>
      </c>
      <c r="F197" s="99" t="s">
        <v>154</v>
      </c>
      <c r="G197" s="97" t="s">
        <v>155</v>
      </c>
      <c r="H197" s="99">
        <f>'Cuota Industrial'!E155</f>
        <v>1312.5239999999999</v>
      </c>
      <c r="I197" s="99">
        <f>'Cuota Industrial'!F155</f>
        <v>-91.739000000000004</v>
      </c>
      <c r="J197" s="99">
        <f>'Cuota Industrial'!G155</f>
        <v>1220.7849999999999</v>
      </c>
      <c r="K197" s="99">
        <f>'Cuota Industrial'!H155</f>
        <v>1237.5640000000001</v>
      </c>
      <c r="L197" s="99">
        <f>'Cuota Industrial'!I155</f>
        <v>-16.779000000000224</v>
      </c>
      <c r="M197" s="95">
        <f>'Cuota Industrial'!J155</f>
        <v>1.0137444349332603</v>
      </c>
      <c r="N197" s="110" t="s">
        <v>209</v>
      </c>
      <c r="O197" s="122">
        <v>43465</v>
      </c>
    </row>
    <row r="198" spans="1:15">
      <c r="A198" s="98" t="s">
        <v>170</v>
      </c>
      <c r="B198" s="99" t="s">
        <v>152</v>
      </c>
      <c r="C198" s="99" t="s">
        <v>102</v>
      </c>
      <c r="D198" s="99" t="s">
        <v>153</v>
      </c>
      <c r="E198" s="99" t="s">
        <v>226</v>
      </c>
      <c r="F198" s="99" t="s">
        <v>156</v>
      </c>
      <c r="G198" s="99" t="s">
        <v>157</v>
      </c>
      <c r="H198" s="99">
        <f>'Cuota Industrial'!E156</f>
        <v>26.779</v>
      </c>
      <c r="I198" s="99">
        <f>'Cuota Industrial'!F156</f>
        <v>0</v>
      </c>
      <c r="J198" s="99">
        <f>'Cuota Industrial'!G156</f>
        <v>9.9999999999997762</v>
      </c>
      <c r="K198" s="99">
        <f>'Cuota Industrial'!H156</f>
        <v>0</v>
      </c>
      <c r="L198" s="99">
        <f>'Cuota Industrial'!I156</f>
        <v>9.9999999999997762</v>
      </c>
      <c r="M198" s="95">
        <f>'Cuota Industrial'!J156</f>
        <v>0</v>
      </c>
      <c r="N198" s="110" t="s">
        <v>209</v>
      </c>
      <c r="O198" s="122">
        <v>43465</v>
      </c>
    </row>
    <row r="199" spans="1:15">
      <c r="A199" s="98" t="s">
        <v>170</v>
      </c>
      <c r="B199" s="99" t="s">
        <v>152</v>
      </c>
      <c r="C199" s="99" t="s">
        <v>102</v>
      </c>
      <c r="D199" s="99" t="s">
        <v>153</v>
      </c>
      <c r="E199" s="99" t="s">
        <v>226</v>
      </c>
      <c r="F199" s="99" t="s">
        <v>154</v>
      </c>
      <c r="G199" s="99" t="s">
        <v>157</v>
      </c>
      <c r="H199" s="99">
        <f>'Cuota Industrial'!K155</f>
        <v>1339.3029999999999</v>
      </c>
      <c r="I199" s="99">
        <f>'Cuota Industrial'!L155</f>
        <v>-91.739000000000004</v>
      </c>
      <c r="J199" s="99">
        <f>'Cuota Industrial'!M155</f>
        <v>1247.5639999999999</v>
      </c>
      <c r="K199" s="99">
        <f>'Cuota Industrial'!N155</f>
        <v>1237.5640000000001</v>
      </c>
      <c r="L199" s="99">
        <f>'Cuota Industrial'!O155</f>
        <v>9.9999999999997726</v>
      </c>
      <c r="M199" s="95">
        <f>'Cuota Industrial'!P155</f>
        <v>0.99198437915810345</v>
      </c>
      <c r="N199" s="110" t="s">
        <v>209</v>
      </c>
      <c r="O199" s="122">
        <v>43465</v>
      </c>
    </row>
    <row r="200" spans="1:15">
      <c r="A200" s="146" t="s">
        <v>170</v>
      </c>
      <c r="B200" s="99" t="s">
        <v>152</v>
      </c>
      <c r="C200" s="99" t="s">
        <v>102</v>
      </c>
      <c r="D200" s="99" t="s">
        <v>153</v>
      </c>
      <c r="E200" s="99" t="s">
        <v>215</v>
      </c>
      <c r="F200" s="99" t="s">
        <v>154</v>
      </c>
      <c r="G200" s="97" t="s">
        <v>155</v>
      </c>
      <c r="H200" s="99">
        <f>'Cuota Industrial'!E157</f>
        <v>7499.9220000000005</v>
      </c>
      <c r="I200" s="99">
        <f>'Cuota Industrial'!F157</f>
        <v>5478.1450000000041</v>
      </c>
      <c r="J200" s="99">
        <f>'Cuota Industrial'!G157</f>
        <v>12978.067000000005</v>
      </c>
      <c r="K200" s="99">
        <f>'Cuota Industrial'!H157</f>
        <v>12709.847</v>
      </c>
      <c r="L200" s="99">
        <f>'Cuota Industrial'!I157</f>
        <v>268.2200000000048</v>
      </c>
      <c r="M200" s="95">
        <f>'Cuota Industrial'!J157</f>
        <v>0.97933282360154217</v>
      </c>
      <c r="N200" s="110" t="s">
        <v>209</v>
      </c>
      <c r="O200" s="122">
        <v>43465</v>
      </c>
    </row>
    <row r="201" spans="1:15">
      <c r="A201" s="146" t="s">
        <v>170</v>
      </c>
      <c r="B201" s="99" t="s">
        <v>152</v>
      </c>
      <c r="C201" s="99" t="s">
        <v>102</v>
      </c>
      <c r="D201" s="99" t="s">
        <v>153</v>
      </c>
      <c r="E201" s="99" t="s">
        <v>215</v>
      </c>
      <c r="F201" s="99" t="s">
        <v>156</v>
      </c>
      <c r="G201" s="99" t="s">
        <v>157</v>
      </c>
      <c r="H201" s="99">
        <f>'Cuota Industrial'!E158</f>
        <v>153.017</v>
      </c>
      <c r="I201" s="99">
        <f>'Cuota Industrial'!F158</f>
        <v>0</v>
      </c>
      <c r="J201" s="99">
        <f>'Cuota Industrial'!G158</f>
        <v>421.2370000000048</v>
      </c>
      <c r="K201" s="99">
        <f>'Cuota Industrial'!H158</f>
        <v>0</v>
      </c>
      <c r="L201" s="99">
        <f>'Cuota Industrial'!I158</f>
        <v>421.2370000000048</v>
      </c>
      <c r="M201" s="95">
        <f>'Cuota Industrial'!J158</f>
        <v>0</v>
      </c>
      <c r="N201" s="110" t="s">
        <v>209</v>
      </c>
      <c r="O201" s="122">
        <v>43465</v>
      </c>
    </row>
    <row r="202" spans="1:15">
      <c r="A202" s="146" t="s">
        <v>170</v>
      </c>
      <c r="B202" s="99" t="s">
        <v>152</v>
      </c>
      <c r="C202" s="99" t="s">
        <v>102</v>
      </c>
      <c r="D202" s="99" t="s">
        <v>153</v>
      </c>
      <c r="E202" s="99" t="s">
        <v>215</v>
      </c>
      <c r="F202" s="99" t="s">
        <v>154</v>
      </c>
      <c r="G202" s="99" t="s">
        <v>157</v>
      </c>
      <c r="H202" s="99">
        <f>'Cuota Industrial'!K157</f>
        <v>7652.9390000000003</v>
      </c>
      <c r="I202" s="99">
        <f>'Cuota Industrial'!L157</f>
        <v>5478.1450000000041</v>
      </c>
      <c r="J202" s="99">
        <f>'Cuota Industrial'!M157</f>
        <v>13131.084000000004</v>
      </c>
      <c r="K202" s="99">
        <f>'Cuota Industrial'!N157</f>
        <v>12709.847</v>
      </c>
      <c r="L202" s="99">
        <f>'Cuota Industrial'!O157</f>
        <v>421.23700000000463</v>
      </c>
      <c r="M202" s="95">
        <f>'Cuota Industrial'!P157</f>
        <v>0.96792062254723188</v>
      </c>
      <c r="N202" s="110" t="s">
        <v>209</v>
      </c>
      <c r="O202" s="122">
        <v>43465</v>
      </c>
    </row>
    <row r="203" spans="1:15">
      <c r="A203" s="98" t="s">
        <v>170</v>
      </c>
      <c r="B203" s="99" t="s">
        <v>152</v>
      </c>
      <c r="C203" s="99" t="s">
        <v>102</v>
      </c>
      <c r="D203" s="99" t="s">
        <v>153</v>
      </c>
      <c r="E203" s="99" t="s">
        <v>230</v>
      </c>
      <c r="F203" s="99" t="s">
        <v>154</v>
      </c>
      <c r="G203" s="97" t="s">
        <v>155</v>
      </c>
      <c r="H203" s="99">
        <f>'Cuota Industrial'!E159</f>
        <v>60.295000000000002</v>
      </c>
      <c r="I203" s="99">
        <f>'Cuota Industrial'!F159</f>
        <v>-61.524999999999999</v>
      </c>
      <c r="J203" s="99">
        <f>'Cuota Industrial'!G159</f>
        <v>-1.2299999999999969</v>
      </c>
      <c r="K203" s="99">
        <f>'Cuota Industrial'!H159</f>
        <v>0</v>
      </c>
      <c r="L203" s="99">
        <f>'Cuota Industrial'!I159</f>
        <v>-1.2299999999999969</v>
      </c>
      <c r="M203" s="95">
        <f>'Cuota Industrial'!J159</f>
        <v>0</v>
      </c>
      <c r="N203" s="110" t="s">
        <v>209</v>
      </c>
      <c r="O203" s="122">
        <v>43465</v>
      </c>
    </row>
    <row r="204" spans="1:15">
      <c r="A204" s="98" t="s">
        <v>170</v>
      </c>
      <c r="B204" s="99" t="s">
        <v>152</v>
      </c>
      <c r="C204" s="99" t="s">
        <v>102</v>
      </c>
      <c r="D204" s="99" t="s">
        <v>153</v>
      </c>
      <c r="E204" s="99" t="s">
        <v>230</v>
      </c>
      <c r="F204" s="99" t="s">
        <v>156</v>
      </c>
      <c r="G204" s="99" t="s">
        <v>157</v>
      </c>
      <c r="H204" s="99">
        <f>'Cuota Industrial'!E160</f>
        <v>1.23</v>
      </c>
      <c r="I204" s="99">
        <f>'Cuota Industrial'!F160</f>
        <v>0</v>
      </c>
      <c r="J204" s="99">
        <f>'Cuota Industrial'!G160</f>
        <v>0</v>
      </c>
      <c r="K204" s="99">
        <f>'Cuota Industrial'!H160</f>
        <v>0</v>
      </c>
      <c r="L204" s="99">
        <f>'Cuota Industrial'!I160</f>
        <v>0</v>
      </c>
      <c r="M204" s="95">
        <f>'Cuota Industrial'!J160</f>
        <v>0</v>
      </c>
      <c r="N204" s="110" t="s">
        <v>209</v>
      </c>
      <c r="O204" s="122">
        <v>43465</v>
      </c>
    </row>
    <row r="205" spans="1:15">
      <c r="A205" s="98" t="s">
        <v>170</v>
      </c>
      <c r="B205" s="99" t="s">
        <v>152</v>
      </c>
      <c r="C205" s="99" t="s">
        <v>102</v>
      </c>
      <c r="D205" s="99" t="s">
        <v>153</v>
      </c>
      <c r="E205" s="99" t="s">
        <v>230</v>
      </c>
      <c r="F205" s="99" t="s">
        <v>154</v>
      </c>
      <c r="G205" s="99" t="s">
        <v>157</v>
      </c>
      <c r="H205" s="99">
        <f>'Cuota Industrial'!K159</f>
        <v>61.524999999999999</v>
      </c>
      <c r="I205" s="99">
        <f>'Cuota Industrial'!L159</f>
        <v>-61.524999999999999</v>
      </c>
      <c r="J205" s="99">
        <f>'Cuota Industrial'!M159</f>
        <v>0</v>
      </c>
      <c r="K205" s="99">
        <f>'Cuota Industrial'!N159</f>
        <v>0</v>
      </c>
      <c r="L205" s="99">
        <f>'Cuota Industrial'!O159</f>
        <v>0</v>
      </c>
      <c r="M205" s="95">
        <f>'Cuota Industrial'!P159</f>
        <v>0</v>
      </c>
      <c r="N205" s="110" t="s">
        <v>209</v>
      </c>
      <c r="O205" s="122">
        <v>43465</v>
      </c>
    </row>
    <row r="206" spans="1:15">
      <c r="A206" s="98" t="s">
        <v>170</v>
      </c>
      <c r="B206" s="99" t="s">
        <v>152</v>
      </c>
      <c r="C206" s="99" t="s">
        <v>102</v>
      </c>
      <c r="D206" s="99" t="s">
        <v>153</v>
      </c>
      <c r="E206" s="99" t="s">
        <v>231</v>
      </c>
      <c r="F206" s="99" t="s">
        <v>154</v>
      </c>
      <c r="G206" s="97" t="s">
        <v>155</v>
      </c>
      <c r="H206" s="99">
        <f>'Cuota Industrial'!E161</f>
        <v>53.82</v>
      </c>
      <c r="I206" s="99">
        <f>'Cuota Industrial'!F161</f>
        <v>0</v>
      </c>
      <c r="J206" s="99">
        <f>'Cuota Industrial'!G161</f>
        <v>53.82</v>
      </c>
      <c r="K206" s="99">
        <f>'Cuota Industrial'!H161</f>
        <v>0</v>
      </c>
      <c r="L206" s="99">
        <f>'Cuota Industrial'!I161</f>
        <v>53.82</v>
      </c>
      <c r="M206" s="95">
        <f>'Cuota Industrial'!J161</f>
        <v>0</v>
      </c>
      <c r="N206" s="110" t="s">
        <v>209</v>
      </c>
      <c r="O206" s="122">
        <v>43465</v>
      </c>
    </row>
    <row r="207" spans="1:15">
      <c r="A207" s="98" t="s">
        <v>170</v>
      </c>
      <c r="B207" s="99" t="s">
        <v>152</v>
      </c>
      <c r="C207" s="99" t="s">
        <v>102</v>
      </c>
      <c r="D207" s="99" t="s">
        <v>153</v>
      </c>
      <c r="E207" s="99" t="s">
        <v>231</v>
      </c>
      <c r="F207" s="99" t="s">
        <v>156</v>
      </c>
      <c r="G207" s="99" t="s">
        <v>157</v>
      </c>
      <c r="H207" s="99">
        <f>'Cuota Industrial'!E162</f>
        <v>1.0980000000000001</v>
      </c>
      <c r="I207" s="99">
        <f>'Cuota Industrial'!F162</f>
        <v>0</v>
      </c>
      <c r="J207" s="99">
        <f>'Cuota Industrial'!G162</f>
        <v>54.917999999999999</v>
      </c>
      <c r="K207" s="99">
        <f>'Cuota Industrial'!H162</f>
        <v>0</v>
      </c>
      <c r="L207" s="99">
        <f>'Cuota Industrial'!I162</f>
        <v>54.917999999999999</v>
      </c>
      <c r="M207" s="95">
        <f>'Cuota Industrial'!J162</f>
        <v>0</v>
      </c>
      <c r="N207" s="110" t="s">
        <v>209</v>
      </c>
      <c r="O207" s="122">
        <v>43465</v>
      </c>
    </row>
    <row r="208" spans="1:15">
      <c r="A208" s="98" t="s">
        <v>170</v>
      </c>
      <c r="B208" s="99" t="s">
        <v>152</v>
      </c>
      <c r="C208" s="99" t="s">
        <v>102</v>
      </c>
      <c r="D208" s="99" t="s">
        <v>153</v>
      </c>
      <c r="E208" s="99" t="s">
        <v>231</v>
      </c>
      <c r="F208" s="99" t="s">
        <v>154</v>
      </c>
      <c r="G208" s="99" t="s">
        <v>157</v>
      </c>
      <c r="H208" s="99">
        <f>'Cuota Industrial'!K161</f>
        <v>54.917999999999999</v>
      </c>
      <c r="I208" s="99">
        <f>'Cuota Industrial'!L161</f>
        <v>0</v>
      </c>
      <c r="J208" s="99">
        <f>'Cuota Industrial'!M161</f>
        <v>54.917999999999999</v>
      </c>
      <c r="K208" s="99">
        <f>'Cuota Industrial'!N161</f>
        <v>0</v>
      </c>
      <c r="L208" s="99">
        <f>'Cuota Industrial'!O161</f>
        <v>54.917999999999999</v>
      </c>
      <c r="M208" s="95">
        <f>'Cuota Industrial'!P161</f>
        <v>0</v>
      </c>
      <c r="N208" s="110" t="s">
        <v>209</v>
      </c>
      <c r="O208" s="122">
        <v>43465</v>
      </c>
    </row>
    <row r="209" spans="1:15">
      <c r="A209" s="98" t="s">
        <v>170</v>
      </c>
      <c r="B209" s="99" t="s">
        <v>152</v>
      </c>
      <c r="C209" s="99" t="s">
        <v>102</v>
      </c>
      <c r="D209" s="99" t="s">
        <v>153</v>
      </c>
      <c r="E209" s="99" t="s">
        <v>16</v>
      </c>
      <c r="F209" s="99" t="s">
        <v>154</v>
      </c>
      <c r="G209" s="97" t="s">
        <v>155</v>
      </c>
      <c r="H209" s="99">
        <f>'Cuota Industrial'!E163</f>
        <v>96.165999999999997</v>
      </c>
      <c r="I209" s="99">
        <f>'Cuota Industrial'!F163</f>
        <v>-98.128</v>
      </c>
      <c r="J209" s="99">
        <f>'Cuota Industrial'!G163</f>
        <v>-1.9620000000000033</v>
      </c>
      <c r="K209" s="99">
        <f>'Cuota Industrial'!H163</f>
        <v>0</v>
      </c>
      <c r="L209" s="99">
        <f>'Cuota Industrial'!I163</f>
        <v>-1.9620000000000033</v>
      </c>
      <c r="M209" s="95">
        <f>'Cuota Industrial'!J163</f>
        <v>0</v>
      </c>
      <c r="N209" s="110" t="s">
        <v>209</v>
      </c>
      <c r="O209" s="122">
        <v>43465</v>
      </c>
    </row>
    <row r="210" spans="1:15">
      <c r="A210" s="98" t="s">
        <v>170</v>
      </c>
      <c r="B210" s="99" t="s">
        <v>152</v>
      </c>
      <c r="C210" s="99" t="s">
        <v>102</v>
      </c>
      <c r="D210" s="99" t="s">
        <v>153</v>
      </c>
      <c r="E210" s="99" t="s">
        <v>16</v>
      </c>
      <c r="F210" s="99" t="s">
        <v>156</v>
      </c>
      <c r="G210" s="99" t="s">
        <v>157</v>
      </c>
      <c r="H210" s="99">
        <f>'Cuota Industrial'!E164</f>
        <v>1.962</v>
      </c>
      <c r="I210" s="99">
        <f>'Cuota Industrial'!F164</f>
        <v>0</v>
      </c>
      <c r="J210" s="99">
        <f>'Cuota Industrial'!G164</f>
        <v>0</v>
      </c>
      <c r="K210" s="99">
        <f>'Cuota Industrial'!H164</f>
        <v>0</v>
      </c>
      <c r="L210" s="99">
        <f>'Cuota Industrial'!I164</f>
        <v>0</v>
      </c>
      <c r="M210" s="95">
        <f>'Cuota Industrial'!J164</f>
        <v>0</v>
      </c>
      <c r="N210" s="110" t="s">
        <v>209</v>
      </c>
      <c r="O210" s="122">
        <v>43465</v>
      </c>
    </row>
    <row r="211" spans="1:15">
      <c r="A211" s="98" t="s">
        <v>170</v>
      </c>
      <c r="B211" s="99" t="s">
        <v>152</v>
      </c>
      <c r="C211" s="99" t="s">
        <v>102</v>
      </c>
      <c r="D211" s="99" t="s">
        <v>153</v>
      </c>
      <c r="E211" s="99" t="s">
        <v>16</v>
      </c>
      <c r="F211" s="99" t="s">
        <v>154</v>
      </c>
      <c r="G211" s="99" t="s">
        <v>157</v>
      </c>
      <c r="H211" s="99">
        <f>'Cuota Industrial'!K163</f>
        <v>98.128</v>
      </c>
      <c r="I211" s="99">
        <f>'Cuota Industrial'!L163</f>
        <v>-98.128</v>
      </c>
      <c r="J211" s="99">
        <f>'Cuota Industrial'!M163</f>
        <v>0</v>
      </c>
      <c r="K211" s="99">
        <f>'Cuota Industrial'!N163</f>
        <v>0</v>
      </c>
      <c r="L211" s="99">
        <f>'Cuota Industrial'!O163</f>
        <v>0</v>
      </c>
      <c r="M211" s="95">
        <f>'Cuota Industrial'!P163</f>
        <v>0</v>
      </c>
      <c r="N211" s="110" t="s">
        <v>209</v>
      </c>
      <c r="O211" s="122">
        <v>43465</v>
      </c>
    </row>
    <row r="212" spans="1:15">
      <c r="A212" s="98" t="s">
        <v>170</v>
      </c>
      <c r="B212" s="99" t="s">
        <v>152</v>
      </c>
      <c r="C212" s="99" t="s">
        <v>102</v>
      </c>
      <c r="D212" s="99" t="s">
        <v>153</v>
      </c>
      <c r="E212" s="99" t="s">
        <v>166</v>
      </c>
      <c r="F212" s="99" t="s">
        <v>154</v>
      </c>
      <c r="G212" s="97" t="s">
        <v>155</v>
      </c>
      <c r="H212" s="99">
        <f>'Cuota Industrial'!E165</f>
        <v>576.99099999999999</v>
      </c>
      <c r="I212" s="99">
        <f>'Cuota Industrial'!F165</f>
        <v>-588.76299999999992</v>
      </c>
      <c r="J212" s="99">
        <f>'Cuota Industrial'!G165</f>
        <v>-11.771999999999935</v>
      </c>
      <c r="K212" s="99">
        <f>'Cuota Industrial'!H165</f>
        <v>0</v>
      </c>
      <c r="L212" s="99">
        <f>'Cuota Industrial'!I165</f>
        <v>-11.771999999999935</v>
      </c>
      <c r="M212" s="95">
        <f>'Cuota Industrial'!J165</f>
        <v>0</v>
      </c>
      <c r="N212" s="110" t="s">
        <v>209</v>
      </c>
      <c r="O212" s="122">
        <v>43465</v>
      </c>
    </row>
    <row r="213" spans="1:15">
      <c r="A213" s="98" t="s">
        <v>170</v>
      </c>
      <c r="B213" s="99" t="s">
        <v>152</v>
      </c>
      <c r="C213" s="99" t="s">
        <v>102</v>
      </c>
      <c r="D213" s="99" t="s">
        <v>153</v>
      </c>
      <c r="E213" s="99" t="s">
        <v>166</v>
      </c>
      <c r="F213" s="99" t="s">
        <v>156</v>
      </c>
      <c r="G213" s="99" t="s">
        <v>157</v>
      </c>
      <c r="H213" s="99">
        <f>'Cuota Industrial'!E166</f>
        <v>11.772</v>
      </c>
      <c r="I213" s="99">
        <f>'Cuota Industrial'!F166</f>
        <v>0</v>
      </c>
      <c r="J213" s="99">
        <f>'Cuota Industrial'!G166</f>
        <v>0</v>
      </c>
      <c r="K213" s="99">
        <f>'Cuota Industrial'!H166</f>
        <v>0</v>
      </c>
      <c r="L213" s="99">
        <f>'Cuota Industrial'!I166</f>
        <v>0</v>
      </c>
      <c r="M213" s="95">
        <f>'Cuota Industrial'!J166</f>
        <v>0</v>
      </c>
      <c r="N213" s="110" t="s">
        <v>209</v>
      </c>
      <c r="O213" s="122">
        <v>43465</v>
      </c>
    </row>
    <row r="214" spans="1:15">
      <c r="A214" s="98" t="s">
        <v>170</v>
      </c>
      <c r="B214" s="99" t="s">
        <v>152</v>
      </c>
      <c r="C214" s="99" t="s">
        <v>102</v>
      </c>
      <c r="D214" s="99" t="s">
        <v>153</v>
      </c>
      <c r="E214" s="99" t="s">
        <v>166</v>
      </c>
      <c r="F214" s="99" t="s">
        <v>154</v>
      </c>
      <c r="G214" s="99" t="s">
        <v>157</v>
      </c>
      <c r="H214" s="99">
        <f>'Cuota Industrial'!K165</f>
        <v>588.76300000000003</v>
      </c>
      <c r="I214" s="99">
        <f>'Cuota Industrial'!L165</f>
        <v>-588.76299999999992</v>
      </c>
      <c r="J214" s="99">
        <f>'Cuota Industrial'!M165</f>
        <v>0</v>
      </c>
      <c r="K214" s="99">
        <f>'Cuota Industrial'!N165</f>
        <v>0</v>
      </c>
      <c r="L214" s="99">
        <f>'Cuota Industrial'!O165</f>
        <v>0</v>
      </c>
      <c r="M214" s="95">
        <f>'Cuota Industrial'!P165</f>
        <v>0</v>
      </c>
      <c r="N214" s="110" t="s">
        <v>209</v>
      </c>
      <c r="O214" s="122">
        <v>43465</v>
      </c>
    </row>
    <row r="215" spans="1:15">
      <c r="A215" s="98" t="s">
        <v>170</v>
      </c>
      <c r="B215" s="99" t="s">
        <v>152</v>
      </c>
      <c r="C215" s="99" t="s">
        <v>102</v>
      </c>
      <c r="D215" s="99" t="s">
        <v>153</v>
      </c>
      <c r="E215" s="99" t="s">
        <v>40</v>
      </c>
      <c r="F215" s="99" t="s">
        <v>154</v>
      </c>
      <c r="G215" s="97" t="s">
        <v>155</v>
      </c>
      <c r="H215" s="99">
        <f>'Cuota Industrial'!E167</f>
        <v>288.495</v>
      </c>
      <c r="I215" s="99">
        <f>'Cuota Industrial'!F167</f>
        <v>-294.35399999999998</v>
      </c>
      <c r="J215" s="99">
        <f>'Cuota Industrial'!G167</f>
        <v>-5.8589999999999804</v>
      </c>
      <c r="K215" s="99">
        <f>'Cuota Industrial'!H167</f>
        <v>0</v>
      </c>
      <c r="L215" s="99">
        <f>'Cuota Industrial'!I167</f>
        <v>-5.8589999999999804</v>
      </c>
      <c r="M215" s="95">
        <f>'Cuota Industrial'!J167</f>
        <v>0</v>
      </c>
      <c r="N215" s="110" t="s">
        <v>209</v>
      </c>
      <c r="O215" s="122">
        <v>43465</v>
      </c>
    </row>
    <row r="216" spans="1:15">
      <c r="A216" s="98" t="s">
        <v>170</v>
      </c>
      <c r="B216" s="99" t="s">
        <v>152</v>
      </c>
      <c r="C216" s="99" t="s">
        <v>102</v>
      </c>
      <c r="D216" s="99" t="s">
        <v>153</v>
      </c>
      <c r="E216" s="99" t="s">
        <v>40</v>
      </c>
      <c r="F216" s="99" t="s">
        <v>156</v>
      </c>
      <c r="G216" s="99" t="s">
        <v>157</v>
      </c>
      <c r="H216" s="99">
        <f>'Cuota Industrial'!E168</f>
        <v>5.8860000000000001</v>
      </c>
      <c r="I216" s="99">
        <f>'Cuota Industrial'!F168</f>
        <v>0</v>
      </c>
      <c r="J216" s="99">
        <f>'Cuota Industrial'!G168</f>
        <v>2.7000000000019675E-2</v>
      </c>
      <c r="K216" s="99">
        <f>'Cuota Industrial'!H168</f>
        <v>0</v>
      </c>
      <c r="L216" s="99">
        <f>'Cuota Industrial'!I168</f>
        <v>2.7000000000019675E-2</v>
      </c>
      <c r="M216" s="95">
        <f>'Cuota Industrial'!J168</f>
        <v>0</v>
      </c>
      <c r="N216" s="110" t="s">
        <v>209</v>
      </c>
      <c r="O216" s="122">
        <v>43465</v>
      </c>
    </row>
    <row r="217" spans="1:15">
      <c r="A217" s="98" t="s">
        <v>170</v>
      </c>
      <c r="B217" s="99" t="s">
        <v>152</v>
      </c>
      <c r="C217" s="99" t="s">
        <v>102</v>
      </c>
      <c r="D217" s="99" t="s">
        <v>153</v>
      </c>
      <c r="E217" s="99" t="s">
        <v>40</v>
      </c>
      <c r="F217" s="99" t="s">
        <v>154</v>
      </c>
      <c r="G217" s="99" t="s">
        <v>157</v>
      </c>
      <c r="H217" s="99">
        <f>'Cuota Industrial'!K167</f>
        <v>294.38100000000003</v>
      </c>
      <c r="I217" s="99">
        <f>'Cuota Industrial'!L167</f>
        <v>-294.35399999999998</v>
      </c>
      <c r="J217" s="99">
        <f>'Cuota Industrial'!M167</f>
        <v>2.7000000000043656E-2</v>
      </c>
      <c r="K217" s="99">
        <f>'Cuota Industrial'!N167</f>
        <v>0</v>
      </c>
      <c r="L217" s="99">
        <f>'Cuota Industrial'!O167</f>
        <v>2.7000000000043656E-2</v>
      </c>
      <c r="M217" s="95">
        <f>'Cuota Industrial'!P167</f>
        <v>0</v>
      </c>
      <c r="N217" s="110" t="s">
        <v>209</v>
      </c>
      <c r="O217" s="122">
        <v>43465</v>
      </c>
    </row>
    <row r="218" spans="1:15">
      <c r="A218" s="98" t="s">
        <v>170</v>
      </c>
      <c r="B218" s="99" t="s">
        <v>152</v>
      </c>
      <c r="C218" s="99" t="s">
        <v>102</v>
      </c>
      <c r="D218" s="99" t="s">
        <v>153</v>
      </c>
      <c r="E218" s="99" t="s">
        <v>217</v>
      </c>
      <c r="F218" s="99" t="s">
        <v>154</v>
      </c>
      <c r="G218" s="97" t="s">
        <v>155</v>
      </c>
      <c r="H218" s="99">
        <f>'Cuota Industrial'!E169</f>
        <v>769.32</v>
      </c>
      <c r="I218" s="99">
        <f>'Cuota Industrial'!F169</f>
        <v>-785.01599999999996</v>
      </c>
      <c r="J218" s="99">
        <f>'Cuota Industrial'!G169</f>
        <v>-15.695999999999913</v>
      </c>
      <c r="K218" s="99">
        <f>'Cuota Industrial'!H169</f>
        <v>0</v>
      </c>
      <c r="L218" s="99">
        <f>'Cuota Industrial'!I169</f>
        <v>-15.695999999999913</v>
      </c>
      <c r="M218" s="95">
        <f>'Cuota Industrial'!J169</f>
        <v>0</v>
      </c>
      <c r="N218" s="110" t="s">
        <v>209</v>
      </c>
      <c r="O218" s="122">
        <v>43465</v>
      </c>
    </row>
    <row r="219" spans="1:15">
      <c r="A219" s="98" t="s">
        <v>170</v>
      </c>
      <c r="B219" s="99" t="s">
        <v>152</v>
      </c>
      <c r="C219" s="99" t="s">
        <v>102</v>
      </c>
      <c r="D219" s="99" t="s">
        <v>153</v>
      </c>
      <c r="E219" s="99" t="s">
        <v>217</v>
      </c>
      <c r="F219" s="99" t="s">
        <v>156</v>
      </c>
      <c r="G219" s="99" t="s">
        <v>157</v>
      </c>
      <c r="H219" s="99">
        <f>'Cuota Industrial'!E170</f>
        <v>15.696</v>
      </c>
      <c r="I219" s="99">
        <f>'Cuota Industrial'!F170</f>
        <v>0</v>
      </c>
      <c r="J219" s="99">
        <f>'Cuota Industrial'!G170</f>
        <v>0</v>
      </c>
      <c r="K219" s="99">
        <f>'Cuota Industrial'!H170</f>
        <v>0</v>
      </c>
      <c r="L219" s="99">
        <f>'Cuota Industrial'!I170</f>
        <v>0</v>
      </c>
      <c r="M219" s="95">
        <f>'Cuota Industrial'!J170</f>
        <v>0</v>
      </c>
      <c r="N219" s="110" t="s">
        <v>209</v>
      </c>
      <c r="O219" s="122">
        <v>43465</v>
      </c>
    </row>
    <row r="220" spans="1:15">
      <c r="A220" s="98" t="s">
        <v>170</v>
      </c>
      <c r="B220" s="99" t="s">
        <v>152</v>
      </c>
      <c r="C220" s="99" t="s">
        <v>102</v>
      </c>
      <c r="D220" s="99" t="s">
        <v>153</v>
      </c>
      <c r="E220" s="99" t="s">
        <v>217</v>
      </c>
      <c r="F220" s="99" t="s">
        <v>154</v>
      </c>
      <c r="G220" s="99" t="s">
        <v>157</v>
      </c>
      <c r="H220" s="99">
        <f>'Cuota Industrial'!K169</f>
        <v>785.01600000000008</v>
      </c>
      <c r="I220" s="99">
        <f>'Cuota Industrial'!L169</f>
        <v>-785.01599999999996</v>
      </c>
      <c r="J220" s="99">
        <f>'Cuota Industrial'!M169</f>
        <v>0</v>
      </c>
      <c r="K220" s="99">
        <f>'Cuota Industrial'!N169</f>
        <v>0</v>
      </c>
      <c r="L220" s="99">
        <f>'Cuota Industrial'!O169</f>
        <v>0</v>
      </c>
      <c r="M220" s="95">
        <f>'Cuota Industrial'!P169</f>
        <v>0</v>
      </c>
      <c r="N220" s="110" t="s">
        <v>209</v>
      </c>
      <c r="O220" s="122">
        <v>43465</v>
      </c>
    </row>
    <row r="221" spans="1:15">
      <c r="A221" s="98" t="s">
        <v>170</v>
      </c>
      <c r="B221" s="99" t="s">
        <v>152</v>
      </c>
      <c r="C221" s="99" t="s">
        <v>102</v>
      </c>
      <c r="D221" s="99" t="s">
        <v>153</v>
      </c>
      <c r="E221" s="99" t="s">
        <v>216</v>
      </c>
      <c r="F221" s="99" t="s">
        <v>154</v>
      </c>
      <c r="G221" s="97" t="s">
        <v>155</v>
      </c>
      <c r="H221" s="99">
        <f>'Cuota Industrial'!E175</f>
        <v>576.99</v>
      </c>
      <c r="I221" s="99">
        <f>'Cuota Industrial'!F175</f>
        <v>-588.76199999999994</v>
      </c>
      <c r="J221" s="99">
        <f>'Cuota Industrial'!G175</f>
        <v>-11.771999999999935</v>
      </c>
      <c r="K221" s="99">
        <f>'Cuota Industrial'!H175</f>
        <v>0</v>
      </c>
      <c r="L221" s="99">
        <f>'Cuota Industrial'!I175</f>
        <v>-11.771999999999935</v>
      </c>
      <c r="M221" s="95">
        <f>'Cuota Industrial'!J175</f>
        <v>0</v>
      </c>
      <c r="N221" s="110" t="s">
        <v>209</v>
      </c>
      <c r="O221" s="122">
        <v>43465</v>
      </c>
    </row>
    <row r="222" spans="1:15">
      <c r="A222" s="98" t="s">
        <v>170</v>
      </c>
      <c r="B222" s="99" t="s">
        <v>152</v>
      </c>
      <c r="C222" s="99" t="s">
        <v>102</v>
      </c>
      <c r="D222" s="99" t="s">
        <v>153</v>
      </c>
      <c r="E222" s="99" t="s">
        <v>216</v>
      </c>
      <c r="F222" s="99" t="s">
        <v>156</v>
      </c>
      <c r="G222" s="99" t="s">
        <v>157</v>
      </c>
      <c r="H222" s="99">
        <f>'Cuota Industrial'!E176</f>
        <v>11.772</v>
      </c>
      <c r="I222" s="99">
        <f>'Cuota Industrial'!F176</f>
        <v>0</v>
      </c>
      <c r="J222" s="99">
        <f>'Cuota Industrial'!G176</f>
        <v>0</v>
      </c>
      <c r="K222" s="99">
        <f>'Cuota Industrial'!H176</f>
        <v>0</v>
      </c>
      <c r="L222" s="99">
        <f>'Cuota Industrial'!I176</f>
        <v>0</v>
      </c>
      <c r="M222" s="95">
        <f>'Cuota Industrial'!J176</f>
        <v>0</v>
      </c>
      <c r="N222" s="110" t="s">
        <v>209</v>
      </c>
      <c r="O222" s="122">
        <v>43465</v>
      </c>
    </row>
    <row r="223" spans="1:15">
      <c r="A223" s="98" t="s">
        <v>170</v>
      </c>
      <c r="B223" s="99" t="s">
        <v>152</v>
      </c>
      <c r="C223" s="99" t="s">
        <v>102</v>
      </c>
      <c r="D223" s="99" t="s">
        <v>153</v>
      </c>
      <c r="E223" s="99" t="s">
        <v>216</v>
      </c>
      <c r="F223" s="99" t="s">
        <v>154</v>
      </c>
      <c r="G223" s="99" t="s">
        <v>157</v>
      </c>
      <c r="H223" s="99">
        <f>'Cuota Industrial'!K175</f>
        <v>588.76200000000006</v>
      </c>
      <c r="I223" s="99">
        <f>'Cuota Industrial'!L175</f>
        <v>-588.76199999999994</v>
      </c>
      <c r="J223" s="99">
        <f>'Cuota Industrial'!M175</f>
        <v>0</v>
      </c>
      <c r="K223" s="99">
        <f>'Cuota Industrial'!N175</f>
        <v>0</v>
      </c>
      <c r="L223" s="99">
        <f>'Cuota Industrial'!O175</f>
        <v>0</v>
      </c>
      <c r="M223" s="95">
        <f>'Cuota Industrial'!P175</f>
        <v>0</v>
      </c>
      <c r="N223" s="110" t="s">
        <v>209</v>
      </c>
      <c r="O223" s="122">
        <v>43465</v>
      </c>
    </row>
    <row r="224" spans="1:15">
      <c r="A224" s="98" t="s">
        <v>151</v>
      </c>
      <c r="B224" s="99" t="s">
        <v>152</v>
      </c>
      <c r="C224" s="99" t="s">
        <v>179</v>
      </c>
      <c r="D224" s="99" t="s">
        <v>158</v>
      </c>
      <c r="E224" s="97" t="s">
        <v>159</v>
      </c>
      <c r="F224" s="99" t="s">
        <v>154</v>
      </c>
      <c r="G224" s="97" t="s">
        <v>155</v>
      </c>
      <c r="H224" s="99">
        <f>'Cuota Artesanal'!E6</f>
        <v>1225.5</v>
      </c>
      <c r="I224" s="99">
        <f>'Cuota Artesanal'!F6</f>
        <v>0</v>
      </c>
      <c r="J224" s="99">
        <f>'Cuota Artesanal'!G6</f>
        <v>1225.5</v>
      </c>
      <c r="K224" s="99">
        <f>'Cuota Artesanal'!H6</f>
        <v>87.706999999999994</v>
      </c>
      <c r="L224" s="99">
        <f>'Cuota Artesanal'!I6</f>
        <v>1137.7930000000001</v>
      </c>
      <c r="M224" s="95">
        <f>'Cuota Artesanal'!J6</f>
        <v>7.1568339453284363E-2</v>
      </c>
      <c r="N224" s="110" t="str">
        <f>'Cuota Artesanal'!Q6</f>
        <v>-</v>
      </c>
      <c r="O224" s="122">
        <v>43465</v>
      </c>
    </row>
    <row r="225" spans="1:15">
      <c r="A225" s="98" t="s">
        <v>151</v>
      </c>
      <c r="B225" s="99" t="s">
        <v>152</v>
      </c>
      <c r="C225" s="99" t="s">
        <v>179</v>
      </c>
      <c r="D225" s="99" t="s">
        <v>158</v>
      </c>
      <c r="E225" s="97" t="s">
        <v>159</v>
      </c>
      <c r="F225" s="99" t="s">
        <v>156</v>
      </c>
      <c r="G225" s="99" t="s">
        <v>157</v>
      </c>
      <c r="H225" s="99">
        <f>'Cuota Artesanal'!E7</f>
        <v>65</v>
      </c>
      <c r="I225" s="99">
        <f>'Cuota Artesanal'!F7</f>
        <v>0</v>
      </c>
      <c r="J225" s="99">
        <f>'Cuota Artesanal'!G7</f>
        <v>1202.7930000000001</v>
      </c>
      <c r="K225" s="99">
        <f>'Cuota Artesanal'!H7</f>
        <v>8.4209999999999994</v>
      </c>
      <c r="L225" s="99">
        <f>'Cuota Artesanal'!I7</f>
        <v>1194.3720000000001</v>
      </c>
      <c r="M225" s="95">
        <f>'Cuota Artesanal'!J7</f>
        <v>7.0012046960698958E-3</v>
      </c>
      <c r="N225" s="110" t="str">
        <f>'Cuota Artesanal'!Q7</f>
        <v>-</v>
      </c>
      <c r="O225" s="122">
        <v>43465</v>
      </c>
    </row>
    <row r="226" spans="1:15">
      <c r="A226" s="98" t="s">
        <v>151</v>
      </c>
      <c r="B226" s="99" t="s">
        <v>152</v>
      </c>
      <c r="C226" s="99" t="s">
        <v>179</v>
      </c>
      <c r="D226" s="99" t="s">
        <v>158</v>
      </c>
      <c r="E226" s="97" t="s">
        <v>159</v>
      </c>
      <c r="F226" s="99" t="s">
        <v>154</v>
      </c>
      <c r="G226" s="99" t="s">
        <v>157</v>
      </c>
      <c r="H226" s="99">
        <f>'Cuota Artesanal'!K6</f>
        <v>1290.5</v>
      </c>
      <c r="I226" s="99">
        <f>'Cuota Artesanal'!L6</f>
        <v>0</v>
      </c>
      <c r="J226" s="99">
        <f>'Cuota Artesanal'!M6</f>
        <v>1290.5</v>
      </c>
      <c r="K226" s="99">
        <f>'Cuota Artesanal'!N6</f>
        <v>96.127999999999986</v>
      </c>
      <c r="L226" s="99">
        <f>'Cuota Artesanal'!O6</f>
        <v>1194.3720000000001</v>
      </c>
      <c r="M226" s="95">
        <f>'Cuota Artesanal'!P6</f>
        <v>7.4488957768306843E-2</v>
      </c>
      <c r="N226" s="110" t="s">
        <v>209</v>
      </c>
      <c r="O226" s="122">
        <v>43465</v>
      </c>
    </row>
    <row r="227" spans="1:15">
      <c r="A227" s="98" t="s">
        <v>151</v>
      </c>
      <c r="B227" s="99" t="s">
        <v>152</v>
      </c>
      <c r="C227" s="99" t="s">
        <v>48</v>
      </c>
      <c r="D227" s="99" t="s">
        <v>160</v>
      </c>
      <c r="E227" s="97" t="s">
        <v>161</v>
      </c>
      <c r="F227" s="99" t="s">
        <v>154</v>
      </c>
      <c r="G227" s="97" t="s">
        <v>155</v>
      </c>
      <c r="H227" s="99">
        <f>'Cuota Artesanal'!E9</f>
        <v>1225.5</v>
      </c>
      <c r="I227" s="99">
        <f>'Cuota Artesanal'!F9</f>
        <v>0</v>
      </c>
      <c r="J227" s="99">
        <f>'Cuota Artesanal'!G9</f>
        <v>1225.5</v>
      </c>
      <c r="K227" s="99">
        <f>'Cuota Artesanal'!H9</f>
        <v>130.78800000000001</v>
      </c>
      <c r="L227" s="99">
        <f>'Cuota Artesanal'!I9</f>
        <v>1094.712</v>
      </c>
      <c r="M227" s="95">
        <f>'Cuota Artesanal'!J9</f>
        <v>0.10672215422276622</v>
      </c>
      <c r="N227" s="110" t="str">
        <f>'Cuota Artesanal'!Q9</f>
        <v>-</v>
      </c>
      <c r="O227" s="122">
        <v>43465</v>
      </c>
    </row>
    <row r="228" spans="1:15">
      <c r="A228" s="98" t="s">
        <v>151</v>
      </c>
      <c r="B228" s="99" t="s">
        <v>152</v>
      </c>
      <c r="C228" s="99" t="s">
        <v>48</v>
      </c>
      <c r="D228" s="99" t="s">
        <v>160</v>
      </c>
      <c r="E228" s="97" t="s">
        <v>161</v>
      </c>
      <c r="F228" s="99" t="s">
        <v>156</v>
      </c>
      <c r="G228" s="99" t="s">
        <v>157</v>
      </c>
      <c r="H228" s="99">
        <f>'Cuota Artesanal'!E10</f>
        <v>65</v>
      </c>
      <c r="I228" s="99">
        <f>'Cuota Artesanal'!F10</f>
        <v>0</v>
      </c>
      <c r="J228" s="99">
        <f>'Cuota Artesanal'!G10</f>
        <v>1159.712</v>
      </c>
      <c r="K228" s="99">
        <f>'Cuota Artesanal'!H10</f>
        <v>11.631</v>
      </c>
      <c r="L228" s="99">
        <f>'Cuota Artesanal'!I10</f>
        <v>1148.0809999999999</v>
      </c>
      <c r="M228" s="95">
        <f>'Cuota Artesanal'!J10</f>
        <v>1.0029214149719931E-2</v>
      </c>
      <c r="N228" s="110" t="str">
        <f>'Cuota Artesanal'!Q10</f>
        <v>-</v>
      </c>
      <c r="O228" s="122">
        <v>43465</v>
      </c>
    </row>
    <row r="229" spans="1:15">
      <c r="A229" s="98" t="s">
        <v>151</v>
      </c>
      <c r="B229" s="99" t="s">
        <v>152</v>
      </c>
      <c r="C229" s="99" t="s">
        <v>48</v>
      </c>
      <c r="D229" s="99" t="s">
        <v>160</v>
      </c>
      <c r="E229" s="97" t="s">
        <v>161</v>
      </c>
      <c r="F229" s="99" t="s">
        <v>154</v>
      </c>
      <c r="G229" s="99" t="s">
        <v>157</v>
      </c>
      <c r="H229" s="99">
        <f>'Cuota Artesanal'!K6</f>
        <v>1290.5</v>
      </c>
      <c r="I229" s="99">
        <f>'Cuota Artesanal'!L9</f>
        <v>0</v>
      </c>
      <c r="J229" s="99">
        <f>'Cuota Artesanal'!M9</f>
        <v>1290.5</v>
      </c>
      <c r="K229" s="99">
        <f>'Cuota Artesanal'!N9</f>
        <v>142.41900000000001</v>
      </c>
      <c r="L229" s="99">
        <f>'Cuota Artesanal'!O9</f>
        <v>1148.0809999999999</v>
      </c>
      <c r="M229" s="95">
        <f>'Cuota Artesanal'!P9</f>
        <v>0.11035955056179776</v>
      </c>
      <c r="N229" s="110" t="s">
        <v>209</v>
      </c>
      <c r="O229" s="122">
        <v>43465</v>
      </c>
    </row>
    <row r="230" spans="1:15">
      <c r="A230" s="98" t="s">
        <v>163</v>
      </c>
      <c r="B230" s="99" t="s">
        <v>152</v>
      </c>
      <c r="C230" s="99" t="s">
        <v>49</v>
      </c>
      <c r="D230" s="99" t="s">
        <v>160</v>
      </c>
      <c r="E230" s="97" t="s">
        <v>182</v>
      </c>
      <c r="F230" s="99" t="s">
        <v>154</v>
      </c>
      <c r="G230" s="97" t="s">
        <v>155</v>
      </c>
      <c r="H230" s="99">
        <f>'Cuota Artesanal'!E14</f>
        <v>3475</v>
      </c>
      <c r="I230" s="99">
        <f>'Cuota Artesanal'!F14</f>
        <v>1859</v>
      </c>
      <c r="J230" s="99">
        <f>'Cuota Artesanal'!G9</f>
        <v>1225.5</v>
      </c>
      <c r="K230" s="99">
        <f>'Cuota Artesanal'!H14</f>
        <v>3668.4789999999998</v>
      </c>
      <c r="L230" s="99">
        <f>'Cuota Artesanal'!I14</f>
        <v>1665.5210000000002</v>
      </c>
      <c r="M230" s="95">
        <f>'Cuota Artesanal'!J14</f>
        <v>0.68775384326959121</v>
      </c>
      <c r="N230" s="110" t="str">
        <f>'Cuota Artesanal'!Q14</f>
        <v>-</v>
      </c>
      <c r="O230" s="122">
        <v>43465</v>
      </c>
    </row>
    <row r="231" spans="1:15">
      <c r="A231" s="98" t="s">
        <v>163</v>
      </c>
      <c r="B231" s="99" t="s">
        <v>152</v>
      </c>
      <c r="C231" s="99" t="s">
        <v>49</v>
      </c>
      <c r="D231" s="99" t="s">
        <v>160</v>
      </c>
      <c r="E231" s="97" t="s">
        <v>182</v>
      </c>
      <c r="F231" s="99" t="s">
        <v>156</v>
      </c>
      <c r="G231" s="99" t="s">
        <v>157</v>
      </c>
      <c r="H231" s="99">
        <f>'Cuota Artesanal'!E15</f>
        <v>1</v>
      </c>
      <c r="I231" s="99">
        <f>'Cuota Artesanal'!F15</f>
        <v>0</v>
      </c>
      <c r="J231" s="99">
        <f>'Cuota Artesanal'!G15</f>
        <v>1666.5210000000002</v>
      </c>
      <c r="K231" s="99">
        <f>'Cuota Artesanal'!H15</f>
        <v>1784.288</v>
      </c>
      <c r="L231" s="99">
        <f>'Cuota Artesanal'!I15</f>
        <v>-117.76699999999983</v>
      </c>
      <c r="M231" s="95">
        <f>'Cuota Artesanal'!J15</f>
        <v>1.0706663762412834</v>
      </c>
      <c r="N231" s="110">
        <f>'Cuota Artesanal'!Q15</f>
        <v>43459</v>
      </c>
      <c r="O231" s="122">
        <v>43465</v>
      </c>
    </row>
    <row r="232" spans="1:15">
      <c r="A232" s="98" t="s">
        <v>163</v>
      </c>
      <c r="B232" s="99" t="s">
        <v>152</v>
      </c>
      <c r="C232" s="99" t="s">
        <v>49</v>
      </c>
      <c r="D232" s="99" t="s">
        <v>160</v>
      </c>
      <c r="E232" s="97" t="s">
        <v>182</v>
      </c>
      <c r="F232" s="99" t="s">
        <v>154</v>
      </c>
      <c r="G232" s="99" t="s">
        <v>157</v>
      </c>
      <c r="H232" s="99">
        <f>'Cuota Artesanal'!K14</f>
        <v>3476</v>
      </c>
      <c r="I232" s="99">
        <f>'Cuota Artesanal'!L14</f>
        <v>1859</v>
      </c>
      <c r="J232" s="99">
        <f>'Cuota Artesanal'!M14</f>
        <v>5335</v>
      </c>
      <c r="K232" s="99">
        <f>'Cuota Artesanal'!N14</f>
        <v>5452.7669999999998</v>
      </c>
      <c r="L232" s="99">
        <f>'Cuota Artesanal'!O14</f>
        <v>-117.76699999999983</v>
      </c>
      <c r="M232" s="95">
        <f>'Cuota Artesanal'!P14</f>
        <v>1.0220744142455482</v>
      </c>
      <c r="N232" s="110" t="s">
        <v>209</v>
      </c>
      <c r="O232" s="122">
        <v>43465</v>
      </c>
    </row>
    <row r="233" spans="1:15">
      <c r="A233" s="98" t="s">
        <v>163</v>
      </c>
      <c r="B233" s="97" t="s">
        <v>152</v>
      </c>
      <c r="C233" s="97" t="s">
        <v>184</v>
      </c>
      <c r="D233" s="97" t="s">
        <v>180</v>
      </c>
      <c r="E233" s="97" t="s">
        <v>338</v>
      </c>
      <c r="F233" s="97" t="s">
        <v>181</v>
      </c>
      <c r="G233" s="97" t="s">
        <v>157</v>
      </c>
      <c r="H233" s="97">
        <f>'Cuota Artesanal'!K16</f>
        <v>0</v>
      </c>
      <c r="I233" s="97">
        <f>'Cuota Artesanal'!L16</f>
        <v>500.93799999999999</v>
      </c>
      <c r="J233" s="97">
        <f>'Cuota Artesanal'!M16</f>
        <v>500.93799999999999</v>
      </c>
      <c r="K233" s="97">
        <f>'Cuota Artesanal'!N16</f>
        <v>237.28399999999999</v>
      </c>
      <c r="L233" s="97">
        <f>'Cuota Artesanal'!O16</f>
        <v>263.654</v>
      </c>
      <c r="M233" s="147">
        <f>'Cuota Artesanal'!P16</f>
        <v>0.47367937748783284</v>
      </c>
      <c r="N233" s="97" t="str">
        <f>'Cuota Artesanal'!Q16</f>
        <v>-</v>
      </c>
      <c r="O233" s="122">
        <v>43465</v>
      </c>
    </row>
    <row r="234" spans="1:15" ht="30">
      <c r="A234" s="98" t="s">
        <v>163</v>
      </c>
      <c r="B234" s="99" t="s">
        <v>152</v>
      </c>
      <c r="C234" s="99" t="s">
        <v>183</v>
      </c>
      <c r="D234" s="99" t="s">
        <v>210</v>
      </c>
      <c r="E234" s="195" t="s">
        <v>237</v>
      </c>
      <c r="F234" s="99" t="s">
        <v>154</v>
      </c>
      <c r="G234" s="97" t="s">
        <v>155</v>
      </c>
      <c r="H234" s="99">
        <f>'Cuota Artesanal'!E27</f>
        <v>1115.575</v>
      </c>
      <c r="I234" s="99">
        <f>'Cuota Artesanal'!F27</f>
        <v>0</v>
      </c>
      <c r="J234" s="99">
        <f>'Cuota Artesanal'!G27</f>
        <v>1115.575</v>
      </c>
      <c r="K234" s="99">
        <f>'Cuota Artesanal'!H27</f>
        <v>384.23200000000003</v>
      </c>
      <c r="L234" s="99">
        <f>'Cuota Artesanal'!I27</f>
        <v>731.34300000000007</v>
      </c>
      <c r="M234" s="95">
        <f>'Cuota Artesanal'!J27</f>
        <v>0.34442507227214664</v>
      </c>
      <c r="N234" s="110" t="str">
        <f>'Cuota Artesanal'!Q27</f>
        <v>-</v>
      </c>
      <c r="O234" s="122">
        <v>43465</v>
      </c>
    </row>
    <row r="235" spans="1:15" ht="30">
      <c r="A235" s="98" t="s">
        <v>163</v>
      </c>
      <c r="B235" s="99" t="s">
        <v>152</v>
      </c>
      <c r="C235" s="99" t="s">
        <v>183</v>
      </c>
      <c r="D235" s="99" t="s">
        <v>210</v>
      </c>
      <c r="E235" s="121" t="s">
        <v>237</v>
      </c>
      <c r="F235" s="99" t="s">
        <v>156</v>
      </c>
      <c r="G235" s="99" t="s">
        <v>157</v>
      </c>
      <c r="H235" s="99">
        <f>'Cuota Artesanal'!E28</f>
        <v>58.676000000000002</v>
      </c>
      <c r="I235" s="99">
        <f>'Cuota Artesanal'!F28</f>
        <v>0</v>
      </c>
      <c r="J235" s="99">
        <f>'Cuota Artesanal'!G28</f>
        <v>790.01900000000012</v>
      </c>
      <c r="K235" s="99">
        <f>'Cuota Artesanal'!H28</f>
        <v>103.595</v>
      </c>
      <c r="L235" s="99">
        <f>'Cuota Artesanal'!I28</f>
        <v>686.42400000000009</v>
      </c>
      <c r="M235" s="95">
        <f>'Cuota Artesanal'!J28</f>
        <v>0.13112975763874032</v>
      </c>
      <c r="N235" s="110" t="str">
        <f>'Cuota Artesanal'!Q28</f>
        <v>-</v>
      </c>
      <c r="O235" s="122">
        <v>43465</v>
      </c>
    </row>
    <row r="236" spans="1:15" ht="30">
      <c r="A236" s="98" t="s">
        <v>163</v>
      </c>
      <c r="B236" s="99" t="s">
        <v>152</v>
      </c>
      <c r="C236" s="99" t="s">
        <v>183</v>
      </c>
      <c r="D236" s="99" t="s">
        <v>210</v>
      </c>
      <c r="E236" s="121" t="s">
        <v>237</v>
      </c>
      <c r="F236" s="99" t="s">
        <v>154</v>
      </c>
      <c r="G236" s="99" t="s">
        <v>157</v>
      </c>
      <c r="H236" s="99">
        <f>'Cuota Artesanal'!K27</f>
        <v>1174.251</v>
      </c>
      <c r="I236" s="99">
        <f>'Cuota Artesanal'!L27</f>
        <v>0</v>
      </c>
      <c r="J236" s="99">
        <f>'Cuota Artesanal'!M27</f>
        <v>1174.251</v>
      </c>
      <c r="K236" s="99">
        <f>'Cuota Artesanal'!N27</f>
        <v>487.827</v>
      </c>
      <c r="L236" s="99">
        <f>'Cuota Artesanal'!O27</f>
        <v>686.42399999999998</v>
      </c>
      <c r="M236" s="95">
        <f>'Cuota Artesanal'!P27</f>
        <v>0.41543673371366091</v>
      </c>
      <c r="N236" s="110" t="s">
        <v>209</v>
      </c>
      <c r="O236" s="122">
        <v>43465</v>
      </c>
    </row>
    <row r="237" spans="1:15" ht="30">
      <c r="A237" s="98" t="s">
        <v>163</v>
      </c>
      <c r="B237" s="99" t="s">
        <v>152</v>
      </c>
      <c r="C237" s="99" t="s">
        <v>183</v>
      </c>
      <c r="D237" s="99" t="s">
        <v>210</v>
      </c>
      <c r="E237" s="121" t="s">
        <v>185</v>
      </c>
      <c r="F237" s="99" t="s">
        <v>154</v>
      </c>
      <c r="G237" s="97" t="s">
        <v>155</v>
      </c>
      <c r="H237" s="99">
        <f>'Cuota Artesanal'!E29</f>
        <v>5394.7809999999999</v>
      </c>
      <c r="I237" s="99">
        <f>'Cuota Artesanal'!F29</f>
        <v>-2500</v>
      </c>
      <c r="J237" s="99">
        <f>'Cuota Artesanal'!G29</f>
        <v>2894.7809999999999</v>
      </c>
      <c r="K237" s="99">
        <f>'Cuota Artesanal'!H29</f>
        <v>2382.873</v>
      </c>
      <c r="L237" s="99">
        <f>'Cuota Artesanal'!I29</f>
        <v>511.9079999999999</v>
      </c>
      <c r="M237" s="95">
        <f>'Cuota Artesanal'!J29</f>
        <v>0.82316175213254472</v>
      </c>
      <c r="N237" s="110" t="str">
        <f>'Cuota Artesanal'!Q29</f>
        <v>-</v>
      </c>
      <c r="O237" s="122">
        <v>43465</v>
      </c>
    </row>
    <row r="238" spans="1:15" ht="30">
      <c r="A238" s="98" t="s">
        <v>163</v>
      </c>
      <c r="B238" s="99" t="s">
        <v>152</v>
      </c>
      <c r="C238" s="99" t="s">
        <v>183</v>
      </c>
      <c r="D238" s="99" t="s">
        <v>210</v>
      </c>
      <c r="E238" s="121" t="s">
        <v>185</v>
      </c>
      <c r="F238" s="99" t="s">
        <v>156</v>
      </c>
      <c r="G238" s="99" t="s">
        <v>157</v>
      </c>
      <c r="H238" s="99">
        <f>'Cuota Artesanal'!E30</f>
        <v>1</v>
      </c>
      <c r="I238" s="99">
        <f>'Cuota Artesanal'!F30</f>
        <v>0</v>
      </c>
      <c r="J238" s="99">
        <f>'Cuota Artesanal'!G30</f>
        <v>512.9079999999999</v>
      </c>
      <c r="K238" s="99">
        <f>'Cuota Artesanal'!H30</f>
        <v>9.8350000000000009</v>
      </c>
      <c r="L238" s="99">
        <f>'Cuota Artesanal'!I30</f>
        <v>503.07299999999992</v>
      </c>
      <c r="M238" s="95">
        <f>'Cuota Artesanal'!J30</f>
        <v>1.917497874862549E-2</v>
      </c>
      <c r="N238" s="110" t="str">
        <f>'Cuota Artesanal'!Q30</f>
        <v>-</v>
      </c>
      <c r="O238" s="122">
        <v>43465</v>
      </c>
    </row>
    <row r="239" spans="1:15" ht="30">
      <c r="A239" s="98" t="s">
        <v>163</v>
      </c>
      <c r="B239" s="99" t="s">
        <v>152</v>
      </c>
      <c r="C239" s="99" t="s">
        <v>183</v>
      </c>
      <c r="D239" s="99" t="s">
        <v>210</v>
      </c>
      <c r="E239" s="121" t="s">
        <v>185</v>
      </c>
      <c r="F239" s="99" t="s">
        <v>154</v>
      </c>
      <c r="G239" s="99" t="s">
        <v>157</v>
      </c>
      <c r="H239" s="99">
        <f>'Cuota Artesanal'!K29</f>
        <v>5395.7809999999999</v>
      </c>
      <c r="I239" s="99">
        <f>'Cuota Artesanal'!L29</f>
        <v>-2500</v>
      </c>
      <c r="J239" s="99">
        <f>'Cuota Artesanal'!M29</f>
        <v>2895.7809999999999</v>
      </c>
      <c r="K239" s="99">
        <f>'Cuota Artesanal'!N29</f>
        <v>2392.7080000000001</v>
      </c>
      <c r="L239" s="99">
        <f>'Cuota Artesanal'!O29</f>
        <v>503.07299999999987</v>
      </c>
      <c r="M239" s="95">
        <f>'Cuota Artesanal'!P29</f>
        <v>0.82627381007058209</v>
      </c>
      <c r="N239" s="110" t="s">
        <v>209</v>
      </c>
      <c r="O239" s="122">
        <v>43465</v>
      </c>
    </row>
    <row r="240" spans="1:15">
      <c r="A240" s="98" t="s">
        <v>163</v>
      </c>
      <c r="B240" s="99" t="s">
        <v>152</v>
      </c>
      <c r="C240" s="99" t="s">
        <v>183</v>
      </c>
      <c r="D240" s="99" t="s">
        <v>200</v>
      </c>
      <c r="E240" s="99" t="s">
        <v>200</v>
      </c>
      <c r="F240" s="99" t="s">
        <v>154</v>
      </c>
      <c r="G240" s="97" t="s">
        <v>155</v>
      </c>
      <c r="H240" s="99">
        <f>'Cuota Artesanal'!E31</f>
        <v>1325.2639999999999</v>
      </c>
      <c r="I240" s="99">
        <f>'Cuota Artesanal'!F31</f>
        <v>0</v>
      </c>
      <c r="J240" s="99">
        <f>'Cuota Artesanal'!G31</f>
        <v>1325.2639999999999</v>
      </c>
      <c r="K240" s="99">
        <f>'Cuota Artesanal'!H31</f>
        <v>1261.0640000000001</v>
      </c>
      <c r="L240" s="99">
        <f>'Cuota Artesanal'!I31</f>
        <v>64.199999999999818</v>
      </c>
      <c r="M240" s="95">
        <f>'Cuota Artesanal'!J31</f>
        <v>0.9515568218860545</v>
      </c>
      <c r="N240" s="110" t="str">
        <f>'Cuota Artesanal'!Q31</f>
        <v>-</v>
      </c>
      <c r="O240" s="122">
        <v>43465</v>
      </c>
    </row>
    <row r="241" spans="1:15">
      <c r="A241" s="98" t="s">
        <v>163</v>
      </c>
      <c r="B241" s="99" t="s">
        <v>152</v>
      </c>
      <c r="C241" s="99" t="s">
        <v>183</v>
      </c>
      <c r="D241" s="99" t="s">
        <v>200</v>
      </c>
      <c r="E241" s="99" t="s">
        <v>200</v>
      </c>
      <c r="F241" s="99" t="s">
        <v>156</v>
      </c>
      <c r="G241" s="99" t="s">
        <v>157</v>
      </c>
      <c r="H241" s="99">
        <f>'Cuota Artesanal'!E32</f>
        <v>69.703999999999994</v>
      </c>
      <c r="I241" s="99">
        <f>'Cuota Artesanal'!F32</f>
        <v>325.58</v>
      </c>
      <c r="J241" s="99">
        <f>'Cuota Artesanal'!G32</f>
        <v>459.48399999999981</v>
      </c>
      <c r="K241" s="99">
        <f>'Cuota Artesanal'!H32</f>
        <v>75.546999999999997</v>
      </c>
      <c r="L241" s="99">
        <f>'Cuota Artesanal'!I32</f>
        <v>383.93699999999978</v>
      </c>
      <c r="M241" s="95">
        <f>'Cuota Artesanal'!J32</f>
        <v>0.16441704172506558</v>
      </c>
      <c r="N241" s="110" t="str">
        <f>'Cuota Artesanal'!Q32</f>
        <v>-</v>
      </c>
      <c r="O241" s="122">
        <v>43465</v>
      </c>
    </row>
    <row r="242" spans="1:15">
      <c r="A242" s="98" t="s">
        <v>163</v>
      </c>
      <c r="B242" s="99" t="s">
        <v>152</v>
      </c>
      <c r="C242" s="99" t="s">
        <v>183</v>
      </c>
      <c r="D242" s="99" t="s">
        <v>200</v>
      </c>
      <c r="E242" s="99" t="s">
        <v>200</v>
      </c>
      <c r="F242" s="99" t="s">
        <v>154</v>
      </c>
      <c r="G242" s="99" t="s">
        <v>157</v>
      </c>
      <c r="H242" s="99">
        <f>'Cuota Artesanal'!K31</f>
        <v>1394.9679999999998</v>
      </c>
      <c r="I242" s="99">
        <f>'Cuota Artesanal'!L31</f>
        <v>325.58</v>
      </c>
      <c r="J242" s="99">
        <f>'Cuota Artesanal'!M31</f>
        <v>1720.5479999999998</v>
      </c>
      <c r="K242" s="99">
        <f>'Cuota Artesanal'!N31</f>
        <v>1336.6110000000001</v>
      </c>
      <c r="L242" s="99">
        <f>'Cuota Artesanal'!O31</f>
        <v>383.93699999999967</v>
      </c>
      <c r="M242" s="95">
        <f>'Cuota Artesanal'!P31</f>
        <v>0.77685190997286924</v>
      </c>
      <c r="N242" s="110" t="s">
        <v>209</v>
      </c>
      <c r="O242" s="122">
        <v>43465</v>
      </c>
    </row>
    <row r="243" spans="1:15">
      <c r="A243" s="98" t="s">
        <v>167</v>
      </c>
      <c r="B243" s="99" t="s">
        <v>152</v>
      </c>
      <c r="C243" s="99" t="s">
        <v>186</v>
      </c>
      <c r="D243" s="99" t="s">
        <v>210</v>
      </c>
      <c r="E243" s="101" t="s">
        <v>245</v>
      </c>
      <c r="F243" s="99" t="s">
        <v>154</v>
      </c>
      <c r="G243" s="97" t="s">
        <v>155</v>
      </c>
      <c r="H243" s="99">
        <f>'Cuota Artesanal'!E36</f>
        <v>2957.364</v>
      </c>
      <c r="I243" s="99">
        <f>'Cuota Artesanal'!F36</f>
        <v>-2900</v>
      </c>
      <c r="J243" s="99">
        <f>'Cuota Artesanal'!G36</f>
        <v>57.364000000000033</v>
      </c>
      <c r="K243" s="99">
        <f>'Cuota Artesanal'!H36</f>
        <v>0</v>
      </c>
      <c r="L243" s="99">
        <f>'Cuota Artesanal'!I36</f>
        <v>57.364000000000033</v>
      </c>
      <c r="M243" s="95">
        <f>'Cuota Artesanal'!J36</f>
        <v>0</v>
      </c>
      <c r="N243" s="109">
        <f>'Cuota Artesanal'!Q36</f>
        <v>43206</v>
      </c>
      <c r="O243" s="122">
        <v>43465</v>
      </c>
    </row>
    <row r="244" spans="1:15">
      <c r="A244" s="98" t="s">
        <v>167</v>
      </c>
      <c r="B244" s="99" t="s">
        <v>152</v>
      </c>
      <c r="C244" s="99" t="s">
        <v>186</v>
      </c>
      <c r="D244" s="99" t="s">
        <v>210</v>
      </c>
      <c r="E244" s="101" t="s">
        <v>245</v>
      </c>
      <c r="F244" s="99" t="s">
        <v>156</v>
      </c>
      <c r="G244" s="99" t="s">
        <v>157</v>
      </c>
      <c r="H244" s="99">
        <f>'Cuota Artesanal'!E37</f>
        <v>155.65100000000001</v>
      </c>
      <c r="I244" s="99">
        <f>'Cuota Artesanal'!F37</f>
        <v>0</v>
      </c>
      <c r="J244" s="99">
        <f>'Cuota Artesanal'!G37</f>
        <v>213.01500000000004</v>
      </c>
      <c r="K244" s="99">
        <f>'Cuota Artesanal'!H37</f>
        <v>0</v>
      </c>
      <c r="L244" s="99">
        <f>'Cuota Artesanal'!I37</f>
        <v>213.01500000000004</v>
      </c>
      <c r="M244" s="95">
        <f>'Cuota Artesanal'!J37</f>
        <v>0</v>
      </c>
      <c r="N244" s="109" t="str">
        <f>'Cuota Artesanal'!Q37</f>
        <v>-</v>
      </c>
      <c r="O244" s="122">
        <v>43465</v>
      </c>
    </row>
    <row r="245" spans="1:15">
      <c r="A245" s="98" t="s">
        <v>167</v>
      </c>
      <c r="B245" s="99" t="s">
        <v>152</v>
      </c>
      <c r="C245" s="99" t="s">
        <v>186</v>
      </c>
      <c r="D245" s="99" t="s">
        <v>210</v>
      </c>
      <c r="E245" s="101" t="s">
        <v>245</v>
      </c>
      <c r="F245" s="99" t="s">
        <v>154</v>
      </c>
      <c r="G245" s="99" t="s">
        <v>157</v>
      </c>
      <c r="H245" s="99">
        <f>'Cuota Artesanal'!K36</f>
        <v>3113.0149999999999</v>
      </c>
      <c r="I245" s="99">
        <f>'Cuota Artesanal'!L36</f>
        <v>-2900</v>
      </c>
      <c r="J245" s="99">
        <f>'Cuota Artesanal'!M36</f>
        <v>213.01499999999987</v>
      </c>
      <c r="K245" s="99">
        <f>'Cuota Artesanal'!N36</f>
        <v>0</v>
      </c>
      <c r="L245" s="99">
        <f>'Cuota Artesanal'!O36</f>
        <v>213.01499999999987</v>
      </c>
      <c r="M245" s="95">
        <f>'Cuota Artesanal'!P36</f>
        <v>0</v>
      </c>
      <c r="N245" s="110" t="s">
        <v>209</v>
      </c>
      <c r="O245" s="122">
        <v>43465</v>
      </c>
    </row>
    <row r="246" spans="1:15">
      <c r="A246" s="98" t="s">
        <v>167</v>
      </c>
      <c r="B246" s="99" t="s">
        <v>152</v>
      </c>
      <c r="C246" s="99" t="s">
        <v>186</v>
      </c>
      <c r="D246" s="99" t="s">
        <v>210</v>
      </c>
      <c r="E246" s="101" t="s">
        <v>187</v>
      </c>
      <c r="F246" s="99" t="s">
        <v>154</v>
      </c>
      <c r="G246" s="97" t="s">
        <v>155</v>
      </c>
      <c r="H246" s="99">
        <f>'Cuota Artesanal'!E38</f>
        <v>52.277999999999999</v>
      </c>
      <c r="I246" s="99">
        <f>'Cuota Artesanal'!F38</f>
        <v>0</v>
      </c>
      <c r="J246" s="99">
        <f>'Cuota Artesanal'!G38</f>
        <v>52.277999999999999</v>
      </c>
      <c r="K246" s="99">
        <f>'Cuota Artesanal'!H38</f>
        <v>7.07</v>
      </c>
      <c r="L246" s="99">
        <f>'Cuota Artesanal'!I38</f>
        <v>45.207999999999998</v>
      </c>
      <c r="M246" s="95">
        <f>'Cuota Artesanal'!J38</f>
        <v>0.13523853246107351</v>
      </c>
      <c r="N246" s="110" t="str">
        <f>'Cuota Artesanal'!Q38</f>
        <v>-</v>
      </c>
      <c r="O246" s="122">
        <v>43465</v>
      </c>
    </row>
    <row r="247" spans="1:15">
      <c r="A247" s="98" t="s">
        <v>167</v>
      </c>
      <c r="B247" s="99" t="s">
        <v>152</v>
      </c>
      <c r="C247" s="99" t="s">
        <v>186</v>
      </c>
      <c r="D247" s="99" t="s">
        <v>210</v>
      </c>
      <c r="E247" s="101" t="s">
        <v>187</v>
      </c>
      <c r="F247" s="99" t="s">
        <v>156</v>
      </c>
      <c r="G247" s="99" t="s">
        <v>157</v>
      </c>
      <c r="H247" s="99">
        <f>'Cuota Artesanal'!E39</f>
        <v>2.7509999999999999</v>
      </c>
      <c r="I247" s="99">
        <f>'Cuota Artesanal'!F39</f>
        <v>0</v>
      </c>
      <c r="J247" s="99">
        <f>'Cuota Artesanal'!G39</f>
        <v>47.958999999999996</v>
      </c>
      <c r="K247" s="99">
        <f>'Cuota Artesanal'!H39</f>
        <v>0.21299999999999999</v>
      </c>
      <c r="L247" s="99">
        <f>'Cuota Artesanal'!I39</f>
        <v>47.745999999999995</v>
      </c>
      <c r="M247" s="95">
        <f>'Cuota Artesanal'!J39</f>
        <v>4.4412936049542323E-3</v>
      </c>
      <c r="N247" s="110" t="str">
        <f>'Cuota Artesanal'!Q39</f>
        <v>-</v>
      </c>
      <c r="O247" s="122">
        <v>43465</v>
      </c>
    </row>
    <row r="248" spans="1:15">
      <c r="A248" s="98" t="s">
        <v>167</v>
      </c>
      <c r="B248" s="99" t="s">
        <v>152</v>
      </c>
      <c r="C248" s="99" t="s">
        <v>186</v>
      </c>
      <c r="D248" s="99" t="s">
        <v>210</v>
      </c>
      <c r="E248" s="101" t="s">
        <v>187</v>
      </c>
      <c r="F248" s="99" t="s">
        <v>154</v>
      </c>
      <c r="G248" s="99" t="s">
        <v>157</v>
      </c>
      <c r="H248" s="99">
        <f>'Cuota Artesanal'!K38</f>
        <v>55.028999999999996</v>
      </c>
      <c r="I248" s="99">
        <f>'Cuota Artesanal'!M38</f>
        <v>55.028999999999996</v>
      </c>
      <c r="J248" s="99">
        <f>'Cuota Artesanal'!M38</f>
        <v>55.028999999999996</v>
      </c>
      <c r="K248" s="99">
        <f>'Cuota Artesanal'!N38</f>
        <v>7.2830000000000004</v>
      </c>
      <c r="L248" s="99">
        <f>'Cuota Artesanal'!O38</f>
        <v>47.745999999999995</v>
      </c>
      <c r="M248" s="95">
        <f>'Cuota Artesanal'!P38</f>
        <v>0.13234839811735633</v>
      </c>
      <c r="N248" s="110" t="s">
        <v>209</v>
      </c>
      <c r="O248" s="122">
        <v>43465</v>
      </c>
    </row>
    <row r="249" spans="1:15" ht="30">
      <c r="A249" s="98" t="s">
        <v>167</v>
      </c>
      <c r="B249" s="99" t="s">
        <v>152</v>
      </c>
      <c r="C249" s="99" t="s">
        <v>186</v>
      </c>
      <c r="D249" s="99" t="s">
        <v>210</v>
      </c>
      <c r="E249" s="101" t="s">
        <v>188</v>
      </c>
      <c r="F249" s="99" t="s">
        <v>154</v>
      </c>
      <c r="G249" s="97" t="s">
        <v>155</v>
      </c>
      <c r="H249" s="99">
        <f>'Cuota Artesanal'!E40</f>
        <v>75.715999999999994</v>
      </c>
      <c r="I249" s="99">
        <f>'Cuota Artesanal'!F40</f>
        <v>0</v>
      </c>
      <c r="J249" s="99">
        <f>'Cuota Artesanal'!G40</f>
        <v>75.715999999999994</v>
      </c>
      <c r="K249" s="99">
        <f>'Cuota Artesanal'!H40</f>
        <v>0</v>
      </c>
      <c r="L249" s="99">
        <f>'Cuota Artesanal'!I40</f>
        <v>75.715999999999994</v>
      </c>
      <c r="M249" s="95">
        <f>'Cuota Artesanal'!J40</f>
        <v>0</v>
      </c>
      <c r="N249" s="110" t="str">
        <f>'Cuota Artesanal'!Q40</f>
        <v>-</v>
      </c>
      <c r="O249" s="122">
        <v>43465</v>
      </c>
    </row>
    <row r="250" spans="1:15" ht="30">
      <c r="A250" s="98" t="s">
        <v>167</v>
      </c>
      <c r="B250" s="99" t="s">
        <v>152</v>
      </c>
      <c r="C250" s="99" t="s">
        <v>186</v>
      </c>
      <c r="D250" s="99" t="s">
        <v>210</v>
      </c>
      <c r="E250" s="101" t="s">
        <v>188</v>
      </c>
      <c r="F250" s="99" t="s">
        <v>156</v>
      </c>
      <c r="G250" s="99" t="s">
        <v>157</v>
      </c>
      <c r="H250" s="99">
        <f>'Cuota Artesanal'!E41</f>
        <v>3.9849999999999999</v>
      </c>
      <c r="I250" s="99">
        <f>'Cuota Artesanal'!F41</f>
        <v>0</v>
      </c>
      <c r="J250" s="99">
        <f>'Cuota Artesanal'!G41</f>
        <v>79.700999999999993</v>
      </c>
      <c r="K250" s="99">
        <f>'Cuota Artesanal'!H41</f>
        <v>0</v>
      </c>
      <c r="L250" s="99">
        <f>'Cuota Artesanal'!I41</f>
        <v>79.700999999999993</v>
      </c>
      <c r="M250" s="95">
        <f>'Cuota Artesanal'!J41</f>
        <v>0</v>
      </c>
      <c r="N250" s="110" t="str">
        <f>'Cuota Artesanal'!Q41</f>
        <v>-</v>
      </c>
      <c r="O250" s="122">
        <v>43465</v>
      </c>
    </row>
    <row r="251" spans="1:15" ht="30">
      <c r="A251" s="98" t="s">
        <v>167</v>
      </c>
      <c r="B251" s="99" t="s">
        <v>152</v>
      </c>
      <c r="C251" s="99" t="s">
        <v>186</v>
      </c>
      <c r="D251" s="99" t="s">
        <v>210</v>
      </c>
      <c r="E251" s="101" t="s">
        <v>188</v>
      </c>
      <c r="F251" s="99" t="s">
        <v>154</v>
      </c>
      <c r="G251" s="99" t="s">
        <v>157</v>
      </c>
      <c r="H251" s="99">
        <f>'Cuota Artesanal'!K40</f>
        <v>79.700999999999993</v>
      </c>
      <c r="I251" s="99">
        <f>'Cuota Artesanal'!M40</f>
        <v>79.700999999999993</v>
      </c>
      <c r="J251" s="99">
        <f>'Cuota Artesanal'!M40</f>
        <v>79.700999999999993</v>
      </c>
      <c r="K251" s="99">
        <f>'Cuota Artesanal'!N40</f>
        <v>0</v>
      </c>
      <c r="L251" s="99">
        <f>'Cuota Artesanal'!O40</f>
        <v>79.700999999999993</v>
      </c>
      <c r="M251" s="95">
        <f>'Cuota Artesanal'!P40</f>
        <v>0</v>
      </c>
      <c r="N251" s="110" t="s">
        <v>209</v>
      </c>
      <c r="O251" s="122">
        <v>43465</v>
      </c>
    </row>
    <row r="252" spans="1:15">
      <c r="A252" s="98" t="s">
        <v>167</v>
      </c>
      <c r="B252" s="99" t="s">
        <v>152</v>
      </c>
      <c r="C252" s="99" t="s">
        <v>186</v>
      </c>
      <c r="D252" s="99" t="s">
        <v>200</v>
      </c>
      <c r="E252" s="99" t="s">
        <v>200</v>
      </c>
      <c r="F252" s="99" t="s">
        <v>154</v>
      </c>
      <c r="G252" s="97" t="s">
        <v>155</v>
      </c>
      <c r="H252" s="99">
        <f>'Cuota Artesanal'!E42</f>
        <v>448.64499999999998</v>
      </c>
      <c r="I252" s="99">
        <f>'Cuota Artesanal'!F42</f>
        <v>0</v>
      </c>
      <c r="J252" s="99">
        <f>'Cuota Artesanal'!G42</f>
        <v>448.64499999999998</v>
      </c>
      <c r="K252" s="99">
        <f>'Cuota Artesanal'!H42</f>
        <v>68.611000000000004</v>
      </c>
      <c r="L252" s="99">
        <f>'Cuota Artesanal'!I42</f>
        <v>380.03399999999999</v>
      </c>
      <c r="M252" s="95">
        <f>'Cuota Artesanal'!J42</f>
        <v>0.15292937623287903</v>
      </c>
      <c r="N252" s="110" t="str">
        <f>'Cuota Artesanal'!Q42</f>
        <v>-</v>
      </c>
      <c r="O252" s="122">
        <v>43465</v>
      </c>
    </row>
    <row r="253" spans="1:15">
      <c r="A253" s="98" t="s">
        <v>167</v>
      </c>
      <c r="B253" s="99" t="s">
        <v>152</v>
      </c>
      <c r="C253" s="99" t="s">
        <v>186</v>
      </c>
      <c r="D253" s="99" t="s">
        <v>200</v>
      </c>
      <c r="E253" s="99" t="s">
        <v>200</v>
      </c>
      <c r="F253" s="99" t="s">
        <v>156</v>
      </c>
      <c r="G253" s="99" t="s">
        <v>157</v>
      </c>
      <c r="H253" s="99">
        <f>'Cuota Artesanal'!E43</f>
        <v>23.613</v>
      </c>
      <c r="I253" s="99">
        <f>'Cuota Artesanal'!F43</f>
        <v>0</v>
      </c>
      <c r="J253" s="99">
        <f>'Cuota Artesanal'!G43</f>
        <v>403.64699999999999</v>
      </c>
      <c r="K253" s="99">
        <f>'Cuota Artesanal'!H43</f>
        <v>14.295</v>
      </c>
      <c r="L253" s="99">
        <f>'Cuota Artesanal'!I43</f>
        <v>389.35199999999998</v>
      </c>
      <c r="M253" s="95">
        <f>'Cuota Artesanal'!J43</f>
        <v>3.5414607317780143E-2</v>
      </c>
      <c r="N253" s="110" t="str">
        <f>'Cuota Artesanal'!Q43</f>
        <v>-</v>
      </c>
      <c r="O253" s="122">
        <v>43465</v>
      </c>
    </row>
    <row r="254" spans="1:15">
      <c r="A254" s="98" t="s">
        <v>167</v>
      </c>
      <c r="B254" s="99" t="s">
        <v>152</v>
      </c>
      <c r="C254" s="99" t="s">
        <v>186</v>
      </c>
      <c r="D254" s="99" t="s">
        <v>200</v>
      </c>
      <c r="E254" s="99" t="s">
        <v>200</v>
      </c>
      <c r="F254" s="99" t="s">
        <v>154</v>
      </c>
      <c r="G254" s="99" t="s">
        <v>157</v>
      </c>
      <c r="H254" s="99">
        <f>'Cuota Artesanal'!K42</f>
        <v>472.25799999999998</v>
      </c>
      <c r="I254" s="99">
        <f>'Cuota Artesanal'!L42</f>
        <v>0</v>
      </c>
      <c r="J254" s="99">
        <f>'Cuota Artesanal'!M42</f>
        <v>472.25799999999998</v>
      </c>
      <c r="K254" s="99">
        <f>'Cuota Artesanal'!N42</f>
        <v>82.906000000000006</v>
      </c>
      <c r="L254" s="99">
        <f>'Cuota Artesanal'!O42</f>
        <v>389.35199999999998</v>
      </c>
      <c r="M254" s="95">
        <f>'Cuota Artesanal'!P42</f>
        <v>0.1755523463869326</v>
      </c>
      <c r="N254" s="110" t="s">
        <v>209</v>
      </c>
      <c r="O254" s="122">
        <v>43465</v>
      </c>
    </row>
    <row r="255" spans="1:15">
      <c r="A255" s="98" t="s">
        <v>167</v>
      </c>
      <c r="B255" s="99" t="s">
        <v>152</v>
      </c>
      <c r="C255" s="99" t="s">
        <v>189</v>
      </c>
      <c r="D255" s="99" t="s">
        <v>160</v>
      </c>
      <c r="E255" s="99" t="s">
        <v>190</v>
      </c>
      <c r="F255" s="99" t="s">
        <v>154</v>
      </c>
      <c r="G255" s="97" t="s">
        <v>155</v>
      </c>
      <c r="H255" s="99">
        <f>'Cuota Artesanal'!E45</f>
        <v>10</v>
      </c>
      <c r="I255" s="99">
        <f>'Cuota Artesanal'!F45</f>
        <v>0</v>
      </c>
      <c r="J255" s="99">
        <f>'Cuota Artesanal'!G45</f>
        <v>10</v>
      </c>
      <c r="K255" s="99">
        <f>'Cuota Artesanal'!H45</f>
        <v>0</v>
      </c>
      <c r="L255" s="99">
        <f>'Cuota Artesanal'!I45</f>
        <v>10</v>
      </c>
      <c r="M255" s="95">
        <f>'Cuota Artesanal'!J45</f>
        <v>0</v>
      </c>
      <c r="N255" s="110" t="str">
        <f>'Cuota Artesanal'!Q45</f>
        <v>-</v>
      </c>
      <c r="O255" s="122">
        <v>43465</v>
      </c>
    </row>
    <row r="256" spans="1:15">
      <c r="A256" s="98" t="s">
        <v>167</v>
      </c>
      <c r="B256" s="99" t="s">
        <v>152</v>
      </c>
      <c r="C256" s="99" t="s">
        <v>189</v>
      </c>
      <c r="D256" s="99" t="s">
        <v>160</v>
      </c>
      <c r="E256" s="99" t="s">
        <v>190</v>
      </c>
      <c r="F256" s="99" t="s">
        <v>156</v>
      </c>
      <c r="G256" s="99" t="s">
        <v>157</v>
      </c>
      <c r="H256" s="99">
        <f>'Cuota Artesanal'!E46</f>
        <v>1</v>
      </c>
      <c r="I256" s="99">
        <f>'Cuota Artesanal'!F46</f>
        <v>0</v>
      </c>
      <c r="J256" s="99">
        <f>'Cuota Artesanal'!G46</f>
        <v>11</v>
      </c>
      <c r="K256" s="99">
        <f>'Cuota Artesanal'!H46</f>
        <v>0.41</v>
      </c>
      <c r="L256" s="99">
        <f>'Cuota Artesanal'!I46</f>
        <v>10.59</v>
      </c>
      <c r="M256" s="95">
        <f>'Cuota Artesanal'!J46</f>
        <v>3.727272727272727E-2</v>
      </c>
      <c r="N256" s="110" t="str">
        <f>'Cuota Artesanal'!Q46</f>
        <v>-</v>
      </c>
      <c r="O256" s="122">
        <v>43465</v>
      </c>
    </row>
    <row r="257" spans="1:15">
      <c r="A257" s="98" t="s">
        <v>167</v>
      </c>
      <c r="B257" s="99" t="s">
        <v>152</v>
      </c>
      <c r="C257" s="99" t="s">
        <v>189</v>
      </c>
      <c r="D257" s="99" t="s">
        <v>160</v>
      </c>
      <c r="E257" s="99" t="s">
        <v>190</v>
      </c>
      <c r="F257" s="99" t="s">
        <v>154</v>
      </c>
      <c r="G257" s="99" t="s">
        <v>157</v>
      </c>
      <c r="H257" s="99">
        <f>'Cuota Artesanal'!K45</f>
        <v>11</v>
      </c>
      <c r="I257" s="99">
        <f>'Cuota Artesanal'!L45</f>
        <v>0</v>
      </c>
      <c r="J257" s="99">
        <f>'Cuota Artesanal'!M45</f>
        <v>11</v>
      </c>
      <c r="K257" s="99">
        <f>'Cuota Artesanal'!N45</f>
        <v>0.41</v>
      </c>
      <c r="L257" s="99">
        <f>'Cuota Artesanal'!O45</f>
        <v>10.59</v>
      </c>
      <c r="M257" s="95">
        <f>'Cuota Artesanal'!P45</f>
        <v>3.727272727272727E-2</v>
      </c>
      <c r="N257" s="110" t="s">
        <v>209</v>
      </c>
      <c r="O257" s="122">
        <v>43465</v>
      </c>
    </row>
    <row r="258" spans="1:15">
      <c r="A258" s="98" t="s">
        <v>167</v>
      </c>
      <c r="B258" s="99" t="s">
        <v>152</v>
      </c>
      <c r="C258" s="99" t="s">
        <v>103</v>
      </c>
      <c r="D258" s="99" t="s">
        <v>160</v>
      </c>
      <c r="E258" s="99" t="s">
        <v>191</v>
      </c>
      <c r="F258" s="99" t="s">
        <v>154</v>
      </c>
      <c r="G258" s="97" t="s">
        <v>155</v>
      </c>
      <c r="H258" s="99">
        <f>'Cuota Artesanal'!E48</f>
        <v>119</v>
      </c>
      <c r="I258" s="99">
        <f>'Cuota Artesanal'!F48</f>
        <v>0</v>
      </c>
      <c r="J258" s="99">
        <f>'Cuota Artesanal'!G48</f>
        <v>119</v>
      </c>
      <c r="K258" s="99">
        <f>'Cuota Artesanal'!H48</f>
        <v>20.661999999999999</v>
      </c>
      <c r="L258" s="99">
        <f>'Cuota Artesanal'!I48</f>
        <v>98.337999999999994</v>
      </c>
      <c r="M258" s="95">
        <f>'Cuota Artesanal'!J48</f>
        <v>0.17363025210084032</v>
      </c>
      <c r="N258" s="110" t="str">
        <f>'Cuota Artesanal'!Q48</f>
        <v>-</v>
      </c>
      <c r="O258" s="122">
        <v>43465</v>
      </c>
    </row>
    <row r="259" spans="1:15">
      <c r="A259" s="98" t="s">
        <v>167</v>
      </c>
      <c r="B259" s="99" t="s">
        <v>152</v>
      </c>
      <c r="C259" s="99" t="s">
        <v>103</v>
      </c>
      <c r="D259" s="99" t="s">
        <v>160</v>
      </c>
      <c r="E259" s="99" t="s">
        <v>191</v>
      </c>
      <c r="F259" s="99" t="s">
        <v>156</v>
      </c>
      <c r="G259" s="99" t="s">
        <v>157</v>
      </c>
      <c r="H259" s="99">
        <f>'Cuota Artesanal'!E49</f>
        <v>6</v>
      </c>
      <c r="I259" s="99">
        <f>'Cuota Artesanal'!F49</f>
        <v>0</v>
      </c>
      <c r="J259" s="99">
        <f>'Cuota Artesanal'!G49</f>
        <v>104.33799999999999</v>
      </c>
      <c r="K259" s="99">
        <f>'Cuota Artesanal'!H49</f>
        <v>78.739999999999995</v>
      </c>
      <c r="L259" s="99">
        <f>'Cuota Artesanal'!I49</f>
        <v>25.597999999999999</v>
      </c>
      <c r="M259" s="95">
        <f>'Cuota Artesanal'!J49</f>
        <v>0.75466273074047807</v>
      </c>
      <c r="N259" s="110" t="str">
        <f>'Cuota Artesanal'!Q49</f>
        <v>-</v>
      </c>
      <c r="O259" s="122">
        <v>43465</v>
      </c>
    </row>
    <row r="260" spans="1:15">
      <c r="A260" s="98" t="s">
        <v>167</v>
      </c>
      <c r="B260" s="99" t="s">
        <v>152</v>
      </c>
      <c r="C260" s="99" t="s">
        <v>103</v>
      </c>
      <c r="D260" s="99" t="s">
        <v>160</v>
      </c>
      <c r="E260" s="99" t="s">
        <v>191</v>
      </c>
      <c r="F260" s="99" t="s">
        <v>154</v>
      </c>
      <c r="G260" s="99" t="s">
        <v>157</v>
      </c>
      <c r="H260" s="99">
        <f>'Cuota Artesanal'!K48</f>
        <v>125</v>
      </c>
      <c r="I260" s="99">
        <f>'Cuota Artesanal'!L48</f>
        <v>0</v>
      </c>
      <c r="J260" s="99">
        <f>'Cuota Artesanal'!M48</f>
        <v>125</v>
      </c>
      <c r="K260" s="99">
        <f>'Cuota Artesanal'!N48</f>
        <v>99.401999999999987</v>
      </c>
      <c r="L260" s="99">
        <f>'Cuota Artesanal'!O48</f>
        <v>25.598000000000013</v>
      </c>
      <c r="M260" s="95">
        <f>'Cuota Artesanal'!P48</f>
        <v>0.79521599999999992</v>
      </c>
      <c r="N260" s="110" t="s">
        <v>209</v>
      </c>
      <c r="O260" s="122">
        <v>43465</v>
      </c>
    </row>
    <row r="261" spans="1:15">
      <c r="A261" s="98" t="s">
        <v>167</v>
      </c>
      <c r="B261" s="99" t="s">
        <v>152</v>
      </c>
      <c r="C261" s="99" t="s">
        <v>192</v>
      </c>
      <c r="D261" s="99" t="s">
        <v>160</v>
      </c>
      <c r="E261" s="99" t="s">
        <v>193</v>
      </c>
      <c r="F261" s="99" t="s">
        <v>154</v>
      </c>
      <c r="G261" s="97" t="s">
        <v>155</v>
      </c>
      <c r="H261" s="99">
        <f>'Cuota Artesanal'!E51</f>
        <v>7729</v>
      </c>
      <c r="I261" s="99">
        <f>'Cuota Artesanal'!F51</f>
        <v>0</v>
      </c>
      <c r="J261" s="99">
        <f>'Cuota Artesanal'!G51</f>
        <v>7729</v>
      </c>
      <c r="K261" s="99">
        <f>'Cuota Artesanal'!H51</f>
        <v>8913.1460000000006</v>
      </c>
      <c r="L261" s="99">
        <f>'Cuota Artesanal'!I51</f>
        <v>-1184.1460000000006</v>
      </c>
      <c r="M261" s="95">
        <f>'Cuota Artesanal'!J51</f>
        <v>1.1532081769957305</v>
      </c>
      <c r="N261" s="110">
        <f>'Cuota Artesanal'!Q51</f>
        <v>43110</v>
      </c>
      <c r="O261" s="122">
        <v>43465</v>
      </c>
    </row>
    <row r="262" spans="1:15">
      <c r="A262" s="98" t="s">
        <v>167</v>
      </c>
      <c r="B262" s="99" t="s">
        <v>152</v>
      </c>
      <c r="C262" s="99" t="s">
        <v>192</v>
      </c>
      <c r="D262" s="99" t="s">
        <v>160</v>
      </c>
      <c r="E262" s="99" t="s">
        <v>193</v>
      </c>
      <c r="F262" s="99" t="s">
        <v>156</v>
      </c>
      <c r="G262" s="99" t="s">
        <v>157</v>
      </c>
      <c r="H262" s="99">
        <f>'Cuota Artesanal'!E52</f>
        <v>407</v>
      </c>
      <c r="I262" s="99">
        <f>'Cuota Artesanal'!F52</f>
        <v>0</v>
      </c>
      <c r="J262" s="99">
        <f>'Cuota Artesanal'!G52</f>
        <v>-777.14600000000064</v>
      </c>
      <c r="K262" s="99">
        <f>'Cuota Artesanal'!H52</f>
        <v>115.675</v>
      </c>
      <c r="L262" s="99">
        <f>'Cuota Artesanal'!I52</f>
        <v>-892.82100000000059</v>
      </c>
      <c r="M262" s="95">
        <f>'Cuota Artesanal'!J52</f>
        <v>-0.14884590540258832</v>
      </c>
      <c r="N262" s="110">
        <f>'Cuota Artesanal'!Q52</f>
        <v>43133</v>
      </c>
      <c r="O262" s="122">
        <v>43465</v>
      </c>
    </row>
    <row r="263" spans="1:15">
      <c r="A263" s="98" t="s">
        <v>167</v>
      </c>
      <c r="B263" s="99" t="s">
        <v>152</v>
      </c>
      <c r="C263" s="99" t="s">
        <v>192</v>
      </c>
      <c r="D263" s="99" t="s">
        <v>160</v>
      </c>
      <c r="E263" s="99" t="s">
        <v>193</v>
      </c>
      <c r="F263" s="99" t="s">
        <v>154</v>
      </c>
      <c r="G263" s="99" t="s">
        <v>157</v>
      </c>
      <c r="H263" s="99">
        <f>'Cuota Artesanal'!K51</f>
        <v>8136</v>
      </c>
      <c r="I263" s="99">
        <f>'Cuota Artesanal'!L51</f>
        <v>0</v>
      </c>
      <c r="J263" s="99">
        <f>'Cuota Artesanal'!M51</f>
        <v>8136</v>
      </c>
      <c r="K263" s="99">
        <f>'Cuota Artesanal'!N51</f>
        <v>9028.8209999999999</v>
      </c>
      <c r="L263" s="99">
        <f>'Cuota Artesanal'!O51</f>
        <v>-892.82099999999991</v>
      </c>
      <c r="M263" s="95">
        <f>'Cuota Artesanal'!P51</f>
        <v>1.1097370943952802</v>
      </c>
      <c r="N263" s="110" t="s">
        <v>209</v>
      </c>
      <c r="O263" s="122">
        <v>43465</v>
      </c>
    </row>
    <row r="264" spans="1:15">
      <c r="A264" s="98" t="s">
        <v>167</v>
      </c>
      <c r="B264" s="99" t="s">
        <v>152</v>
      </c>
      <c r="C264" s="99" t="s">
        <v>60</v>
      </c>
      <c r="D264" s="99" t="s">
        <v>160</v>
      </c>
      <c r="E264" s="99" t="s">
        <v>194</v>
      </c>
      <c r="F264" s="99" t="s">
        <v>154</v>
      </c>
      <c r="G264" s="97" t="s">
        <v>155</v>
      </c>
      <c r="H264" s="99">
        <f>'Cuota Artesanal'!E66</f>
        <v>40</v>
      </c>
      <c r="I264" s="99">
        <f>'Cuota Artesanal'!F66</f>
        <v>0</v>
      </c>
      <c r="J264" s="99">
        <f>'Cuota Artesanal'!G66</f>
        <v>40</v>
      </c>
      <c r="K264" s="99">
        <f>'Cuota Artesanal'!H66</f>
        <v>0.96799999999999997</v>
      </c>
      <c r="L264" s="99">
        <f>'Cuota Artesanal'!I66</f>
        <v>39.031999999999996</v>
      </c>
      <c r="M264" s="95">
        <f>'Cuota Artesanal'!J66</f>
        <v>2.4199999999999999E-2</v>
      </c>
      <c r="N264" s="110" t="str">
        <f>'Cuota Artesanal'!Q66</f>
        <v>-</v>
      </c>
      <c r="O264" s="122">
        <v>43465</v>
      </c>
    </row>
    <row r="265" spans="1:15">
      <c r="A265" s="98" t="s">
        <v>167</v>
      </c>
      <c r="B265" s="99" t="s">
        <v>152</v>
      </c>
      <c r="C265" s="99" t="s">
        <v>60</v>
      </c>
      <c r="D265" s="99" t="s">
        <v>160</v>
      </c>
      <c r="E265" s="99" t="s">
        <v>194</v>
      </c>
      <c r="F265" s="99" t="s">
        <v>156</v>
      </c>
      <c r="G265" s="99" t="s">
        <v>157</v>
      </c>
      <c r="H265" s="99">
        <f>'Cuota Artesanal'!E67</f>
        <v>2</v>
      </c>
      <c r="I265" s="99">
        <f>'Cuota Artesanal'!F67</f>
        <v>0</v>
      </c>
      <c r="J265" s="99">
        <f>'Cuota Artesanal'!G67</f>
        <v>41.031999999999996</v>
      </c>
      <c r="K265" s="99">
        <f>'Cuota Artesanal'!H67</f>
        <v>0</v>
      </c>
      <c r="L265" s="99">
        <f>'Cuota Artesanal'!I67</f>
        <v>41.031999999999996</v>
      </c>
      <c r="M265" s="95">
        <f>'Cuota Artesanal'!J67</f>
        <v>0</v>
      </c>
      <c r="N265" s="110" t="str">
        <f>'Cuota Artesanal'!Q67</f>
        <v>-</v>
      </c>
      <c r="O265" s="122">
        <v>43465</v>
      </c>
    </row>
    <row r="266" spans="1:15">
      <c r="A266" s="98" t="s">
        <v>167</v>
      </c>
      <c r="B266" s="99" t="s">
        <v>152</v>
      </c>
      <c r="C266" s="99" t="s">
        <v>60</v>
      </c>
      <c r="D266" s="99" t="s">
        <v>160</v>
      </c>
      <c r="E266" s="99" t="s">
        <v>194</v>
      </c>
      <c r="F266" s="99" t="s">
        <v>154</v>
      </c>
      <c r="G266" s="99" t="s">
        <v>157</v>
      </c>
      <c r="H266" s="99">
        <f>'Cuota Artesanal'!M66</f>
        <v>42</v>
      </c>
      <c r="I266" s="99">
        <f>'Cuota Artesanal'!L66</f>
        <v>0</v>
      </c>
      <c r="J266" s="99">
        <f>'Cuota Artesanal'!M66</f>
        <v>42</v>
      </c>
      <c r="K266" s="99">
        <f>'Cuota Artesanal'!N66</f>
        <v>0.96799999999999997</v>
      </c>
      <c r="L266" s="99">
        <f>'Cuota Artesanal'!O66</f>
        <v>41.031999999999996</v>
      </c>
      <c r="M266" s="95">
        <f>'Cuota Artesanal'!P66</f>
        <v>2.3047619047619046E-2</v>
      </c>
      <c r="N266" s="110" t="s">
        <v>209</v>
      </c>
      <c r="O266" s="122">
        <v>43465</v>
      </c>
    </row>
    <row r="267" spans="1:15">
      <c r="A267" s="99" t="s">
        <v>170</v>
      </c>
      <c r="B267" s="99" t="s">
        <v>152</v>
      </c>
      <c r="C267" s="99" t="s">
        <v>61</v>
      </c>
      <c r="D267" s="99" t="s">
        <v>160</v>
      </c>
      <c r="E267" s="99" t="s">
        <v>195</v>
      </c>
      <c r="F267" s="99" t="s">
        <v>154</v>
      </c>
      <c r="G267" s="97" t="s">
        <v>155</v>
      </c>
      <c r="H267" s="99">
        <f>'Cuota Artesanal'!E69</f>
        <v>621</v>
      </c>
      <c r="I267" s="99">
        <f>'Cuota Artesanal'!F69</f>
        <v>0</v>
      </c>
      <c r="J267" s="99">
        <f>'Cuota Artesanal'!G69</f>
        <v>621</v>
      </c>
      <c r="K267" s="99">
        <f>'Cuota Artesanal'!H69</f>
        <v>609.29499999999996</v>
      </c>
      <c r="L267" s="99">
        <f>'Cuota Artesanal'!I69</f>
        <v>11.705000000000041</v>
      </c>
      <c r="M267" s="95">
        <f>'Cuota Artesanal'!J69</f>
        <v>0.98115136876006437</v>
      </c>
      <c r="N267" s="110">
        <f>'Cuota Artesanal'!Q69</f>
        <v>43209</v>
      </c>
      <c r="O267" s="122">
        <v>43465</v>
      </c>
    </row>
    <row r="268" spans="1:15">
      <c r="A268" s="99" t="s">
        <v>170</v>
      </c>
      <c r="B268" s="99" t="s">
        <v>152</v>
      </c>
      <c r="C268" s="99" t="s">
        <v>61</v>
      </c>
      <c r="D268" s="99" t="s">
        <v>160</v>
      </c>
      <c r="E268" s="99" t="s">
        <v>195</v>
      </c>
      <c r="F268" s="99" t="s">
        <v>156</v>
      </c>
      <c r="G268" s="99" t="s">
        <v>157</v>
      </c>
      <c r="H268" s="99">
        <f>'Cuota Artesanal'!E70</f>
        <v>33</v>
      </c>
      <c r="I268" s="99">
        <f>'Cuota Artesanal'!F70</f>
        <v>0</v>
      </c>
      <c r="J268" s="99">
        <f>'Cuota Artesanal'!G70</f>
        <v>44.705000000000041</v>
      </c>
      <c r="K268" s="99">
        <f>'Cuota Artesanal'!H70</f>
        <v>0</v>
      </c>
      <c r="L268" s="99">
        <f>'Cuota Artesanal'!I70</f>
        <v>44.705000000000041</v>
      </c>
      <c r="M268" s="95">
        <f>'Cuota Artesanal'!J70</f>
        <v>0</v>
      </c>
      <c r="N268" s="110" t="str">
        <f>'Cuota Artesanal'!Q70</f>
        <v>-</v>
      </c>
      <c r="O268" s="122">
        <v>43465</v>
      </c>
    </row>
    <row r="269" spans="1:15">
      <c r="A269" s="99" t="s">
        <v>170</v>
      </c>
      <c r="B269" s="99" t="s">
        <v>152</v>
      </c>
      <c r="C269" s="99" t="s">
        <v>61</v>
      </c>
      <c r="D269" s="99" t="s">
        <v>160</v>
      </c>
      <c r="E269" s="99" t="s">
        <v>195</v>
      </c>
      <c r="F269" s="99" t="s">
        <v>154</v>
      </c>
      <c r="G269" s="99" t="s">
        <v>157</v>
      </c>
      <c r="H269" s="99">
        <f>'Cuota Artesanal'!K69</f>
        <v>654</v>
      </c>
      <c r="I269" s="99">
        <f>'Cuota Artesanal'!L69</f>
        <v>0</v>
      </c>
      <c r="J269" s="99">
        <f>'Cuota Artesanal'!M69</f>
        <v>654</v>
      </c>
      <c r="K269" s="99">
        <f>'Cuota Artesanal'!N69</f>
        <v>609.29499999999996</v>
      </c>
      <c r="L269" s="99">
        <f>'Cuota Artesanal'!O69</f>
        <v>44.705000000000041</v>
      </c>
      <c r="M269" s="95">
        <f>'Cuota Artesanal'!P69</f>
        <v>0.93164373088685004</v>
      </c>
      <c r="N269" s="110" t="s">
        <v>209</v>
      </c>
      <c r="O269" s="122">
        <v>43465</v>
      </c>
    </row>
    <row r="270" spans="1:15">
      <c r="A270" s="99" t="s">
        <v>170</v>
      </c>
      <c r="B270" s="99" t="s">
        <v>152</v>
      </c>
      <c r="C270" s="99" t="s">
        <v>91</v>
      </c>
      <c r="D270" s="99" t="s">
        <v>210</v>
      </c>
      <c r="E270" s="101" t="s">
        <v>196</v>
      </c>
      <c r="F270" s="99" t="s">
        <v>154</v>
      </c>
      <c r="G270" s="97" t="s">
        <v>155</v>
      </c>
      <c r="H270" s="99">
        <f>'Cuota Artesanal'!E72</f>
        <v>25.42</v>
      </c>
      <c r="I270" s="99">
        <f>'Cuota Artesanal'!F72</f>
        <v>-26.757999999999999</v>
      </c>
      <c r="J270" s="99">
        <f>'Cuota Artesanal'!G72</f>
        <v>-1.3379999999999974</v>
      </c>
      <c r="K270" s="99">
        <f>'Cuota Artesanal'!H72</f>
        <v>0</v>
      </c>
      <c r="L270" s="99">
        <f>'Cuota Artesanal'!I72</f>
        <v>-1.3379999999999974</v>
      </c>
      <c r="M270" s="95">
        <f>'Cuota Artesanal'!J72</f>
        <v>0</v>
      </c>
      <c r="N270" s="110" t="str">
        <f>'Cuota Artesanal'!Q72</f>
        <v>-</v>
      </c>
      <c r="O270" s="122">
        <v>43465</v>
      </c>
    </row>
    <row r="271" spans="1:15">
      <c r="A271" s="99" t="s">
        <v>170</v>
      </c>
      <c r="B271" s="99" t="s">
        <v>152</v>
      </c>
      <c r="C271" s="99" t="s">
        <v>91</v>
      </c>
      <c r="D271" s="99" t="s">
        <v>210</v>
      </c>
      <c r="E271" s="101" t="s">
        <v>196</v>
      </c>
      <c r="F271" s="99" t="s">
        <v>156</v>
      </c>
      <c r="G271" s="99" t="s">
        <v>157</v>
      </c>
      <c r="H271" s="99">
        <f>'Cuota Artesanal'!E73</f>
        <v>1.3380000000000001</v>
      </c>
      <c r="I271" s="99">
        <f>'Cuota Artesanal'!F73</f>
        <v>0</v>
      </c>
      <c r="J271" s="99">
        <f>'Cuota Artesanal'!G73</f>
        <v>0</v>
      </c>
      <c r="K271" s="99">
        <f>'Cuota Artesanal'!H73</f>
        <v>0</v>
      </c>
      <c r="L271" s="99">
        <f>'Cuota Artesanal'!I73</f>
        <v>0</v>
      </c>
      <c r="M271" s="95">
        <f>'Cuota Artesanal'!J73</f>
        <v>0</v>
      </c>
      <c r="N271" s="110" t="str">
        <f>'Cuota Artesanal'!Q73</f>
        <v>-</v>
      </c>
      <c r="O271" s="122">
        <v>43465</v>
      </c>
    </row>
    <row r="272" spans="1:15">
      <c r="A272" s="99" t="s">
        <v>170</v>
      </c>
      <c r="B272" s="99" t="s">
        <v>152</v>
      </c>
      <c r="C272" s="99" t="s">
        <v>91</v>
      </c>
      <c r="D272" s="99" t="s">
        <v>210</v>
      </c>
      <c r="E272" s="101" t="s">
        <v>196</v>
      </c>
      <c r="F272" s="99" t="s">
        <v>154</v>
      </c>
      <c r="G272" s="99" t="s">
        <v>157</v>
      </c>
      <c r="H272" s="99">
        <f>'Cuota Artesanal'!K72</f>
        <v>26.758000000000003</v>
      </c>
      <c r="I272" s="99">
        <f>'Cuota Artesanal'!L72</f>
        <v>-26.757999999999999</v>
      </c>
      <c r="J272" s="99">
        <f>'Cuota Artesanal'!M72</f>
        <v>0</v>
      </c>
      <c r="K272" s="99">
        <f>'Cuota Artesanal'!N72</f>
        <v>0</v>
      </c>
      <c r="L272" s="99">
        <f>'Cuota Artesanal'!O72</f>
        <v>0</v>
      </c>
      <c r="M272" s="95">
        <f>'Cuota Artesanal'!P72</f>
        <v>0</v>
      </c>
      <c r="N272" s="110" t="s">
        <v>209</v>
      </c>
      <c r="O272" s="122">
        <v>43465</v>
      </c>
    </row>
    <row r="273" spans="1:15" ht="30">
      <c r="A273" s="99" t="s">
        <v>170</v>
      </c>
      <c r="B273" s="99" t="s">
        <v>152</v>
      </c>
      <c r="C273" s="99" t="s">
        <v>91</v>
      </c>
      <c r="D273" s="99" t="s">
        <v>210</v>
      </c>
      <c r="E273" s="101" t="s">
        <v>238</v>
      </c>
      <c r="F273" s="99" t="s">
        <v>154</v>
      </c>
      <c r="G273" s="97" t="s">
        <v>155</v>
      </c>
      <c r="H273" s="99">
        <f>'Cuota Artesanal'!E74</f>
        <v>206.39400000000001</v>
      </c>
      <c r="I273" s="99">
        <f>'Cuota Artesanal'!F74</f>
        <v>-200</v>
      </c>
      <c r="J273" s="99">
        <f>'Cuota Artesanal'!G74</f>
        <v>6.3940000000000055</v>
      </c>
      <c r="K273" s="99">
        <f>'Cuota Artesanal'!H74</f>
        <v>0</v>
      </c>
      <c r="L273" s="99">
        <f>'Cuota Artesanal'!I74</f>
        <v>6.3940000000000055</v>
      </c>
      <c r="M273" s="95">
        <f>'Cuota Artesanal'!J74</f>
        <v>0</v>
      </c>
      <c r="N273" s="110" t="str">
        <f>'Cuota Artesanal'!Q74</f>
        <v>-</v>
      </c>
      <c r="O273" s="122">
        <v>43465</v>
      </c>
    </row>
    <row r="274" spans="1:15" ht="30">
      <c r="A274" s="99" t="s">
        <v>170</v>
      </c>
      <c r="B274" s="99" t="s">
        <v>152</v>
      </c>
      <c r="C274" s="99" t="s">
        <v>91</v>
      </c>
      <c r="D274" s="99" t="s">
        <v>210</v>
      </c>
      <c r="E274" s="101" t="s">
        <v>238</v>
      </c>
      <c r="F274" s="99" t="s">
        <v>156</v>
      </c>
      <c r="G274" s="99" t="s">
        <v>157</v>
      </c>
      <c r="H274" s="99">
        <f>'Cuota Artesanal'!E75</f>
        <v>10.863</v>
      </c>
      <c r="I274" s="99">
        <f>'Cuota Artesanal'!F75</f>
        <v>0</v>
      </c>
      <c r="J274" s="99">
        <f>'Cuota Artesanal'!G75</f>
        <v>17.257000000000005</v>
      </c>
      <c r="K274" s="99">
        <f>'Cuota Artesanal'!H75</f>
        <v>0</v>
      </c>
      <c r="L274" s="99">
        <f>'Cuota Artesanal'!I75</f>
        <v>17.257000000000005</v>
      </c>
      <c r="M274" s="95">
        <f>'Cuota Artesanal'!J75</f>
        <v>0</v>
      </c>
      <c r="N274" s="110" t="str">
        <f>'Cuota Artesanal'!Q75</f>
        <v>-</v>
      </c>
      <c r="O274" s="122">
        <v>43465</v>
      </c>
    </row>
    <row r="275" spans="1:15" ht="30">
      <c r="A275" s="99" t="s">
        <v>170</v>
      </c>
      <c r="B275" s="99" t="s">
        <v>152</v>
      </c>
      <c r="C275" s="99" t="s">
        <v>91</v>
      </c>
      <c r="D275" s="99" t="s">
        <v>210</v>
      </c>
      <c r="E275" s="101" t="s">
        <v>238</v>
      </c>
      <c r="F275" s="99" t="s">
        <v>154</v>
      </c>
      <c r="G275" s="99" t="s">
        <v>157</v>
      </c>
      <c r="H275" s="99">
        <f>'Cuota Artesanal'!K74</f>
        <v>217.25700000000001</v>
      </c>
      <c r="I275" s="99">
        <f>'Cuota Artesanal'!L74</f>
        <v>-200</v>
      </c>
      <c r="J275" s="99">
        <f>'Cuota Artesanal'!M74</f>
        <v>17.257000000000005</v>
      </c>
      <c r="K275" s="99">
        <f>'Cuota Artesanal'!N74</f>
        <v>0</v>
      </c>
      <c r="L275" s="99">
        <f>'Cuota Artesanal'!O74</f>
        <v>17.257000000000005</v>
      </c>
      <c r="M275" s="95">
        <f>'Cuota Artesanal'!P74</f>
        <v>0</v>
      </c>
      <c r="N275" s="110" t="s">
        <v>209</v>
      </c>
      <c r="O275" s="122">
        <v>43465</v>
      </c>
    </row>
    <row r="276" spans="1:15">
      <c r="A276" s="99" t="s">
        <v>170</v>
      </c>
      <c r="B276" s="99" t="s">
        <v>152</v>
      </c>
      <c r="C276" s="99" t="s">
        <v>91</v>
      </c>
      <c r="D276" s="99" t="s">
        <v>210</v>
      </c>
      <c r="E276" s="101" t="s">
        <v>239</v>
      </c>
      <c r="F276" s="99" t="s">
        <v>154</v>
      </c>
      <c r="G276" s="97" t="s">
        <v>155</v>
      </c>
      <c r="H276" s="99">
        <f>'Cuota Artesanal'!E76</f>
        <v>3190.232</v>
      </c>
      <c r="I276" s="99">
        <f>'Cuota Artesanal'!F76</f>
        <v>-3031</v>
      </c>
      <c r="J276" s="99">
        <f>'Cuota Artesanal'!G76</f>
        <v>159.23199999999997</v>
      </c>
      <c r="K276" s="99">
        <f>'Cuota Artesanal'!H76</f>
        <v>44.92</v>
      </c>
      <c r="L276" s="99">
        <f>'Cuota Artesanal'!I76</f>
        <v>114.31199999999997</v>
      </c>
      <c r="M276" s="95">
        <f>'Cuota Artesanal'!J76</f>
        <v>1</v>
      </c>
      <c r="N276" s="110">
        <f>'Cuota Artesanal'!Q76</f>
        <v>43172</v>
      </c>
      <c r="O276" s="122">
        <v>43465</v>
      </c>
    </row>
    <row r="277" spans="1:15">
      <c r="A277" s="99" t="s">
        <v>170</v>
      </c>
      <c r="B277" s="99" t="s">
        <v>152</v>
      </c>
      <c r="C277" s="99" t="s">
        <v>91</v>
      </c>
      <c r="D277" s="99" t="s">
        <v>210</v>
      </c>
      <c r="E277" s="101" t="s">
        <v>239</v>
      </c>
      <c r="F277" s="99" t="s">
        <v>156</v>
      </c>
      <c r="G277" s="99" t="s">
        <v>157</v>
      </c>
      <c r="H277" s="99">
        <f>'Cuota Artesanal'!E77</f>
        <v>1</v>
      </c>
      <c r="I277" s="99">
        <f>'Cuota Artesanal'!F77</f>
        <v>0</v>
      </c>
      <c r="J277" s="99">
        <f>'Cuota Artesanal'!G77</f>
        <v>115.31199999999997</v>
      </c>
      <c r="K277" s="99">
        <f>'Cuota Artesanal'!H77</f>
        <v>1.127</v>
      </c>
      <c r="L277" s="99">
        <f>'Cuota Artesanal'!I77</f>
        <v>114.18499999999997</v>
      </c>
      <c r="M277" s="95">
        <f>'Cuota Artesanal'!J77</f>
        <v>9.7734841126682417E-3</v>
      </c>
      <c r="N277" s="110" t="str">
        <f>'Cuota Artesanal'!Q77</f>
        <v>-</v>
      </c>
      <c r="O277" s="122">
        <v>43465</v>
      </c>
    </row>
    <row r="278" spans="1:15">
      <c r="A278" s="99" t="s">
        <v>170</v>
      </c>
      <c r="B278" s="99" t="s">
        <v>152</v>
      </c>
      <c r="C278" s="99" t="s">
        <v>91</v>
      </c>
      <c r="D278" s="99" t="s">
        <v>210</v>
      </c>
      <c r="E278" s="101" t="s">
        <v>239</v>
      </c>
      <c r="F278" s="99" t="s">
        <v>154</v>
      </c>
      <c r="G278" s="99" t="s">
        <v>157</v>
      </c>
      <c r="H278" s="99">
        <f>'Cuota Artesanal'!K76</f>
        <v>3191.232</v>
      </c>
      <c r="I278" s="99">
        <f>'Cuota Artesanal'!L76</f>
        <v>-3031</v>
      </c>
      <c r="J278" s="99">
        <f>'Cuota Artesanal'!M76</f>
        <v>160.23199999999997</v>
      </c>
      <c r="K278" s="99">
        <f>'Cuota Artesanal'!N76</f>
        <v>46.047000000000004</v>
      </c>
      <c r="L278" s="99">
        <f>'Cuota Artesanal'!O76</f>
        <v>114.18499999999997</v>
      </c>
      <c r="M278" s="95">
        <f>'Cuota Artesanal'!P76</f>
        <v>0.28737705327275459</v>
      </c>
      <c r="N278" s="110" t="s">
        <v>209</v>
      </c>
      <c r="O278" s="122">
        <v>43465</v>
      </c>
    </row>
    <row r="279" spans="1:15" ht="30">
      <c r="A279" s="99" t="s">
        <v>170</v>
      </c>
      <c r="B279" s="99" t="s">
        <v>152</v>
      </c>
      <c r="C279" s="99" t="s">
        <v>91</v>
      </c>
      <c r="D279" s="99" t="s">
        <v>210</v>
      </c>
      <c r="E279" s="101" t="s">
        <v>240</v>
      </c>
      <c r="F279" s="99" t="s">
        <v>154</v>
      </c>
      <c r="G279" s="97" t="s">
        <v>155</v>
      </c>
      <c r="H279" s="99">
        <f>'Cuota Artesanal'!E78</f>
        <v>542.077</v>
      </c>
      <c r="I279" s="99">
        <f>'Cuota Artesanal'!F78</f>
        <v>-550</v>
      </c>
      <c r="J279" s="99">
        <f>'Cuota Artesanal'!G78</f>
        <v>-7.9230000000000018</v>
      </c>
      <c r="K279" s="99">
        <f>'Cuota Artesanal'!H78</f>
        <v>0</v>
      </c>
      <c r="L279" s="99">
        <f>'Cuota Artesanal'!I78</f>
        <v>-7.9230000000000018</v>
      </c>
      <c r="M279" s="95">
        <f>'Cuota Artesanal'!J78</f>
        <v>0</v>
      </c>
      <c r="N279" s="110">
        <f>'Cuota Artesanal'!Q78</f>
        <v>43272</v>
      </c>
      <c r="O279" s="122">
        <v>43465</v>
      </c>
    </row>
    <row r="280" spans="1:15" ht="30">
      <c r="A280" s="99" t="s">
        <v>170</v>
      </c>
      <c r="B280" s="99" t="s">
        <v>152</v>
      </c>
      <c r="C280" s="99" t="s">
        <v>91</v>
      </c>
      <c r="D280" s="99" t="s">
        <v>210</v>
      </c>
      <c r="E280" s="101" t="s">
        <v>240</v>
      </c>
      <c r="F280" s="99" t="s">
        <v>156</v>
      </c>
      <c r="G280" s="99" t="s">
        <v>157</v>
      </c>
      <c r="H280" s="99">
        <f>'Cuota Artesanal'!E79</f>
        <v>28.53</v>
      </c>
      <c r="I280" s="99">
        <f>'Cuota Artesanal'!F79</f>
        <v>0</v>
      </c>
      <c r="J280" s="99">
        <f>'Cuota Artesanal'!G79</f>
        <v>20.606999999999999</v>
      </c>
      <c r="K280" s="99">
        <f>'Cuota Artesanal'!H79</f>
        <v>0</v>
      </c>
      <c r="L280" s="99">
        <f>'Cuota Artesanal'!I79</f>
        <v>20.606999999999999</v>
      </c>
      <c r="M280" s="95">
        <f>'Cuota Artesanal'!J79</f>
        <v>0</v>
      </c>
      <c r="N280" s="110" t="str">
        <f>'Cuota Artesanal'!Q79</f>
        <v>-</v>
      </c>
      <c r="O280" s="122">
        <v>43465</v>
      </c>
    </row>
    <row r="281" spans="1:15" ht="30">
      <c r="A281" s="99" t="s">
        <v>170</v>
      </c>
      <c r="B281" s="99" t="s">
        <v>152</v>
      </c>
      <c r="C281" s="99" t="s">
        <v>91</v>
      </c>
      <c r="D281" s="99" t="s">
        <v>210</v>
      </c>
      <c r="E281" s="101" t="s">
        <v>240</v>
      </c>
      <c r="F281" s="99" t="s">
        <v>154</v>
      </c>
      <c r="G281" s="99" t="s">
        <v>157</v>
      </c>
      <c r="H281" s="99">
        <f>'Cuota Artesanal'!K78</f>
        <v>570.60699999999997</v>
      </c>
      <c r="I281" s="99">
        <f>'Cuota Artesanal'!L78</f>
        <v>-550</v>
      </c>
      <c r="J281" s="99">
        <f>'Cuota Artesanal'!M78</f>
        <v>20.606999999999971</v>
      </c>
      <c r="K281" s="99">
        <f>'Cuota Artesanal'!N78</f>
        <v>0</v>
      </c>
      <c r="L281" s="99">
        <f>'Cuota Artesanal'!O78</f>
        <v>20.606999999999971</v>
      </c>
      <c r="M281" s="95">
        <f>'Cuota Artesanal'!P78</f>
        <v>0.96388582684755009</v>
      </c>
      <c r="N281" s="110" t="s">
        <v>209</v>
      </c>
      <c r="O281" s="122">
        <v>43465</v>
      </c>
    </row>
    <row r="282" spans="1:15" ht="30">
      <c r="A282" s="99" t="s">
        <v>170</v>
      </c>
      <c r="B282" s="99" t="s">
        <v>152</v>
      </c>
      <c r="C282" s="99" t="s">
        <v>91</v>
      </c>
      <c r="D282" s="99" t="s">
        <v>210</v>
      </c>
      <c r="E282" s="101" t="s">
        <v>241</v>
      </c>
      <c r="F282" s="99" t="s">
        <v>154</v>
      </c>
      <c r="G282" s="97" t="s">
        <v>155</v>
      </c>
      <c r="H282" s="99">
        <f>'Cuota Artesanal'!E80</f>
        <v>1736.777</v>
      </c>
      <c r="I282" s="99">
        <f>'Cuota Artesanal'!F80</f>
        <v>-1818.627</v>
      </c>
      <c r="J282" s="99">
        <f>'Cuota Artesanal'!G80</f>
        <v>-81.849999999999909</v>
      </c>
      <c r="K282" s="99">
        <f>'Cuota Artesanal'!H80</f>
        <v>5.71</v>
      </c>
      <c r="L282" s="99">
        <f>'Cuota Artesanal'!I80</f>
        <v>-87.559999999999903</v>
      </c>
      <c r="M282" s="95">
        <f>'Cuota Artesanal'!J80</f>
        <v>-6.9761759315821709E-2</v>
      </c>
      <c r="N282" s="110">
        <f>'Cuota Artesanal'!Q80</f>
        <v>43322</v>
      </c>
      <c r="O282" s="122">
        <v>43465</v>
      </c>
    </row>
    <row r="283" spans="1:15" ht="30">
      <c r="A283" s="99" t="s">
        <v>170</v>
      </c>
      <c r="B283" s="99" t="s">
        <v>152</v>
      </c>
      <c r="C283" s="99" t="s">
        <v>91</v>
      </c>
      <c r="D283" s="99" t="s">
        <v>210</v>
      </c>
      <c r="E283" s="101" t="s">
        <v>241</v>
      </c>
      <c r="F283" s="99" t="s">
        <v>156</v>
      </c>
      <c r="G283" s="99" t="s">
        <v>157</v>
      </c>
      <c r="H283" s="99">
        <f>'Cuota Artesanal'!E81</f>
        <v>91.409000000000006</v>
      </c>
      <c r="I283" s="99">
        <f>'Cuota Artesanal'!F81</f>
        <v>0</v>
      </c>
      <c r="J283" s="99">
        <f>'Cuota Artesanal'!G81</f>
        <v>3.8490000000001032</v>
      </c>
      <c r="K283" s="99">
        <f>'Cuota Artesanal'!H81</f>
        <v>30.47</v>
      </c>
      <c r="L283" s="99">
        <f>'Cuota Artesanal'!I81</f>
        <v>-26.620999999999896</v>
      </c>
      <c r="M283" s="95">
        <f>'Cuota Artesanal'!J81</f>
        <v>7.9163419069886158</v>
      </c>
      <c r="N283" s="110" t="str">
        <f>'Cuota Artesanal'!Q81</f>
        <v>-</v>
      </c>
      <c r="O283" s="122">
        <v>43465</v>
      </c>
    </row>
    <row r="284" spans="1:15" ht="30">
      <c r="A284" s="99" t="s">
        <v>170</v>
      </c>
      <c r="B284" s="99" t="s">
        <v>152</v>
      </c>
      <c r="C284" s="99" t="s">
        <v>91</v>
      </c>
      <c r="D284" s="99" t="s">
        <v>210</v>
      </c>
      <c r="E284" s="101" t="s">
        <v>241</v>
      </c>
      <c r="F284" s="99" t="s">
        <v>154</v>
      </c>
      <c r="G284" s="99" t="s">
        <v>157</v>
      </c>
      <c r="H284" s="99">
        <f>'Cuota Artesanal'!K80</f>
        <v>1828.1860000000001</v>
      </c>
      <c r="I284" s="99">
        <f>'Cuota Artesanal'!L80</f>
        <v>-1818.627</v>
      </c>
      <c r="J284" s="99">
        <f>'Cuota Artesanal'!M80</f>
        <v>9.5590000000001965</v>
      </c>
      <c r="K284" s="99">
        <f>'Cuota Artesanal'!N80</f>
        <v>36.18</v>
      </c>
      <c r="L284" s="99">
        <f>'Cuota Artesanal'!O80</f>
        <v>-26.620999999999803</v>
      </c>
      <c r="M284" s="95">
        <f>'Cuota Artesanal'!P80</f>
        <v>3.7849147400354908</v>
      </c>
      <c r="N284" s="110" t="s">
        <v>209</v>
      </c>
      <c r="O284" s="122">
        <v>43465</v>
      </c>
    </row>
    <row r="285" spans="1:15" ht="30">
      <c r="A285" s="99" t="s">
        <v>170</v>
      </c>
      <c r="B285" s="99" t="s">
        <v>152</v>
      </c>
      <c r="C285" s="99" t="s">
        <v>91</v>
      </c>
      <c r="D285" s="99" t="s">
        <v>210</v>
      </c>
      <c r="E285" s="101" t="s">
        <v>246</v>
      </c>
      <c r="F285" s="99" t="s">
        <v>154</v>
      </c>
      <c r="G285" s="97" t="s">
        <v>155</v>
      </c>
      <c r="H285" s="99">
        <f>'Cuota Artesanal'!E82</f>
        <v>0.65300000000000002</v>
      </c>
      <c r="I285" s="99">
        <f>'Cuota Artesanal'!F82</f>
        <v>0</v>
      </c>
      <c r="J285" s="99">
        <f>'Cuota Artesanal'!G82</f>
        <v>0.65300000000000002</v>
      </c>
      <c r="K285" s="99">
        <f>'Cuota Artesanal'!H82</f>
        <v>0</v>
      </c>
      <c r="L285" s="99">
        <f>'Cuota Artesanal'!I82</f>
        <v>0.65300000000000002</v>
      </c>
      <c r="M285" s="95">
        <f>'Cuota Artesanal'!J82</f>
        <v>0</v>
      </c>
      <c r="N285" s="110" t="str">
        <f>'Cuota Artesanal'!Q82</f>
        <v>-</v>
      </c>
      <c r="O285" s="122">
        <v>43465</v>
      </c>
    </row>
    <row r="286" spans="1:15" ht="30">
      <c r="A286" s="99" t="s">
        <v>170</v>
      </c>
      <c r="B286" s="99" t="s">
        <v>152</v>
      </c>
      <c r="C286" s="99" t="s">
        <v>91</v>
      </c>
      <c r="D286" s="99" t="s">
        <v>210</v>
      </c>
      <c r="E286" s="101" t="s">
        <v>246</v>
      </c>
      <c r="F286" s="99" t="s">
        <v>156</v>
      </c>
      <c r="G286" s="99" t="s">
        <v>157</v>
      </c>
      <c r="H286" s="99">
        <f>'Cuota Artesanal'!E83</f>
        <v>3.4000000000000002E-2</v>
      </c>
      <c r="I286" s="99">
        <f>'Cuota Artesanal'!F83</f>
        <v>0</v>
      </c>
      <c r="J286" s="99">
        <f>'Cuota Artesanal'!G83</f>
        <v>0.68700000000000006</v>
      </c>
      <c r="K286" s="99">
        <f>'Cuota Artesanal'!H83</f>
        <v>0</v>
      </c>
      <c r="L286" s="99">
        <f>'Cuota Artesanal'!I83</f>
        <v>0.68700000000000006</v>
      </c>
      <c r="M286" s="95">
        <f>'Cuota Artesanal'!J83</f>
        <v>0</v>
      </c>
      <c r="N286" s="110" t="str">
        <f>'Cuota Artesanal'!Q83</f>
        <v>-</v>
      </c>
      <c r="O286" s="122">
        <v>43465</v>
      </c>
    </row>
    <row r="287" spans="1:15" ht="30">
      <c r="A287" s="99" t="s">
        <v>170</v>
      </c>
      <c r="B287" s="99" t="s">
        <v>152</v>
      </c>
      <c r="C287" s="99" t="s">
        <v>91</v>
      </c>
      <c r="D287" s="99" t="s">
        <v>210</v>
      </c>
      <c r="E287" s="101" t="s">
        <v>246</v>
      </c>
      <c r="F287" s="99" t="s">
        <v>154</v>
      </c>
      <c r="G287" s="99" t="s">
        <v>157</v>
      </c>
      <c r="H287" s="99">
        <f>'Cuota Artesanal'!K82</f>
        <v>0.68700000000000006</v>
      </c>
      <c r="I287" s="99">
        <f>'Cuota Artesanal'!L82</f>
        <v>0</v>
      </c>
      <c r="J287" s="99">
        <f>'Cuota Artesanal'!M82</f>
        <v>0.68700000000000006</v>
      </c>
      <c r="K287" s="99">
        <f>'Cuota Artesanal'!N82</f>
        <v>0</v>
      </c>
      <c r="L287" s="99">
        <f>'Cuota Artesanal'!O82</f>
        <v>0.68700000000000006</v>
      </c>
      <c r="M287" s="95">
        <f>'Cuota Artesanal'!P82</f>
        <v>0</v>
      </c>
      <c r="N287" s="110" t="s">
        <v>209</v>
      </c>
      <c r="O287" s="122">
        <v>43465</v>
      </c>
    </row>
    <row r="288" spans="1:15" ht="30">
      <c r="A288" s="99" t="s">
        <v>170</v>
      </c>
      <c r="B288" s="99" t="s">
        <v>152</v>
      </c>
      <c r="C288" s="99" t="s">
        <v>91</v>
      </c>
      <c r="D288" s="99" t="s">
        <v>210</v>
      </c>
      <c r="E288" s="101" t="s">
        <v>197</v>
      </c>
      <c r="F288" s="99" t="s">
        <v>154</v>
      </c>
      <c r="G288" s="97" t="s">
        <v>155</v>
      </c>
      <c r="H288" s="99">
        <f>'Cuota Artesanal'!E84</f>
        <v>6.9550000000000001</v>
      </c>
      <c r="I288" s="99">
        <f>'Cuota Artesanal'!F84</f>
        <v>0</v>
      </c>
      <c r="J288" s="99">
        <f>'Cuota Artesanal'!G84</f>
        <v>6.9550000000000001</v>
      </c>
      <c r="K288" s="99">
        <f>'Cuota Artesanal'!H84</f>
        <v>0</v>
      </c>
      <c r="L288" s="99">
        <f>'Cuota Artesanal'!I84</f>
        <v>6.9550000000000001</v>
      </c>
      <c r="M288" s="95">
        <f>'Cuota Artesanal'!J84</f>
        <v>0</v>
      </c>
      <c r="N288" s="110" t="str">
        <f>'Cuota Artesanal'!Q84</f>
        <v>-</v>
      </c>
      <c r="O288" s="122">
        <v>43465</v>
      </c>
    </row>
    <row r="289" spans="1:15" ht="30">
      <c r="A289" s="99" t="s">
        <v>170</v>
      </c>
      <c r="B289" s="99" t="s">
        <v>152</v>
      </c>
      <c r="C289" s="99" t="s">
        <v>91</v>
      </c>
      <c r="D289" s="99" t="s">
        <v>210</v>
      </c>
      <c r="E289" s="101" t="s">
        <v>197</v>
      </c>
      <c r="F289" s="99" t="s">
        <v>156</v>
      </c>
      <c r="G289" s="99" t="s">
        <v>157</v>
      </c>
      <c r="H289" s="99">
        <f>'Cuota Artesanal'!E85</f>
        <v>0.36599999999999999</v>
      </c>
      <c r="I289" s="99">
        <f>'Cuota Artesanal'!F85</f>
        <v>0</v>
      </c>
      <c r="J289" s="99">
        <f>'Cuota Artesanal'!G85</f>
        <v>7.3209999999999997</v>
      </c>
      <c r="K289" s="99">
        <f>'Cuota Artesanal'!H85</f>
        <v>0</v>
      </c>
      <c r="L289" s="99">
        <f>'Cuota Artesanal'!I85</f>
        <v>7.3209999999999997</v>
      </c>
      <c r="M289" s="95">
        <f>'Cuota Artesanal'!J85</f>
        <v>0</v>
      </c>
      <c r="N289" s="110" t="str">
        <f>'Cuota Artesanal'!Q85</f>
        <v>-</v>
      </c>
      <c r="O289" s="122">
        <v>43465</v>
      </c>
    </row>
    <row r="290" spans="1:15" ht="30">
      <c r="A290" s="99" t="s">
        <v>170</v>
      </c>
      <c r="B290" s="99" t="s">
        <v>152</v>
      </c>
      <c r="C290" s="99" t="s">
        <v>91</v>
      </c>
      <c r="D290" s="99" t="s">
        <v>210</v>
      </c>
      <c r="E290" s="101" t="s">
        <v>197</v>
      </c>
      <c r="F290" s="99" t="s">
        <v>154</v>
      </c>
      <c r="G290" s="99" t="s">
        <v>157</v>
      </c>
      <c r="H290" s="99">
        <f>'Cuota Artesanal'!K84</f>
        <v>7.3209999999999997</v>
      </c>
      <c r="I290" s="99">
        <f>'Cuota Artesanal'!L84</f>
        <v>0</v>
      </c>
      <c r="J290" s="99">
        <f>'Cuota Artesanal'!M84</f>
        <v>7.3209999999999997</v>
      </c>
      <c r="K290" s="99">
        <f>'Cuota Artesanal'!N84</f>
        <v>0</v>
      </c>
      <c r="L290" s="99">
        <f>'Cuota Artesanal'!O84</f>
        <v>7.3209999999999997</v>
      </c>
      <c r="M290" s="95">
        <f>'Cuota Artesanal'!P84</f>
        <v>0</v>
      </c>
      <c r="N290" s="110" t="s">
        <v>209</v>
      </c>
      <c r="O290" s="122">
        <v>43465</v>
      </c>
    </row>
    <row r="291" spans="1:15" ht="30">
      <c r="A291" s="99" t="s">
        <v>170</v>
      </c>
      <c r="B291" s="99" t="s">
        <v>152</v>
      </c>
      <c r="C291" s="99" t="s">
        <v>91</v>
      </c>
      <c r="D291" s="99" t="s">
        <v>210</v>
      </c>
      <c r="E291" s="101" t="s">
        <v>198</v>
      </c>
      <c r="F291" s="99" t="s">
        <v>154</v>
      </c>
      <c r="G291" s="97" t="s">
        <v>155</v>
      </c>
      <c r="H291" s="99">
        <f>'Cuota Artesanal'!E88</f>
        <v>448.94900000000001</v>
      </c>
      <c r="I291" s="99">
        <f>'Cuota Artesanal'!F88</f>
        <v>-459.38</v>
      </c>
      <c r="J291" s="99">
        <f>'Cuota Artesanal'!G88</f>
        <v>-10.430999999999983</v>
      </c>
      <c r="K291" s="99">
        <f>'Cuota Artesanal'!H88</f>
        <v>0</v>
      </c>
      <c r="L291" s="99">
        <f>'Cuota Artesanal'!I88</f>
        <v>-10.430999999999983</v>
      </c>
      <c r="M291" s="95">
        <f>'Cuota Artesanal'!J88</f>
        <v>1</v>
      </c>
      <c r="N291" s="110">
        <f>'Cuota Artesanal'!Q88</f>
        <v>43181</v>
      </c>
      <c r="O291" s="122">
        <v>43465</v>
      </c>
    </row>
    <row r="292" spans="1:15" ht="30">
      <c r="A292" s="99" t="s">
        <v>170</v>
      </c>
      <c r="B292" s="99" t="s">
        <v>152</v>
      </c>
      <c r="C292" s="99" t="s">
        <v>91</v>
      </c>
      <c r="D292" s="99" t="s">
        <v>210</v>
      </c>
      <c r="E292" s="101" t="s">
        <v>198</v>
      </c>
      <c r="F292" s="99" t="s">
        <v>156</v>
      </c>
      <c r="G292" s="99" t="s">
        <v>157</v>
      </c>
      <c r="H292" s="99">
        <f>'Cuota Artesanal'!E89</f>
        <v>23.629000000000001</v>
      </c>
      <c r="I292" s="99">
        <f>'Cuota Artesanal'!F89</f>
        <v>0</v>
      </c>
      <c r="J292" s="99">
        <f>'Cuota Artesanal'!G89</f>
        <v>13.198000000000018</v>
      </c>
      <c r="K292" s="99">
        <f>'Cuota Artesanal'!H89</f>
        <v>0</v>
      </c>
      <c r="L292" s="99">
        <f>'Cuota Artesanal'!I89</f>
        <v>13.198000000000018</v>
      </c>
      <c r="M292" s="95">
        <f>'Cuota Artesanal'!J89</f>
        <v>0</v>
      </c>
      <c r="N292" s="110" t="str">
        <f>'Cuota Artesanal'!Q89</f>
        <v>-</v>
      </c>
      <c r="O292" s="122">
        <v>43465</v>
      </c>
    </row>
    <row r="293" spans="1:15" ht="30">
      <c r="A293" s="99" t="s">
        <v>170</v>
      </c>
      <c r="B293" s="99" t="s">
        <v>152</v>
      </c>
      <c r="C293" s="99" t="s">
        <v>91</v>
      </c>
      <c r="D293" s="99" t="s">
        <v>210</v>
      </c>
      <c r="E293" s="101" t="s">
        <v>198</v>
      </c>
      <c r="F293" s="99" t="s">
        <v>154</v>
      </c>
      <c r="G293" s="99" t="s">
        <v>157</v>
      </c>
      <c r="H293" s="99">
        <f>'Cuota Artesanal'!K88</f>
        <v>472.57800000000003</v>
      </c>
      <c r="I293" s="99">
        <f>'Cuota Artesanal'!L88</f>
        <v>-459.38</v>
      </c>
      <c r="J293" s="99">
        <f>'Cuota Artesanal'!M88</f>
        <v>13.198000000000036</v>
      </c>
      <c r="K293" s="99">
        <f>'Cuota Artesanal'!N88</f>
        <v>0</v>
      </c>
      <c r="L293" s="99">
        <f>'Cuota Artesanal'!O88</f>
        <v>13.198000000000036</v>
      </c>
      <c r="M293" s="95">
        <f>'Cuota Artesanal'!P88</f>
        <v>0</v>
      </c>
      <c r="N293" s="110" t="s">
        <v>209</v>
      </c>
      <c r="O293" s="122">
        <v>43465</v>
      </c>
    </row>
    <row r="294" spans="1:15" ht="45">
      <c r="A294" s="99" t="s">
        <v>170</v>
      </c>
      <c r="B294" s="99" t="s">
        <v>152</v>
      </c>
      <c r="C294" s="99" t="s">
        <v>91</v>
      </c>
      <c r="D294" s="99" t="s">
        <v>210</v>
      </c>
      <c r="E294" s="101" t="s">
        <v>242</v>
      </c>
      <c r="F294" s="99" t="s">
        <v>154</v>
      </c>
      <c r="G294" s="97" t="s">
        <v>155</v>
      </c>
      <c r="H294" s="99">
        <f>'Cuota Artesanal'!E86</f>
        <v>25.58</v>
      </c>
      <c r="I294" s="99">
        <f>'Cuota Artesanal'!F86</f>
        <v>-21</v>
      </c>
      <c r="J294" s="99">
        <f>'Cuota Artesanal'!G86</f>
        <v>4.5799999999999983</v>
      </c>
      <c r="K294" s="99">
        <f>'Cuota Artesanal'!H86</f>
        <v>0</v>
      </c>
      <c r="L294" s="99">
        <f>'Cuota Artesanal'!I86</f>
        <v>4.5799999999999983</v>
      </c>
      <c r="M294" s="95">
        <f>'Cuota Artesanal'!J86</f>
        <v>0</v>
      </c>
      <c r="N294" s="110" t="str">
        <f>'Cuota Artesanal'!Q86</f>
        <v>-</v>
      </c>
      <c r="O294" s="122">
        <v>43465</v>
      </c>
    </row>
    <row r="295" spans="1:15" ht="45">
      <c r="A295" s="99" t="s">
        <v>170</v>
      </c>
      <c r="B295" s="99" t="s">
        <v>152</v>
      </c>
      <c r="C295" s="99" t="s">
        <v>91</v>
      </c>
      <c r="D295" s="99" t="s">
        <v>210</v>
      </c>
      <c r="E295" s="101" t="s">
        <v>243</v>
      </c>
      <c r="F295" s="99" t="s">
        <v>156</v>
      </c>
      <c r="G295" s="99" t="s">
        <v>157</v>
      </c>
      <c r="H295" s="99">
        <f>'Cuota Artesanal'!E87</f>
        <v>1.3460000000000001</v>
      </c>
      <c r="I295" s="99">
        <f>'Cuota Artesanal'!F87</f>
        <v>0</v>
      </c>
      <c r="J295" s="99">
        <f>'Cuota Artesanal'!G87</f>
        <v>5.9259999999999984</v>
      </c>
      <c r="K295" s="99">
        <f>'Cuota Artesanal'!H87</f>
        <v>0</v>
      </c>
      <c r="L295" s="99">
        <f>'Cuota Artesanal'!I87</f>
        <v>5.9259999999999984</v>
      </c>
      <c r="M295" s="95">
        <f>'Cuota Artesanal'!J87</f>
        <v>0</v>
      </c>
      <c r="N295" s="110" t="str">
        <f>'Cuota Artesanal'!Q87</f>
        <v>-</v>
      </c>
      <c r="O295" s="122">
        <v>43465</v>
      </c>
    </row>
    <row r="296" spans="1:15" ht="20.100000000000001" customHeight="1">
      <c r="A296" s="99" t="s">
        <v>170</v>
      </c>
      <c r="B296" s="99" t="s">
        <v>152</v>
      </c>
      <c r="C296" s="99" t="s">
        <v>91</v>
      </c>
      <c r="D296" s="99" t="s">
        <v>210</v>
      </c>
      <c r="E296" s="101" t="s">
        <v>244</v>
      </c>
      <c r="F296" s="99" t="s">
        <v>154</v>
      </c>
      <c r="G296" s="99" t="s">
        <v>157</v>
      </c>
      <c r="H296" s="99">
        <f>'Cuota Artesanal'!K86</f>
        <v>26.925999999999998</v>
      </c>
      <c r="I296" s="99">
        <f>'Cuota Artesanal'!L86</f>
        <v>-21</v>
      </c>
      <c r="J296" s="99">
        <f>'Cuota Artesanal'!M86</f>
        <v>5.9259999999999984</v>
      </c>
      <c r="K296" s="99">
        <f>'Cuota Artesanal'!N86</f>
        <v>0</v>
      </c>
      <c r="L296" s="99">
        <f>'Cuota Artesanal'!O86</f>
        <v>5.9259999999999984</v>
      </c>
      <c r="M296" s="95">
        <f>'Cuota Artesanal'!P86</f>
        <v>0</v>
      </c>
      <c r="N296" s="110" t="s">
        <v>209</v>
      </c>
      <c r="O296" s="122">
        <v>43465</v>
      </c>
    </row>
    <row r="297" spans="1:15">
      <c r="A297" s="99" t="s">
        <v>170</v>
      </c>
      <c r="B297" s="99" t="s">
        <v>152</v>
      </c>
      <c r="C297" s="99" t="s">
        <v>91</v>
      </c>
      <c r="D297" s="99" t="s">
        <v>200</v>
      </c>
      <c r="E297" s="99" t="s">
        <v>200</v>
      </c>
      <c r="F297" s="99" t="s">
        <v>154</v>
      </c>
      <c r="G297" s="97" t="s">
        <v>155</v>
      </c>
      <c r="H297" s="99">
        <f>'Cuota Artesanal'!E90</f>
        <v>6.117</v>
      </c>
      <c r="I297" s="99">
        <f>'Cuota Artesanal'!F90</f>
        <v>0</v>
      </c>
      <c r="J297" s="99">
        <f>'Cuota Artesanal'!G90</f>
        <v>6.117</v>
      </c>
      <c r="K297" s="99">
        <f>'Cuota Artesanal'!H90</f>
        <v>12.451000000000001</v>
      </c>
      <c r="L297" s="99">
        <f>'Cuota Artesanal'!I90</f>
        <v>-6.3340000000000005</v>
      </c>
      <c r="M297" s="95">
        <f>'Cuota Artesanal'!J90</f>
        <v>2.0354749059996733</v>
      </c>
      <c r="N297" s="110">
        <f>'Cuota Artesanal'!Q90</f>
        <v>43242</v>
      </c>
      <c r="O297" s="122">
        <v>43465</v>
      </c>
    </row>
    <row r="298" spans="1:15">
      <c r="A298" s="99" t="s">
        <v>170</v>
      </c>
      <c r="B298" s="99" t="s">
        <v>152</v>
      </c>
      <c r="C298" s="99" t="s">
        <v>91</v>
      </c>
      <c r="D298" s="99" t="s">
        <v>200</v>
      </c>
      <c r="E298" s="99" t="s">
        <v>200</v>
      </c>
      <c r="F298" s="99" t="s">
        <v>156</v>
      </c>
      <c r="G298" s="99" t="s">
        <v>157</v>
      </c>
      <c r="H298" s="99">
        <f>'Cuota Artesanal'!E91</f>
        <v>0.32200000000000001</v>
      </c>
      <c r="I298" s="99">
        <f>'Cuota Artesanal'!F91</f>
        <v>0</v>
      </c>
      <c r="J298" s="99">
        <f>'Cuota Artesanal'!G91</f>
        <v>-6.0120000000000005</v>
      </c>
      <c r="K298" s="99">
        <f>'Cuota Artesanal'!H91</f>
        <v>0</v>
      </c>
      <c r="L298" s="99">
        <f>'Cuota Artesanal'!I91</f>
        <v>-6.0120000000000005</v>
      </c>
      <c r="M298" s="95">
        <f>'Cuota Artesanal'!J91</f>
        <v>0</v>
      </c>
      <c r="N298" s="110" t="str">
        <f>'Cuota Artesanal'!Q91</f>
        <v>-</v>
      </c>
      <c r="O298" s="122">
        <v>43465</v>
      </c>
    </row>
    <row r="299" spans="1:15">
      <c r="A299" s="99" t="s">
        <v>170</v>
      </c>
      <c r="B299" s="99" t="s">
        <v>152</v>
      </c>
      <c r="C299" s="99" t="s">
        <v>91</v>
      </c>
      <c r="D299" s="99" t="s">
        <v>200</v>
      </c>
      <c r="E299" s="99" t="s">
        <v>200</v>
      </c>
      <c r="F299" s="99" t="s">
        <v>154</v>
      </c>
      <c r="G299" s="99" t="s">
        <v>157</v>
      </c>
      <c r="H299" s="99">
        <f>'Cuota Artesanal'!K90</f>
        <v>6.4390000000000001</v>
      </c>
      <c r="I299" s="99">
        <f>'Cuota Artesanal'!L90</f>
        <v>0</v>
      </c>
      <c r="J299" s="99">
        <f>'Cuota Artesanal'!M90</f>
        <v>6.4390000000000001</v>
      </c>
      <c r="K299" s="99">
        <f>'Cuota Artesanal'!N90</f>
        <v>12.451000000000001</v>
      </c>
      <c r="L299" s="99">
        <f>'Cuota Artesanal'!O90</f>
        <v>-6.0120000000000005</v>
      </c>
      <c r="M299" s="95">
        <f>'Cuota Artesanal'!P90</f>
        <v>1.9336853548687685</v>
      </c>
      <c r="N299" s="110" t="s">
        <v>209</v>
      </c>
      <c r="O299" s="122">
        <v>43465</v>
      </c>
    </row>
    <row r="300" spans="1:15">
      <c r="A300" s="98" t="s">
        <v>151</v>
      </c>
      <c r="B300" s="99" t="s">
        <v>152</v>
      </c>
      <c r="C300" s="99" t="s">
        <v>79</v>
      </c>
      <c r="D300" s="96" t="s">
        <v>202</v>
      </c>
      <c r="E300" s="96" t="s">
        <v>203</v>
      </c>
      <c r="F300" s="99" t="s">
        <v>154</v>
      </c>
      <c r="G300" s="99" t="s">
        <v>157</v>
      </c>
      <c r="H300" s="100">
        <f>Resumen!D21</f>
        <v>51884.028999999995</v>
      </c>
      <c r="I300" s="105">
        <f>Resumen!E21</f>
        <v>-24426.168999999998</v>
      </c>
      <c r="J300" s="105">
        <f>Resumen!F21</f>
        <v>27457.859999999997</v>
      </c>
      <c r="K300" s="105">
        <f>Resumen!G21</f>
        <v>9573.9549999999999</v>
      </c>
      <c r="L300" s="105">
        <f>Resumen!H21</f>
        <v>17883.904999999999</v>
      </c>
      <c r="M300" s="95">
        <f>Resumen!I21</f>
        <v>0.34867811985347735</v>
      </c>
      <c r="N300" s="110" t="s">
        <v>209</v>
      </c>
      <c r="O300" s="122">
        <v>43465</v>
      </c>
    </row>
    <row r="301" spans="1:15">
      <c r="A301" s="209" t="s">
        <v>163</v>
      </c>
      <c r="B301" s="210" t="s">
        <v>152</v>
      </c>
      <c r="C301" s="210" t="s">
        <v>164</v>
      </c>
      <c r="D301" s="211" t="s">
        <v>202</v>
      </c>
      <c r="E301" s="211" t="s">
        <v>203</v>
      </c>
      <c r="F301" s="210" t="s">
        <v>154</v>
      </c>
      <c r="G301" s="210" t="s">
        <v>157</v>
      </c>
      <c r="H301" s="212">
        <f>Resumen!D22</f>
        <v>10949.001999999999</v>
      </c>
      <c r="I301" s="212">
        <f>Resumen!E22</f>
        <v>-6626.05</v>
      </c>
      <c r="J301" s="212">
        <f>Resumen!F22</f>
        <v>4322.9519999999984</v>
      </c>
      <c r="K301" s="212">
        <f>Resumen!G22</f>
        <v>748.61900000000003</v>
      </c>
      <c r="L301" s="212">
        <f>Resumen!H22</f>
        <v>3574.3329999999983</v>
      </c>
      <c r="M301" s="213">
        <f>Resumen!I22</f>
        <v>0.17317310023335913</v>
      </c>
      <c r="N301" s="214" t="s">
        <v>209</v>
      </c>
      <c r="O301" s="122">
        <v>43465</v>
      </c>
    </row>
    <row r="302" spans="1:15">
      <c r="A302" s="98" t="s">
        <v>167</v>
      </c>
      <c r="B302" s="99" t="s">
        <v>152</v>
      </c>
      <c r="C302" s="99" t="s">
        <v>96</v>
      </c>
      <c r="D302" s="96" t="s">
        <v>202</v>
      </c>
      <c r="E302" s="96" t="s">
        <v>203</v>
      </c>
      <c r="F302" s="99" t="s">
        <v>154</v>
      </c>
      <c r="G302" s="99" t="s">
        <v>157</v>
      </c>
      <c r="H302" s="99">
        <f>Resumen!D23</f>
        <v>232766.128</v>
      </c>
      <c r="I302" s="99">
        <f>Resumen!E23</f>
        <v>38594.382000000012</v>
      </c>
      <c r="J302" s="99">
        <f>Resumen!F23</f>
        <v>271360.51</v>
      </c>
      <c r="K302" s="99">
        <f>Resumen!G23</f>
        <v>276006.78200000001</v>
      </c>
      <c r="L302" s="99">
        <f>Resumen!H23</f>
        <v>-4646.2719999999972</v>
      </c>
      <c r="M302" s="95">
        <f>Resumen!I23</f>
        <v>1.0171221376315958</v>
      </c>
      <c r="N302" s="110" t="s">
        <v>209</v>
      </c>
      <c r="O302" s="122">
        <v>43465</v>
      </c>
    </row>
    <row r="303" spans="1:15">
      <c r="A303" s="98" t="s">
        <v>170</v>
      </c>
      <c r="B303" s="99" t="s">
        <v>152</v>
      </c>
      <c r="C303" s="99" t="s">
        <v>102</v>
      </c>
      <c r="D303" s="96" t="s">
        <v>202</v>
      </c>
      <c r="E303" s="96" t="s">
        <v>203</v>
      </c>
      <c r="F303" s="99" t="s">
        <v>154</v>
      </c>
      <c r="G303" s="99" t="s">
        <v>157</v>
      </c>
      <c r="H303" s="105">
        <f>Resumen!D24</f>
        <v>32708.995999999992</v>
      </c>
      <c r="I303" s="105">
        <f>Resumen!E24</f>
        <v>5045.9960000000046</v>
      </c>
      <c r="J303" s="105">
        <f>Resumen!F24</f>
        <v>37754.991999999998</v>
      </c>
      <c r="K303" s="105">
        <f>Resumen!G24</f>
        <v>36715.095000000001</v>
      </c>
      <c r="L303" s="105">
        <f>Resumen!H24</f>
        <v>1039.8969999999972</v>
      </c>
      <c r="M303" s="95">
        <f>Resumen!I24</f>
        <v>0.97245670188461442</v>
      </c>
      <c r="N303" s="110" t="s">
        <v>209</v>
      </c>
      <c r="O303" s="122">
        <v>43465</v>
      </c>
    </row>
    <row r="304" spans="1:15">
      <c r="A304" s="98" t="s">
        <v>151</v>
      </c>
      <c r="B304" s="99" t="s">
        <v>152</v>
      </c>
      <c r="C304" s="99" t="s">
        <v>179</v>
      </c>
      <c r="D304" s="99" t="s">
        <v>211</v>
      </c>
      <c r="E304" s="106" t="s">
        <v>204</v>
      </c>
      <c r="F304" s="99" t="s">
        <v>154</v>
      </c>
      <c r="G304" s="99" t="s">
        <v>157</v>
      </c>
      <c r="H304" s="99">
        <f>Resumen!D5</f>
        <v>1290.5</v>
      </c>
      <c r="I304" s="99">
        <f>Resumen!E5</f>
        <v>0</v>
      </c>
      <c r="J304" s="99">
        <f>Resumen!F5</f>
        <v>1290.5</v>
      </c>
      <c r="K304" s="99">
        <f>Resumen!G5</f>
        <v>96.127999999999986</v>
      </c>
      <c r="L304" s="99">
        <f>Resumen!H5</f>
        <v>1194.3720000000001</v>
      </c>
      <c r="M304" s="95">
        <f>Resumen!I5</f>
        <v>7.4488957768306843E-2</v>
      </c>
      <c r="N304" s="110" t="s">
        <v>209</v>
      </c>
      <c r="O304" s="122">
        <v>43465</v>
      </c>
    </row>
    <row r="305" spans="1:15">
      <c r="A305" s="98" t="s">
        <v>151</v>
      </c>
      <c r="B305" s="99" t="s">
        <v>152</v>
      </c>
      <c r="C305" s="99" t="s">
        <v>48</v>
      </c>
      <c r="D305" s="99" t="s">
        <v>160</v>
      </c>
      <c r="E305" s="99" t="s">
        <v>211</v>
      </c>
      <c r="F305" s="99" t="s">
        <v>154</v>
      </c>
      <c r="G305" s="99" t="s">
        <v>157</v>
      </c>
      <c r="H305" s="99">
        <f>Resumen!D6</f>
        <v>1290.5</v>
      </c>
      <c r="I305" s="99">
        <f>Resumen!E6</f>
        <v>0</v>
      </c>
      <c r="J305" s="99">
        <f>Resumen!F6</f>
        <v>1290.5</v>
      </c>
      <c r="K305" s="99">
        <f>Resumen!G6</f>
        <v>142.41900000000001</v>
      </c>
      <c r="L305" s="99">
        <f>Resumen!H6</f>
        <v>1148.0809999999999</v>
      </c>
      <c r="M305" s="95">
        <f>Resumen!I6</f>
        <v>0.11035955056179776</v>
      </c>
      <c r="N305" s="110" t="s">
        <v>209</v>
      </c>
      <c r="O305" s="122">
        <v>43465</v>
      </c>
    </row>
    <row r="306" spans="1:15">
      <c r="A306" s="98" t="s">
        <v>163</v>
      </c>
      <c r="B306" s="97" t="s">
        <v>152</v>
      </c>
      <c r="C306" s="97" t="s">
        <v>184</v>
      </c>
      <c r="D306" s="97" t="s">
        <v>180</v>
      </c>
      <c r="E306" s="97" t="s">
        <v>338</v>
      </c>
      <c r="F306" s="97" t="s">
        <v>181</v>
      </c>
      <c r="G306" s="97" t="s">
        <v>157</v>
      </c>
      <c r="H306" s="97">
        <f>'Cuota Artesanal'!K105</f>
        <v>0</v>
      </c>
      <c r="I306" s="97">
        <f>'Cuota Artesanal'!L105</f>
        <v>0</v>
      </c>
      <c r="J306" s="97">
        <f>'Cuota Artesanal'!M105</f>
        <v>0</v>
      </c>
      <c r="K306" s="97">
        <f>'Cuota Artesanal'!N105</f>
        <v>0</v>
      </c>
      <c r="L306" s="97">
        <f>'Cuota Artesanal'!O105</f>
        <v>0</v>
      </c>
      <c r="M306" s="147">
        <f>'Cuota Artesanal'!P105</f>
        <v>0</v>
      </c>
      <c r="N306" s="97" t="s">
        <v>209</v>
      </c>
      <c r="O306" s="122">
        <v>43465</v>
      </c>
    </row>
    <row r="307" spans="1:15">
      <c r="A307" s="98" t="s">
        <v>163</v>
      </c>
      <c r="B307" s="99" t="s">
        <v>152</v>
      </c>
      <c r="C307" s="99" t="s">
        <v>183</v>
      </c>
      <c r="D307" s="99" t="s">
        <v>211</v>
      </c>
      <c r="E307" s="196" t="s">
        <v>204</v>
      </c>
      <c r="F307" s="99" t="s">
        <v>154</v>
      </c>
      <c r="G307" s="99" t="s">
        <v>157</v>
      </c>
      <c r="H307" s="99">
        <f>Resumen!D9</f>
        <v>7965</v>
      </c>
      <c r="I307" s="99">
        <f>Resumen!E9</f>
        <v>-2174.42</v>
      </c>
      <c r="J307" s="99">
        <f>Resumen!F9</f>
        <v>5790.58</v>
      </c>
      <c r="K307" s="99">
        <f>Resumen!G9</f>
        <v>4217.1459999999997</v>
      </c>
      <c r="L307" s="99">
        <f>Resumen!H9</f>
        <v>1573.4340000000002</v>
      </c>
      <c r="M307" s="95">
        <f>Resumen!I9</f>
        <v>0.72827696016633914</v>
      </c>
      <c r="N307" s="110" t="s">
        <v>209</v>
      </c>
      <c r="O307" s="122">
        <v>43465</v>
      </c>
    </row>
    <row r="308" spans="1:15">
      <c r="A308" s="98" t="s">
        <v>167</v>
      </c>
      <c r="B308" s="99" t="s">
        <v>152</v>
      </c>
      <c r="C308" s="99" t="s">
        <v>186</v>
      </c>
      <c r="D308" s="99" t="s">
        <v>211</v>
      </c>
      <c r="E308" s="106" t="s">
        <v>204</v>
      </c>
      <c r="F308" s="99" t="s">
        <v>154</v>
      </c>
      <c r="G308" s="99" t="s">
        <v>157</v>
      </c>
      <c r="H308" s="99">
        <f>Resumen!D10</f>
        <v>3720.0029999999997</v>
      </c>
      <c r="I308" s="99">
        <f>Resumen!E10</f>
        <v>-2900</v>
      </c>
      <c r="J308" s="99">
        <f>Resumen!F10</f>
        <v>820.0029999999997</v>
      </c>
      <c r="K308" s="99">
        <f>Resumen!G10</f>
        <v>90.189000000000007</v>
      </c>
      <c r="L308" s="99">
        <f>Resumen!H10</f>
        <v>729.81399999999974</v>
      </c>
      <c r="M308" s="95">
        <f>Resumen!I10</f>
        <v>0.1099861829773794</v>
      </c>
      <c r="N308" s="110" t="s">
        <v>209</v>
      </c>
      <c r="O308" s="122">
        <v>43465</v>
      </c>
    </row>
    <row r="309" spans="1:15">
      <c r="A309" s="98" t="s">
        <v>167</v>
      </c>
      <c r="B309" s="99" t="s">
        <v>152</v>
      </c>
      <c r="C309" s="99" t="s">
        <v>189</v>
      </c>
      <c r="D309" s="99" t="s">
        <v>211</v>
      </c>
      <c r="E309" s="106" t="s">
        <v>204</v>
      </c>
      <c r="F309" s="99" t="s">
        <v>154</v>
      </c>
      <c r="G309" s="99" t="s">
        <v>157</v>
      </c>
      <c r="H309" s="99">
        <f>Resumen!D11</f>
        <v>11</v>
      </c>
      <c r="I309" s="99">
        <f>Resumen!E11</f>
        <v>0</v>
      </c>
      <c r="J309" s="99">
        <f>Resumen!F11</f>
        <v>11</v>
      </c>
      <c r="K309" s="99">
        <f>Resumen!G11</f>
        <v>0.41</v>
      </c>
      <c r="L309" s="99">
        <f>Resumen!H11</f>
        <v>10.59</v>
      </c>
      <c r="M309" s="95">
        <f>Resumen!I11</f>
        <v>3.727272727272727E-2</v>
      </c>
      <c r="N309" s="110" t="s">
        <v>209</v>
      </c>
      <c r="O309" s="122">
        <v>43465</v>
      </c>
    </row>
    <row r="310" spans="1:15">
      <c r="A310" s="98" t="s">
        <v>167</v>
      </c>
      <c r="B310" s="99" t="s">
        <v>152</v>
      </c>
      <c r="C310" s="99" t="s">
        <v>103</v>
      </c>
      <c r="D310" s="99" t="s">
        <v>211</v>
      </c>
      <c r="E310" s="106" t="s">
        <v>204</v>
      </c>
      <c r="F310" s="99" t="s">
        <v>154</v>
      </c>
      <c r="G310" s="99" t="s">
        <v>157</v>
      </c>
      <c r="H310" s="99">
        <f>Resumen!D12</f>
        <v>125</v>
      </c>
      <c r="I310" s="99">
        <f>Resumen!E12</f>
        <v>0</v>
      </c>
      <c r="J310" s="99">
        <f>Resumen!F12</f>
        <v>125</v>
      </c>
      <c r="K310" s="99">
        <f>Resumen!G12</f>
        <v>99.401999999999987</v>
      </c>
      <c r="L310" s="99">
        <f>Resumen!H12</f>
        <v>25.598000000000013</v>
      </c>
      <c r="M310" s="95">
        <f>Resumen!I12</f>
        <v>0.79521599999999992</v>
      </c>
      <c r="N310" s="110" t="s">
        <v>209</v>
      </c>
      <c r="O310" s="122">
        <v>43465</v>
      </c>
    </row>
    <row r="311" spans="1:15">
      <c r="A311" s="98" t="s">
        <v>167</v>
      </c>
      <c r="B311" s="99" t="s">
        <v>152</v>
      </c>
      <c r="C311" s="99" t="s">
        <v>192</v>
      </c>
      <c r="D311" s="99" t="s">
        <v>211</v>
      </c>
      <c r="E311" s="106" t="s">
        <v>204</v>
      </c>
      <c r="F311" s="99" t="s">
        <v>154</v>
      </c>
      <c r="G311" s="99" t="s">
        <v>157</v>
      </c>
      <c r="H311" s="99">
        <f>Resumen!D13</f>
        <v>8136</v>
      </c>
      <c r="I311" s="99">
        <f>Resumen!E13</f>
        <v>515.26</v>
      </c>
      <c r="J311" s="99">
        <f>Resumen!F13</f>
        <v>8651.26</v>
      </c>
      <c r="K311" s="99">
        <f>Resumen!G13</f>
        <v>9256.9920000000002</v>
      </c>
      <c r="L311" s="99">
        <f>Resumen!H13</f>
        <v>-605.73199999999997</v>
      </c>
      <c r="M311" s="95">
        <f>Resumen!I13</f>
        <v>1.0700166218562384</v>
      </c>
      <c r="N311" s="110" t="s">
        <v>209</v>
      </c>
      <c r="O311" s="122">
        <v>43465</v>
      </c>
    </row>
    <row r="312" spans="1:15">
      <c r="A312" s="98" t="s">
        <v>167</v>
      </c>
      <c r="B312" s="99" t="s">
        <v>152</v>
      </c>
      <c r="C312" s="99" t="s">
        <v>60</v>
      </c>
      <c r="D312" s="99" t="s">
        <v>211</v>
      </c>
      <c r="E312" s="106" t="s">
        <v>204</v>
      </c>
      <c r="F312" s="99" t="s">
        <v>154</v>
      </c>
      <c r="G312" s="99" t="s">
        <v>157</v>
      </c>
      <c r="H312" s="99">
        <f>Resumen!D14</f>
        <v>42</v>
      </c>
      <c r="I312" s="99">
        <f>Resumen!E14</f>
        <v>0</v>
      </c>
      <c r="J312" s="99">
        <f>Resumen!F14</f>
        <v>42</v>
      </c>
      <c r="K312" s="99">
        <f>Resumen!G14</f>
        <v>0.96799999999999997</v>
      </c>
      <c r="L312" s="99">
        <f>Resumen!H14</f>
        <v>41.031999999999996</v>
      </c>
      <c r="M312" s="95">
        <f>Resumen!I14</f>
        <v>2.3047619047619046E-2</v>
      </c>
      <c r="N312" s="110" t="s">
        <v>209</v>
      </c>
      <c r="O312" s="122">
        <v>43465</v>
      </c>
    </row>
    <row r="313" spans="1:15">
      <c r="A313" s="99" t="s">
        <v>170</v>
      </c>
      <c r="B313" s="99" t="s">
        <v>152</v>
      </c>
      <c r="C313" s="99" t="s">
        <v>61</v>
      </c>
      <c r="D313" s="99" t="s">
        <v>211</v>
      </c>
      <c r="E313" s="106" t="s">
        <v>204</v>
      </c>
      <c r="F313" s="99" t="s">
        <v>154</v>
      </c>
      <c r="G313" s="99" t="s">
        <v>157</v>
      </c>
      <c r="H313" s="99">
        <f>Resumen!D15</f>
        <v>654</v>
      </c>
      <c r="I313" s="99">
        <f>Resumen!E15</f>
        <v>0</v>
      </c>
      <c r="J313" s="99">
        <f>Resumen!F15</f>
        <v>654</v>
      </c>
      <c r="K313" s="99">
        <f>Resumen!G15</f>
        <v>609.29499999999996</v>
      </c>
      <c r="L313" s="99">
        <f>Resumen!H15</f>
        <v>44.705000000000041</v>
      </c>
      <c r="M313" s="95">
        <f>Resumen!I15</f>
        <v>0.93164373088685004</v>
      </c>
      <c r="N313" s="110" t="s">
        <v>209</v>
      </c>
      <c r="O313" s="122">
        <v>43465</v>
      </c>
    </row>
    <row r="314" spans="1:15">
      <c r="A314" s="99" t="s">
        <v>170</v>
      </c>
      <c r="B314" s="99" t="s">
        <v>152</v>
      </c>
      <c r="C314" s="99" t="s">
        <v>91</v>
      </c>
      <c r="D314" s="99" t="s">
        <v>211</v>
      </c>
      <c r="E314" s="106" t="s">
        <v>204</v>
      </c>
      <c r="F314" s="99" t="s">
        <v>154</v>
      </c>
      <c r="G314" s="99" t="s">
        <v>157</v>
      </c>
      <c r="H314" s="99">
        <f>Resumen!D16</f>
        <v>6321.0649999999987</v>
      </c>
      <c r="I314" s="99">
        <f>Resumen!E16</f>
        <v>-6085.7650000000003</v>
      </c>
      <c r="J314" s="99">
        <f>Resumen!F16</f>
        <v>235.29999999999836</v>
      </c>
      <c r="K314" s="99">
        <f>Resumen!G16</f>
        <v>94.677999999999997</v>
      </c>
      <c r="L314" s="99">
        <f>Resumen!H16</f>
        <v>140.62199999999837</v>
      </c>
      <c r="M314" s="95">
        <f>Resumen!I16</f>
        <v>0.40237144071398495</v>
      </c>
      <c r="N314" s="110" t="s">
        <v>209</v>
      </c>
      <c r="O314" s="122">
        <v>43465</v>
      </c>
    </row>
    <row r="315" spans="1:15">
      <c r="A315" s="98" t="s">
        <v>163</v>
      </c>
      <c r="B315" s="97" t="s">
        <v>152</v>
      </c>
      <c r="C315" s="97" t="s">
        <v>184</v>
      </c>
      <c r="D315" s="97" t="s">
        <v>180</v>
      </c>
      <c r="E315" s="197" t="s">
        <v>339</v>
      </c>
      <c r="F315" s="97" t="s">
        <v>284</v>
      </c>
      <c r="G315" s="97" t="s">
        <v>157</v>
      </c>
      <c r="H315" s="97">
        <f>'Cuota Artesanal'!K114</f>
        <v>0</v>
      </c>
      <c r="I315" s="97">
        <f>'Cuota Artesanal'!F24</f>
        <v>0</v>
      </c>
      <c r="J315" s="97">
        <f>'Cuota Artesanal'!G24</f>
        <v>0</v>
      </c>
      <c r="K315" s="97">
        <f>'Cuota Artesanal'!H24</f>
        <v>0</v>
      </c>
      <c r="L315" s="97">
        <f>'Cuota Artesanal'!I24</f>
        <v>0</v>
      </c>
      <c r="M315" s="147">
        <f>'Cuota Artesanal'!J24</f>
        <v>0</v>
      </c>
      <c r="N315" s="97" t="s">
        <v>209</v>
      </c>
      <c r="O315" s="122">
        <v>43465</v>
      </c>
    </row>
    <row r="316" spans="1:15">
      <c r="A316" s="98" t="s">
        <v>163</v>
      </c>
      <c r="B316" s="97" t="s">
        <v>152</v>
      </c>
      <c r="C316" s="97" t="s">
        <v>184</v>
      </c>
      <c r="D316" s="97" t="s">
        <v>180</v>
      </c>
      <c r="E316" s="197" t="s">
        <v>339</v>
      </c>
      <c r="F316" s="97" t="s">
        <v>284</v>
      </c>
      <c r="G316" s="97" t="s">
        <v>157</v>
      </c>
      <c r="H316" s="97">
        <f>'Cuota Artesanal'!K115</f>
        <v>0</v>
      </c>
      <c r="I316" s="97">
        <f>'Cuota Artesanal'!F25</f>
        <v>0</v>
      </c>
      <c r="J316" s="97">
        <f>'Cuota Artesanal'!G25</f>
        <v>0</v>
      </c>
      <c r="K316" s="97">
        <f>'Cuota Artesanal'!H25</f>
        <v>0</v>
      </c>
      <c r="L316" s="97">
        <f>'Cuota Artesanal'!I25</f>
        <v>0</v>
      </c>
      <c r="M316" s="147">
        <f>'Cuota Artesanal'!J25</f>
        <v>0</v>
      </c>
      <c r="N316" s="97" t="s">
        <v>209</v>
      </c>
      <c r="O316" s="122">
        <v>43465</v>
      </c>
    </row>
    <row r="317" spans="1:15">
      <c r="A317" s="98" t="s">
        <v>163</v>
      </c>
      <c r="B317" s="97" t="s">
        <v>152</v>
      </c>
      <c r="C317" s="97" t="s">
        <v>184</v>
      </c>
      <c r="D317" s="97" t="s">
        <v>180</v>
      </c>
      <c r="E317" s="198" t="s">
        <v>340</v>
      </c>
      <c r="F317" s="97" t="s">
        <v>284</v>
      </c>
      <c r="G317" s="97" t="s">
        <v>157</v>
      </c>
      <c r="H317" s="97">
        <f>'Cuota Artesanal'!K116</f>
        <v>0</v>
      </c>
      <c r="I317" s="99">
        <f>'Cuota Artesanal'!F18</f>
        <v>0</v>
      </c>
      <c r="J317" s="99">
        <f>'Cuota Artesanal'!G18</f>
        <v>0</v>
      </c>
      <c r="K317" s="99">
        <f>'Cuota Artesanal'!H18</f>
        <v>0</v>
      </c>
      <c r="L317" s="99">
        <f>'Cuota Artesanal'!I18</f>
        <v>0</v>
      </c>
      <c r="M317" s="95">
        <f>'Cuota Artesanal'!J18</f>
        <v>0</v>
      </c>
      <c r="N317" s="110" t="s">
        <v>209</v>
      </c>
      <c r="O317" s="122">
        <v>43465</v>
      </c>
    </row>
    <row r="318" spans="1:15">
      <c r="A318" s="98" t="s">
        <v>163</v>
      </c>
      <c r="B318" s="97" t="s">
        <v>152</v>
      </c>
      <c r="C318" s="97" t="s">
        <v>184</v>
      </c>
      <c r="D318" s="97" t="s">
        <v>180</v>
      </c>
      <c r="E318" s="198" t="s">
        <v>340</v>
      </c>
      <c r="F318" s="97" t="s">
        <v>284</v>
      </c>
      <c r="G318" s="97" t="s">
        <v>157</v>
      </c>
      <c r="H318" s="97">
        <f>'Cuota Artesanal'!K117</f>
        <v>0</v>
      </c>
      <c r="I318" s="99">
        <f>'Cuota Artesanal'!F19</f>
        <v>0</v>
      </c>
      <c r="J318" s="99">
        <f>'Cuota Artesanal'!G19</f>
        <v>0</v>
      </c>
      <c r="K318" s="99">
        <f>'Cuota Artesanal'!H19</f>
        <v>0</v>
      </c>
      <c r="L318" s="99">
        <f>'Cuota Artesanal'!I19</f>
        <v>0</v>
      </c>
      <c r="M318" s="95">
        <f>'Cuota Artesanal'!J19</f>
        <v>0</v>
      </c>
      <c r="N318" s="110" t="s">
        <v>209</v>
      </c>
      <c r="O318" s="122">
        <v>43465</v>
      </c>
    </row>
    <row r="319" spans="1:15">
      <c r="A319" s="98" t="s">
        <v>167</v>
      </c>
      <c r="B319" s="99" t="s">
        <v>152</v>
      </c>
      <c r="C319" s="99" t="s">
        <v>192</v>
      </c>
      <c r="D319" s="99" t="s">
        <v>180</v>
      </c>
      <c r="E319" s="198" t="s">
        <v>341</v>
      </c>
      <c r="F319" s="99" t="s">
        <v>284</v>
      </c>
      <c r="G319" s="99" t="s">
        <v>157</v>
      </c>
      <c r="H319" s="99">
        <v>0</v>
      </c>
      <c r="I319" s="99">
        <f>'Cuota Artesanal'!F53</f>
        <v>241</v>
      </c>
      <c r="J319" s="99">
        <f>'Cuota Artesanal'!G53</f>
        <v>241</v>
      </c>
      <c r="K319" s="99">
        <f>'Cuota Artesanal'!H53</f>
        <v>228.17099999999999</v>
      </c>
      <c r="L319" s="99">
        <f>'Cuota Artesanal'!I53</f>
        <v>12.829000000000008</v>
      </c>
      <c r="M319" s="95">
        <f>'Cuota Artesanal'!J53</f>
        <v>0.94676763485477178</v>
      </c>
      <c r="N319" s="110" t="s">
        <v>209</v>
      </c>
      <c r="O319" s="122">
        <v>43465</v>
      </c>
    </row>
    <row r="320" spans="1:15">
      <c r="A320" s="98" t="s">
        <v>167</v>
      </c>
      <c r="B320" s="99" t="s">
        <v>152</v>
      </c>
      <c r="C320" s="99" t="s">
        <v>192</v>
      </c>
      <c r="D320" s="99" t="s">
        <v>180</v>
      </c>
      <c r="E320" s="198" t="s">
        <v>341</v>
      </c>
      <c r="F320" s="99" t="s">
        <v>284</v>
      </c>
      <c r="G320" s="99" t="s">
        <v>157</v>
      </c>
      <c r="H320" s="99">
        <v>0</v>
      </c>
      <c r="I320" s="99">
        <f>'Cuota Artesanal'!F54</f>
        <v>0</v>
      </c>
      <c r="J320" s="99">
        <f>'Cuota Artesanal'!G54</f>
        <v>12.829000000000008</v>
      </c>
      <c r="K320" s="99">
        <f>'Cuota Artesanal'!H54</f>
        <v>0</v>
      </c>
      <c r="L320" s="99">
        <f>'Cuota Artesanal'!I54</f>
        <v>12.829000000000008</v>
      </c>
      <c r="M320" s="95">
        <f>'Cuota Artesanal'!J54</f>
        <v>0</v>
      </c>
      <c r="N320" s="110" t="s">
        <v>209</v>
      </c>
      <c r="O320" s="122">
        <v>43465</v>
      </c>
    </row>
    <row r="321" spans="1:15">
      <c r="A321" s="98" t="s">
        <v>163</v>
      </c>
      <c r="B321" s="97" t="s">
        <v>152</v>
      </c>
      <c r="C321" s="97" t="s">
        <v>184</v>
      </c>
      <c r="D321" s="97" t="s">
        <v>180</v>
      </c>
      <c r="E321" s="197" t="s">
        <v>342</v>
      </c>
      <c r="F321" s="97" t="s">
        <v>336</v>
      </c>
      <c r="G321" s="97" t="s">
        <v>157</v>
      </c>
      <c r="H321" s="99">
        <f>'Cuota Artesanal'!E20</f>
        <v>0</v>
      </c>
      <c r="I321" s="99">
        <f>'Cuota Artesanal'!F20</f>
        <v>0</v>
      </c>
      <c r="J321" s="99">
        <f>'Cuota Artesanal'!G20</f>
        <v>0</v>
      </c>
      <c r="K321" s="99">
        <f>'Cuota Artesanal'!H20</f>
        <v>0</v>
      </c>
      <c r="L321" s="99">
        <f>'Cuota Artesanal'!I20</f>
        <v>0</v>
      </c>
      <c r="M321" s="95">
        <f>'Cuota Artesanal'!J20</f>
        <v>0</v>
      </c>
      <c r="N321" s="95" t="str">
        <f>'Cuota Artesanal'!Q20</f>
        <v>-</v>
      </c>
      <c r="O321" s="122">
        <v>43465</v>
      </c>
    </row>
    <row r="322" spans="1:15">
      <c r="A322" s="98" t="s">
        <v>163</v>
      </c>
      <c r="B322" s="97" t="s">
        <v>152</v>
      </c>
      <c r="C322" s="97" t="s">
        <v>184</v>
      </c>
      <c r="D322" s="97" t="s">
        <v>180</v>
      </c>
      <c r="E322" s="197" t="s">
        <v>342</v>
      </c>
      <c r="F322" s="97" t="s">
        <v>336</v>
      </c>
      <c r="G322" s="97" t="s">
        <v>157</v>
      </c>
      <c r="H322" s="99">
        <f>'Cuota Artesanal'!E21</f>
        <v>0</v>
      </c>
      <c r="I322" s="99">
        <f>'Cuota Artesanal'!F21</f>
        <v>0</v>
      </c>
      <c r="J322" s="99">
        <f>'Cuota Artesanal'!G21</f>
        <v>0</v>
      </c>
      <c r="K322" s="99">
        <f>'Cuota Artesanal'!H21</f>
        <v>0</v>
      </c>
      <c r="L322" s="99">
        <f>'Cuota Artesanal'!I21</f>
        <v>0</v>
      </c>
      <c r="M322" s="95">
        <f>'Cuota Artesanal'!J21</f>
        <v>0</v>
      </c>
      <c r="N322" s="95" t="str">
        <f>'Cuota Artesanal'!Q21</f>
        <v>-</v>
      </c>
      <c r="O322" s="122">
        <v>43465</v>
      </c>
    </row>
    <row r="323" spans="1:15">
      <c r="A323" s="98" t="s">
        <v>151</v>
      </c>
      <c r="B323" s="99" t="s">
        <v>152</v>
      </c>
      <c r="C323" s="99" t="s">
        <v>79</v>
      </c>
      <c r="D323" s="99" t="s">
        <v>153</v>
      </c>
      <c r="E323" s="99" t="s">
        <v>223</v>
      </c>
      <c r="F323" s="99" t="s">
        <v>154</v>
      </c>
      <c r="G323" s="97" t="s">
        <v>155</v>
      </c>
      <c r="H323" s="99">
        <f>'Cuota Industrial'!E33</f>
        <v>0</v>
      </c>
      <c r="I323" s="99">
        <f>'Cuota Industrial'!F33</f>
        <v>0</v>
      </c>
      <c r="J323" s="99">
        <f>'Cuota Industrial'!G33</f>
        <v>0</v>
      </c>
      <c r="K323" s="99">
        <f>'Cuota Industrial'!H33</f>
        <v>0</v>
      </c>
      <c r="L323" s="99">
        <f>'Cuota Industrial'!I33</f>
        <v>0</v>
      </c>
      <c r="M323" s="95">
        <f>'Cuota Industrial'!J33</f>
        <v>0</v>
      </c>
      <c r="N323" s="95" t="s">
        <v>209</v>
      </c>
      <c r="O323" s="122">
        <v>43465</v>
      </c>
    </row>
    <row r="324" spans="1:15">
      <c r="A324" s="98" t="s">
        <v>151</v>
      </c>
      <c r="B324" s="99" t="s">
        <v>152</v>
      </c>
      <c r="C324" s="99" t="s">
        <v>79</v>
      </c>
      <c r="D324" s="99" t="s">
        <v>153</v>
      </c>
      <c r="E324" s="99" t="s">
        <v>223</v>
      </c>
      <c r="F324" s="99" t="s">
        <v>156</v>
      </c>
      <c r="G324" s="99" t="s">
        <v>157</v>
      </c>
      <c r="H324" s="99">
        <f>'Cuota Industrial'!E34</f>
        <v>0</v>
      </c>
      <c r="I324" s="99">
        <f>'Cuota Industrial'!F34</f>
        <v>0</v>
      </c>
      <c r="J324" s="99">
        <f>'Cuota Industrial'!G34</f>
        <v>0</v>
      </c>
      <c r="K324" s="99">
        <f>'Cuota Industrial'!H34</f>
        <v>0</v>
      </c>
      <c r="L324" s="99">
        <f>'Cuota Industrial'!I34</f>
        <v>0</v>
      </c>
      <c r="M324" s="95">
        <f>'Cuota Industrial'!J34</f>
        <v>0</v>
      </c>
      <c r="N324" s="110" t="s">
        <v>209</v>
      </c>
      <c r="O324" s="122">
        <v>43465</v>
      </c>
    </row>
    <row r="325" spans="1:15">
      <c r="A325" s="98" t="s">
        <v>151</v>
      </c>
      <c r="B325" s="99" t="s">
        <v>152</v>
      </c>
      <c r="C325" s="99" t="s">
        <v>79</v>
      </c>
      <c r="D325" s="99" t="s">
        <v>153</v>
      </c>
      <c r="E325" s="99" t="s">
        <v>223</v>
      </c>
      <c r="F325" s="99" t="s">
        <v>154</v>
      </c>
      <c r="G325" s="99" t="s">
        <v>157</v>
      </c>
      <c r="H325" s="99">
        <f>'Cuota Industrial'!K33</f>
        <v>0</v>
      </c>
      <c r="I325" s="99">
        <f>'Cuota Industrial'!L33</f>
        <v>0</v>
      </c>
      <c r="J325" s="99">
        <f>'Cuota Industrial'!M33</f>
        <v>0</v>
      </c>
      <c r="K325" s="99">
        <f>'Cuota Industrial'!N33</f>
        <v>0</v>
      </c>
      <c r="L325" s="99">
        <f>'Cuota Industrial'!O33</f>
        <v>0</v>
      </c>
      <c r="M325" s="95">
        <f>'Cuota Industrial'!P33</f>
        <v>0</v>
      </c>
      <c r="N325" s="110" t="s">
        <v>209</v>
      </c>
      <c r="O325" s="122">
        <v>43465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Jurel-ORP</vt:lpstr>
      <vt:lpstr>Cesiones Cuota Individual</vt:lpstr>
      <vt:lpstr>Consumo Humano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2018-02-08T15:15:02Z</dcterms:created>
  <dcterms:modified xsi:type="dcterms:W3CDTF">2019-01-04T18:45:12Z</dcterms:modified>
</cp:coreProperties>
</file>