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5_PUBLICADOS\2019 Archivos web\31_Semana_08 ago_al_15 ago_2019\"/>
    </mc:Choice>
  </mc:AlternateContent>
  <bookViews>
    <workbookView xWindow="1560" yWindow="600" windowWidth="19215" windowHeight="5250" tabRatio="809"/>
  </bookViews>
  <sheets>
    <sheet name="Resumen" sheetId="3" r:id="rId1"/>
    <sheet name="Cuota Artesanal" sheetId="1" r:id="rId2"/>
    <sheet name="Cuota Industrial" sheetId="2" r:id="rId3"/>
    <sheet name="Jurel OROP-PS" sheetId="4" r:id="rId4"/>
    <sheet name="Cesiones Cuota Individual" sheetId="5" r:id="rId5"/>
    <sheet name="Consumo Humano" sheetId="7" r:id="rId6"/>
    <sheet name="Pag. Web" sheetId="6" r:id="rId7"/>
  </sheets>
  <definedNames>
    <definedName name="_xlnm._FilterDatabase" localSheetId="4" hidden="1">'Cesiones Cuota Individual'!$B$6:$K$29</definedName>
    <definedName name="_xlnm._FilterDatabase" localSheetId="1" hidden="1">'Cuota Artesanal'!$B$5:$P$6</definedName>
    <definedName name="_xlnm._FilterDatabase" localSheetId="2" hidden="1">'Cuota Industrial'!$B$5:$Q$124</definedName>
    <definedName name="_xlnm._FilterDatabase" localSheetId="6" hidden="1">'Pag. Web'!$A$1:$O$268</definedName>
  </definedNames>
  <calcPr calcId="162913"/>
</workbook>
</file>

<file path=xl/calcChain.xml><?xml version="1.0" encoding="utf-8"?>
<calcChain xmlns="http://schemas.openxmlformats.org/spreadsheetml/2006/main">
  <c r="H74" i="1" l="1"/>
  <c r="H76" i="2" l="1"/>
  <c r="H72" i="1"/>
  <c r="O104" i="2" l="1"/>
  <c r="G79" i="2"/>
  <c r="M78" i="2"/>
  <c r="L78" i="2"/>
  <c r="K78" i="2"/>
  <c r="F104" i="2" l="1"/>
  <c r="F120" i="2"/>
  <c r="F76" i="2"/>
  <c r="F46" i="2"/>
  <c r="F114" i="2"/>
  <c r="F74" i="2"/>
  <c r="F112" i="2"/>
  <c r="F44" i="2"/>
  <c r="F60" i="2"/>
  <c r="F32" i="2"/>
  <c r="F38" i="2" l="1"/>
  <c r="F52" i="2"/>
  <c r="H24" i="4" l="1"/>
  <c r="J24" i="4" s="1"/>
  <c r="I24" i="4" l="1"/>
  <c r="F20" i="1" l="1"/>
  <c r="F100" i="2" l="1"/>
  <c r="F72" i="2"/>
  <c r="F110" i="2"/>
  <c r="H43" i="4" l="1"/>
  <c r="J43" i="4" s="1"/>
  <c r="H37" i="4"/>
  <c r="J37" i="4" s="1"/>
  <c r="I37" i="4" l="1"/>
  <c r="I43" i="4"/>
  <c r="B3" i="2"/>
  <c r="H19" i="4" l="1"/>
  <c r="J19" i="4" s="1"/>
  <c r="H42" i="4"/>
  <c r="J42" i="4" s="1"/>
  <c r="H32" i="4"/>
  <c r="J32" i="4" l="1"/>
  <c r="I32" i="4"/>
  <c r="I19" i="4"/>
  <c r="I42" i="4"/>
  <c r="F66" i="2"/>
  <c r="F14" i="2"/>
  <c r="H11" i="4" l="1"/>
  <c r="J11" i="4" s="1"/>
  <c r="H29" i="4"/>
  <c r="H14" i="4"/>
  <c r="J14" i="4" s="1"/>
  <c r="I11" i="4" l="1"/>
  <c r="J29" i="4"/>
  <c r="I29" i="4"/>
  <c r="I14" i="4"/>
  <c r="F62" i="2" l="1"/>
  <c r="F96" i="2"/>
  <c r="F18" i="2"/>
  <c r="F10" i="2"/>
  <c r="H8" i="4" l="1"/>
  <c r="J8" i="4" s="1"/>
  <c r="I8" i="4" l="1"/>
  <c r="F118" i="2" l="1"/>
  <c r="F68" i="2"/>
  <c r="F106" i="2"/>
  <c r="F82" i="2"/>
  <c r="F42" i="2" l="1"/>
  <c r="F16" i="2"/>
  <c r="F8" i="2"/>
  <c r="F122" i="2" l="1"/>
  <c r="F88" i="2"/>
  <c r="F54" i="2"/>
  <c r="F56" i="2"/>
  <c r="F22" i="2"/>
  <c r="F51" i="1"/>
  <c r="F48" i="2" l="1"/>
  <c r="F31" i="1" l="1"/>
  <c r="G7" i="5" l="1"/>
  <c r="G26" i="3" l="1"/>
  <c r="G23" i="3"/>
  <c r="G25" i="3"/>
  <c r="G24" i="3"/>
  <c r="J24" i="6"/>
  <c r="M25" i="6"/>
  <c r="H24" i="6"/>
  <c r="I24" i="6"/>
  <c r="K24" i="6"/>
  <c r="K23" i="6"/>
  <c r="H23" i="6"/>
  <c r="M22" i="6"/>
  <c r="H21" i="6"/>
  <c r="I21" i="6"/>
  <c r="J21" i="6"/>
  <c r="K21" i="6"/>
  <c r="M21" i="6"/>
  <c r="I20" i="6"/>
  <c r="K20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M178" i="6"/>
  <c r="H177" i="6"/>
  <c r="I177" i="6"/>
  <c r="K177" i="6"/>
  <c r="M177" i="6"/>
  <c r="I176" i="6"/>
  <c r="K176" i="6"/>
  <c r="M176" i="6"/>
  <c r="H176" i="6"/>
  <c r="H174" i="6"/>
  <c r="I174" i="6"/>
  <c r="K174" i="6"/>
  <c r="K173" i="6"/>
  <c r="H173" i="6"/>
  <c r="H171" i="6"/>
  <c r="I171" i="6"/>
  <c r="K171" i="6"/>
  <c r="I170" i="6"/>
  <c r="K170" i="6"/>
  <c r="H170" i="6"/>
  <c r="H168" i="6"/>
  <c r="I168" i="6"/>
  <c r="K168" i="6"/>
  <c r="I167" i="6"/>
  <c r="K167" i="6"/>
  <c r="H167" i="6"/>
  <c r="I165" i="6"/>
  <c r="K165" i="6"/>
  <c r="I164" i="6"/>
  <c r="K164" i="6"/>
  <c r="H162" i="6"/>
  <c r="I162" i="6"/>
  <c r="K162" i="6"/>
  <c r="I161" i="6"/>
  <c r="K161" i="6"/>
  <c r="H161" i="6"/>
  <c r="I159" i="6"/>
  <c r="K159" i="6"/>
  <c r="I158" i="6"/>
  <c r="K158" i="6"/>
  <c r="H156" i="6"/>
  <c r="I156" i="6"/>
  <c r="K156" i="6"/>
  <c r="I155" i="6"/>
  <c r="K155" i="6"/>
  <c r="H155" i="6"/>
  <c r="I153" i="6"/>
  <c r="K153" i="6"/>
  <c r="I152" i="6"/>
  <c r="K152" i="6"/>
  <c r="M151" i="6"/>
  <c r="I150" i="6"/>
  <c r="K150" i="6"/>
  <c r="K149" i="6"/>
  <c r="H147" i="6"/>
  <c r="I147" i="6"/>
  <c r="K147" i="6"/>
  <c r="I146" i="6"/>
  <c r="K146" i="6"/>
  <c r="H146" i="6"/>
  <c r="H144" i="6"/>
  <c r="I144" i="6"/>
  <c r="K144" i="6"/>
  <c r="I143" i="6"/>
  <c r="K143" i="6"/>
  <c r="H143" i="6"/>
  <c r="H141" i="6"/>
  <c r="I141" i="6"/>
  <c r="K141" i="6"/>
  <c r="I140" i="6"/>
  <c r="K140" i="6"/>
  <c r="H140" i="6"/>
  <c r="I138" i="6"/>
  <c r="K138" i="6"/>
  <c r="I137" i="6"/>
  <c r="K137" i="6"/>
  <c r="H135" i="6"/>
  <c r="I135" i="6"/>
  <c r="K135" i="6"/>
  <c r="I134" i="6"/>
  <c r="K134" i="6"/>
  <c r="H134" i="6"/>
  <c r="H132" i="6"/>
  <c r="I132" i="6"/>
  <c r="K132" i="6"/>
  <c r="K131" i="6"/>
  <c r="H131" i="6"/>
  <c r="H129" i="6"/>
  <c r="I129" i="6"/>
  <c r="K129" i="6"/>
  <c r="K128" i="6"/>
  <c r="H128" i="6"/>
  <c r="H126" i="6"/>
  <c r="I126" i="6"/>
  <c r="K126" i="6"/>
  <c r="I125" i="6"/>
  <c r="K125" i="6"/>
  <c r="H125" i="6"/>
  <c r="H123" i="6"/>
  <c r="I123" i="6"/>
  <c r="K123" i="6"/>
  <c r="K122" i="6"/>
  <c r="H122" i="6"/>
  <c r="H120" i="6"/>
  <c r="I120" i="6"/>
  <c r="K120" i="6"/>
  <c r="I119" i="6"/>
  <c r="K119" i="6"/>
  <c r="H119" i="6"/>
  <c r="H117" i="6"/>
  <c r="I117" i="6"/>
  <c r="K117" i="6"/>
  <c r="I116" i="6"/>
  <c r="K116" i="6"/>
  <c r="H116" i="6"/>
  <c r="H114" i="6"/>
  <c r="I114" i="6"/>
  <c r="K114" i="6"/>
  <c r="I113" i="6"/>
  <c r="K113" i="6"/>
  <c r="H113" i="6"/>
  <c r="M112" i="6"/>
  <c r="H111" i="6"/>
  <c r="I111" i="6"/>
  <c r="K111" i="6"/>
  <c r="I110" i="6"/>
  <c r="K110" i="6"/>
  <c r="H110" i="6"/>
  <c r="I108" i="6"/>
  <c r="K108" i="6"/>
  <c r="I107" i="6"/>
  <c r="K107" i="6"/>
  <c r="H105" i="6"/>
  <c r="I105" i="6"/>
  <c r="K105" i="6"/>
  <c r="I104" i="6"/>
  <c r="K104" i="6"/>
  <c r="H104" i="6"/>
  <c r="I102" i="6"/>
  <c r="K102" i="6"/>
  <c r="I101" i="6"/>
  <c r="K101" i="6"/>
  <c r="H99" i="6"/>
  <c r="I99" i="6"/>
  <c r="K99" i="6"/>
  <c r="I98" i="6"/>
  <c r="K98" i="6"/>
  <c r="H98" i="6"/>
  <c r="I96" i="6"/>
  <c r="K96" i="6"/>
  <c r="I95" i="6"/>
  <c r="K95" i="6"/>
  <c r="M94" i="6"/>
  <c r="I93" i="6"/>
  <c r="K93" i="6"/>
  <c r="I92" i="6"/>
  <c r="K92" i="6"/>
  <c r="H90" i="6"/>
  <c r="I90" i="6"/>
  <c r="K90" i="6"/>
  <c r="I89" i="6"/>
  <c r="K89" i="6"/>
  <c r="H89" i="6"/>
  <c r="I87" i="6"/>
  <c r="K87" i="6"/>
  <c r="I86" i="6"/>
  <c r="K86" i="6"/>
  <c r="I84" i="6"/>
  <c r="K84" i="6"/>
  <c r="I83" i="6"/>
  <c r="K83" i="6"/>
  <c r="I81" i="6"/>
  <c r="K81" i="6"/>
  <c r="K80" i="6"/>
  <c r="H78" i="6"/>
  <c r="I78" i="6"/>
  <c r="K78" i="6"/>
  <c r="I77" i="6"/>
  <c r="K77" i="6"/>
  <c r="H77" i="6"/>
  <c r="H75" i="6"/>
  <c r="I75" i="6"/>
  <c r="K75" i="6"/>
  <c r="I74" i="6"/>
  <c r="K74" i="6"/>
  <c r="H74" i="6"/>
  <c r="H72" i="6"/>
  <c r="I72" i="6"/>
  <c r="K72" i="6"/>
  <c r="I71" i="6"/>
  <c r="K71" i="6"/>
  <c r="H71" i="6"/>
  <c r="H69" i="6"/>
  <c r="I69" i="6"/>
  <c r="K69" i="6"/>
  <c r="K68" i="6"/>
  <c r="H68" i="6"/>
  <c r="H66" i="6"/>
  <c r="I66" i="6"/>
  <c r="K66" i="6"/>
  <c r="I65" i="6"/>
  <c r="K65" i="6"/>
  <c r="H65" i="6"/>
  <c r="H27" i="6"/>
  <c r="I27" i="6"/>
  <c r="K27" i="6"/>
  <c r="I26" i="6"/>
  <c r="K26" i="6"/>
  <c r="H26" i="6"/>
  <c r="B4" i="7" l="1"/>
  <c r="F36" i="2"/>
  <c r="F20" i="2"/>
  <c r="I23" i="6" s="1"/>
  <c r="K120" i="2" l="1"/>
  <c r="N120" i="2"/>
  <c r="K118" i="2"/>
  <c r="H172" i="6" s="1"/>
  <c r="L118" i="2"/>
  <c r="I172" i="6" s="1"/>
  <c r="N118" i="2"/>
  <c r="K172" i="6" s="1"/>
  <c r="G118" i="2"/>
  <c r="J170" i="6" s="1"/>
  <c r="K88" i="2"/>
  <c r="H127" i="6" s="1"/>
  <c r="L88" i="2"/>
  <c r="I127" i="6" s="1"/>
  <c r="N88" i="2"/>
  <c r="K127" i="6" s="1"/>
  <c r="G88" i="2"/>
  <c r="J125" i="6" s="1"/>
  <c r="K54" i="2"/>
  <c r="H76" i="6" s="1"/>
  <c r="L54" i="2"/>
  <c r="I76" i="6" s="1"/>
  <c r="N54" i="2"/>
  <c r="K76" i="6" s="1"/>
  <c r="G54" i="2"/>
  <c r="J74" i="6" s="1"/>
  <c r="G52" i="2"/>
  <c r="J71" i="6" s="1"/>
  <c r="M54" i="2" l="1"/>
  <c r="K175" i="6"/>
  <c r="H175" i="6"/>
  <c r="M71" i="6"/>
  <c r="I52" i="2"/>
  <c r="I118" i="2"/>
  <c r="M118" i="2"/>
  <c r="M172" i="6" s="1"/>
  <c r="J118" i="2"/>
  <c r="M170" i="6" s="1"/>
  <c r="I88" i="2"/>
  <c r="M88" i="2"/>
  <c r="M125" i="6"/>
  <c r="O54" i="2"/>
  <c r="L76" i="6" s="1"/>
  <c r="J76" i="6"/>
  <c r="M74" i="6"/>
  <c r="I54" i="2"/>
  <c r="M76" i="6"/>
  <c r="I149" i="6"/>
  <c r="K52" i="2"/>
  <c r="H73" i="6" s="1"/>
  <c r="L52" i="2"/>
  <c r="N52" i="2"/>
  <c r="K73" i="6" s="1"/>
  <c r="F24" i="2"/>
  <c r="I173" i="6" l="1"/>
  <c r="L120" i="2"/>
  <c r="G120" i="2"/>
  <c r="M52" i="2"/>
  <c r="J73" i="6" s="1"/>
  <c r="I73" i="6"/>
  <c r="L71" i="6"/>
  <c r="G53" i="2"/>
  <c r="O118" i="2"/>
  <c r="L172" i="6" s="1"/>
  <c r="J172" i="6"/>
  <c r="L170" i="6"/>
  <c r="O88" i="2"/>
  <c r="L127" i="6" s="1"/>
  <c r="J127" i="6"/>
  <c r="L125" i="6"/>
  <c r="G89" i="2"/>
  <c r="M127" i="6"/>
  <c r="G55" i="2"/>
  <c r="L74" i="6"/>
  <c r="M73" i="6"/>
  <c r="J173" i="6" l="1"/>
  <c r="I120" i="2"/>
  <c r="M173" i="6"/>
  <c r="I175" i="6"/>
  <c r="M120" i="2"/>
  <c r="I53" i="2"/>
  <c r="L72" i="6" s="1"/>
  <c r="J72" i="6"/>
  <c r="M72" i="6"/>
  <c r="O52" i="2"/>
  <c r="L73" i="6" s="1"/>
  <c r="I119" i="2"/>
  <c r="L171" i="6" s="1"/>
  <c r="J171" i="6"/>
  <c r="M171" i="6"/>
  <c r="I89" i="2"/>
  <c r="L126" i="6" s="1"/>
  <c r="J126" i="6"/>
  <c r="M126" i="6"/>
  <c r="I55" i="2"/>
  <c r="L75" i="6" s="1"/>
  <c r="J75" i="6"/>
  <c r="M75" i="6"/>
  <c r="K22" i="2"/>
  <c r="H28" i="6" s="1"/>
  <c r="L22" i="2"/>
  <c r="N22" i="2"/>
  <c r="K28" i="6" s="1"/>
  <c r="G22" i="2"/>
  <c r="F58" i="2"/>
  <c r="F92" i="2"/>
  <c r="F26" i="2"/>
  <c r="F27" i="1"/>
  <c r="F65" i="1"/>
  <c r="E26" i="3" l="1"/>
  <c r="I131" i="6"/>
  <c r="I80" i="6"/>
  <c r="L173" i="6"/>
  <c r="G121" i="2"/>
  <c r="O120" i="2"/>
  <c r="L175" i="6" s="1"/>
  <c r="J175" i="6"/>
  <c r="M175" i="6"/>
  <c r="J22" i="2"/>
  <c r="M26" i="6" s="1"/>
  <c r="J26" i="6"/>
  <c r="M22" i="2"/>
  <c r="I28" i="6"/>
  <c r="P22" i="2"/>
  <c r="M28" i="6" s="1"/>
  <c r="I22" i="2"/>
  <c r="B4" i="5"/>
  <c r="B3" i="4"/>
  <c r="B3" i="1"/>
  <c r="I121" i="2" l="1"/>
  <c r="L174" i="6" s="1"/>
  <c r="J174" i="6"/>
  <c r="M174" i="6"/>
  <c r="O22" i="2"/>
  <c r="L28" i="6" s="1"/>
  <c r="J28" i="6"/>
  <c r="G23" i="2"/>
  <c r="J27" i="6" s="1"/>
  <c r="L26" i="6"/>
  <c r="E115" i="2"/>
  <c r="H165" i="6" s="1"/>
  <c r="E114" i="2"/>
  <c r="H164" i="6" s="1"/>
  <c r="J23" i="2" l="1"/>
  <c r="M27" i="6" s="1"/>
  <c r="I23" i="2"/>
  <c r="L27" i="6" s="1"/>
  <c r="I29" i="6"/>
  <c r="K29" i="6"/>
  <c r="I30" i="6"/>
  <c r="K30" i="6"/>
  <c r="H30" i="6"/>
  <c r="H29" i="6"/>
  <c r="K11" i="6"/>
  <c r="I12" i="6"/>
  <c r="J12" i="6"/>
  <c r="K12" i="6"/>
  <c r="M12" i="6"/>
  <c r="M13" i="6"/>
  <c r="H12" i="6"/>
  <c r="H11" i="6"/>
  <c r="F53" i="1" l="1"/>
  <c r="K90" i="2" l="1"/>
  <c r="H130" i="6" s="1"/>
  <c r="N90" i="2"/>
  <c r="K130" i="6" s="1"/>
  <c r="F90" i="2"/>
  <c r="G56" i="2"/>
  <c r="J77" i="6" s="1"/>
  <c r="N56" i="2"/>
  <c r="K79" i="6" s="1"/>
  <c r="K56" i="2"/>
  <c r="H79" i="6" s="1"/>
  <c r="F12" i="2"/>
  <c r="E23" i="3" l="1"/>
  <c r="I11" i="6"/>
  <c r="G90" i="2"/>
  <c r="I128" i="6"/>
  <c r="L90" i="2"/>
  <c r="L56" i="2"/>
  <c r="J90" i="2"/>
  <c r="M128" i="6" s="1"/>
  <c r="I56" i="2"/>
  <c r="M77" i="6"/>
  <c r="M90" i="2" l="1"/>
  <c r="I130" i="6"/>
  <c r="I90" i="2"/>
  <c r="J128" i="6"/>
  <c r="G57" i="2"/>
  <c r="J78" i="6" s="1"/>
  <c r="L77" i="6"/>
  <c r="M56" i="2"/>
  <c r="I79" i="6"/>
  <c r="I57" i="2"/>
  <c r="L78" i="6" s="1"/>
  <c r="M78" i="6"/>
  <c r="L128" i="6" l="1"/>
  <c r="G91" i="2"/>
  <c r="O90" i="2"/>
  <c r="L130" i="6" s="1"/>
  <c r="J130" i="6"/>
  <c r="P90" i="2"/>
  <c r="M130" i="6" s="1"/>
  <c r="M79" i="6"/>
  <c r="J79" i="6"/>
  <c r="O56" i="2"/>
  <c r="L79" i="6" s="1"/>
  <c r="J129" i="6" l="1"/>
  <c r="J91" i="2"/>
  <c r="M129" i="6" s="1"/>
  <c r="I91" i="2"/>
  <c r="L129" i="6" s="1"/>
  <c r="I9" i="5"/>
  <c r="G9" i="5"/>
  <c r="G29" i="5" s="1"/>
  <c r="F86" i="2"/>
  <c r="F50" i="2"/>
  <c r="I68" i="6" l="1"/>
  <c r="E24" i="3"/>
  <c r="I122" i="6"/>
  <c r="E25" i="3"/>
  <c r="K9" i="5"/>
  <c r="J9" i="5"/>
  <c r="F59" i="1"/>
  <c r="F57" i="1" l="1"/>
  <c r="I7" i="5" l="1"/>
  <c r="J7" i="5" s="1"/>
  <c r="F55" i="1"/>
  <c r="F25" i="1" l="1"/>
  <c r="D8" i="7" l="1"/>
  <c r="G53" i="1" l="1"/>
  <c r="O2" i="6" l="1"/>
  <c r="E105" i="2"/>
  <c r="H150" i="6" s="1"/>
  <c r="E104" i="2"/>
  <c r="H149" i="6" s="1"/>
  <c r="E111" i="2"/>
  <c r="H159" i="6" s="1"/>
  <c r="E110" i="2"/>
  <c r="H158" i="6" s="1"/>
  <c r="E107" i="2"/>
  <c r="H153" i="6" s="1"/>
  <c r="E106" i="2"/>
  <c r="H152" i="6" s="1"/>
  <c r="E97" i="2"/>
  <c r="H138" i="6" s="1"/>
  <c r="E96" i="2"/>
  <c r="E77" i="2"/>
  <c r="H108" i="6" s="1"/>
  <c r="E76" i="2"/>
  <c r="H107" i="6" s="1"/>
  <c r="E67" i="2"/>
  <c r="H93" i="6" s="1"/>
  <c r="E66" i="2"/>
  <c r="H92" i="6" s="1"/>
  <c r="E73" i="2"/>
  <c r="H102" i="6" s="1"/>
  <c r="E72" i="2"/>
  <c r="H101" i="6" s="1"/>
  <c r="E69" i="2"/>
  <c r="H96" i="6" s="1"/>
  <c r="E68" i="2"/>
  <c r="H95" i="6" s="1"/>
  <c r="E63" i="2"/>
  <c r="H87" i="6" s="1"/>
  <c r="E62" i="2"/>
  <c r="H86" i="6" s="1"/>
  <c r="E61" i="2"/>
  <c r="H84" i="6" s="1"/>
  <c r="E60" i="2"/>
  <c r="H83" i="6" s="1"/>
  <c r="E59" i="2"/>
  <c r="H81" i="6" s="1"/>
  <c r="E58" i="2"/>
  <c r="E47" i="2"/>
  <c r="E46" i="2"/>
  <c r="E39" i="2"/>
  <c r="E38" i="2"/>
  <c r="E37" i="2"/>
  <c r="E36" i="2"/>
  <c r="E33" i="2"/>
  <c r="E32" i="2"/>
  <c r="D24" i="3" s="1"/>
  <c r="E15" i="2"/>
  <c r="E14" i="2"/>
  <c r="E18" i="2"/>
  <c r="H20" i="6" s="1"/>
  <c r="D25" i="3" l="1"/>
  <c r="H80" i="6"/>
  <c r="D23" i="3"/>
  <c r="F23" i="3" s="1"/>
  <c r="D26" i="3"/>
  <c r="H137" i="6"/>
  <c r="G14" i="2"/>
  <c r="G12" i="2"/>
  <c r="J11" i="6" s="1"/>
  <c r="G10" i="2"/>
  <c r="G8" i="2"/>
  <c r="G6" i="2"/>
  <c r="N24" i="2"/>
  <c r="K31" i="6" s="1"/>
  <c r="N20" i="2"/>
  <c r="K25" i="6" s="1"/>
  <c r="N18" i="2"/>
  <c r="K22" i="6" s="1"/>
  <c r="N16" i="2"/>
  <c r="N14" i="2"/>
  <c r="N12" i="2"/>
  <c r="K13" i="6" s="1"/>
  <c r="N10" i="2"/>
  <c r="N8" i="2"/>
  <c r="N6" i="2"/>
  <c r="L24" i="2"/>
  <c r="I31" i="6" s="1"/>
  <c r="L20" i="2"/>
  <c r="I25" i="6" s="1"/>
  <c r="L18" i="2"/>
  <c r="I22" i="6" s="1"/>
  <c r="L16" i="2"/>
  <c r="L14" i="2"/>
  <c r="L12" i="2"/>
  <c r="I13" i="6" s="1"/>
  <c r="L10" i="2"/>
  <c r="L8" i="2"/>
  <c r="L6" i="2"/>
  <c r="K24" i="2"/>
  <c r="H31" i="6" s="1"/>
  <c r="K20" i="2"/>
  <c r="H25" i="6" s="1"/>
  <c r="K18" i="2"/>
  <c r="H22" i="6" s="1"/>
  <c r="K16" i="2"/>
  <c r="K14" i="2"/>
  <c r="K12" i="2"/>
  <c r="H13" i="6" s="1"/>
  <c r="K10" i="2"/>
  <c r="K8" i="2"/>
  <c r="K6" i="2"/>
  <c r="M6" i="2" s="1"/>
  <c r="E19" i="3"/>
  <c r="E18" i="3"/>
  <c r="E17" i="3"/>
  <c r="E16" i="3"/>
  <c r="E15" i="3"/>
  <c r="E14" i="3"/>
  <c r="E13" i="3"/>
  <c r="E12" i="3"/>
  <c r="E11" i="3"/>
  <c r="E10" i="3"/>
  <c r="E9" i="3"/>
  <c r="E7" i="3"/>
  <c r="D19" i="3"/>
  <c r="D18" i="3"/>
  <c r="D17" i="3"/>
  <c r="D15" i="3"/>
  <c r="D14" i="3"/>
  <c r="D12" i="3"/>
  <c r="D11" i="3"/>
  <c r="D10" i="3"/>
  <c r="D9" i="3"/>
  <c r="D8" i="3"/>
  <c r="D7" i="3"/>
  <c r="D6" i="3"/>
  <c r="K27" i="1"/>
  <c r="L27" i="1"/>
  <c r="N27" i="1"/>
  <c r="G27" i="1"/>
  <c r="I27" i="1" s="1"/>
  <c r="G28" i="1" s="1"/>
  <c r="P6" i="2" l="1"/>
  <c r="M18" i="2"/>
  <c r="J22" i="6" s="1"/>
  <c r="J27" i="1"/>
  <c r="M10" i="2"/>
  <c r="M8" i="2"/>
  <c r="M12" i="2"/>
  <c r="J13" i="6" s="1"/>
  <c r="M14" i="2"/>
  <c r="M16" i="2"/>
  <c r="M20" i="2"/>
  <c r="J25" i="6" s="1"/>
  <c r="M24" i="2"/>
  <c r="J31" i="6" s="1"/>
  <c r="I28" i="1"/>
  <c r="J28" i="1"/>
  <c r="M27" i="1"/>
  <c r="O27" i="1" s="1"/>
  <c r="O18" i="2" l="1"/>
  <c r="L22" i="6" s="1"/>
  <c r="P27" i="1"/>
  <c r="O12" i="2"/>
  <c r="L13" i="6" s="1"/>
  <c r="O10" i="2"/>
  <c r="O6" i="2"/>
  <c r="O8" i="2"/>
  <c r="O14" i="2"/>
  <c r="O16" i="2"/>
  <c r="O20" i="2"/>
  <c r="L25" i="6" s="1"/>
  <c r="O24" i="2"/>
  <c r="L31" i="6" s="1"/>
  <c r="P24" i="2"/>
  <c r="M31" i="6" s="1"/>
  <c r="I12" i="2"/>
  <c r="L11" i="6" s="1"/>
  <c r="J12" i="2" l="1"/>
  <c r="M11" i="6" s="1"/>
  <c r="G110" i="2"/>
  <c r="G108" i="2"/>
  <c r="J155" i="6" s="1"/>
  <c r="G106" i="2"/>
  <c r="G104" i="2"/>
  <c r="G102" i="2"/>
  <c r="G100" i="2"/>
  <c r="G98" i="2"/>
  <c r="G96" i="2"/>
  <c r="G94" i="2"/>
  <c r="G86" i="2"/>
  <c r="G84" i="2"/>
  <c r="G82" i="2"/>
  <c r="G80" i="2"/>
  <c r="J113" i="6" s="1"/>
  <c r="G78" i="2"/>
  <c r="G76" i="2"/>
  <c r="G74" i="2"/>
  <c r="G72" i="2"/>
  <c r="G70" i="2"/>
  <c r="G68" i="2"/>
  <c r="G66" i="2"/>
  <c r="G64" i="2"/>
  <c r="G62" i="2"/>
  <c r="G60" i="2"/>
  <c r="J83" i="6" s="1"/>
  <c r="G50" i="2"/>
  <c r="G48" i="2"/>
  <c r="G46" i="2"/>
  <c r="J46" i="2" s="1"/>
  <c r="G44" i="2"/>
  <c r="J44" i="2" s="1"/>
  <c r="G42" i="2"/>
  <c r="J42" i="2" s="1"/>
  <c r="G40" i="2"/>
  <c r="J40" i="2" s="1"/>
  <c r="G38" i="2"/>
  <c r="J38" i="2" s="1"/>
  <c r="G36" i="2"/>
  <c r="J36" i="2" s="1"/>
  <c r="G34" i="2"/>
  <c r="J34" i="2" s="1"/>
  <c r="G32" i="2"/>
  <c r="J32" i="2" s="1"/>
  <c r="G30" i="2"/>
  <c r="J30" i="2" s="1"/>
  <c r="G28" i="2"/>
  <c r="J28" i="2" s="1"/>
  <c r="G24" i="2"/>
  <c r="J29" i="6" s="1"/>
  <c r="G20" i="2"/>
  <c r="J23" i="6" s="1"/>
  <c r="G18" i="2"/>
  <c r="J20" i="6" s="1"/>
  <c r="G16" i="2"/>
  <c r="I14" i="2"/>
  <c r="I10" i="2"/>
  <c r="J8" i="2"/>
  <c r="J108" i="2"/>
  <c r="M155" i="6" s="1"/>
  <c r="G15" i="1"/>
  <c r="G13" i="1"/>
  <c r="J84" i="2" l="1"/>
  <c r="M119" i="6" s="1"/>
  <c r="J119" i="6"/>
  <c r="J98" i="2"/>
  <c r="M140" i="6" s="1"/>
  <c r="J140" i="6"/>
  <c r="J70" i="2"/>
  <c r="M98" i="6" s="1"/>
  <c r="J98" i="6"/>
  <c r="J78" i="2"/>
  <c r="M110" i="6" s="1"/>
  <c r="J110" i="6"/>
  <c r="J86" i="2"/>
  <c r="M122" i="6" s="1"/>
  <c r="J122" i="6"/>
  <c r="J64" i="2"/>
  <c r="M89" i="6" s="1"/>
  <c r="J89" i="6"/>
  <c r="J94" i="2"/>
  <c r="M134" i="6" s="1"/>
  <c r="J134" i="6"/>
  <c r="J102" i="2"/>
  <c r="M146" i="6" s="1"/>
  <c r="J146" i="6"/>
  <c r="J50" i="2"/>
  <c r="M68" i="6" s="1"/>
  <c r="J68" i="6"/>
  <c r="J74" i="2"/>
  <c r="M104" i="6" s="1"/>
  <c r="J104" i="6"/>
  <c r="J104" i="2"/>
  <c r="M149" i="6" s="1"/>
  <c r="J149" i="6"/>
  <c r="J100" i="2"/>
  <c r="M143" i="6" s="1"/>
  <c r="J143" i="6"/>
  <c r="J60" i="2"/>
  <c r="M83" i="6" s="1"/>
  <c r="J110" i="2"/>
  <c r="M158" i="6" s="1"/>
  <c r="I110" i="2"/>
  <c r="L158" i="6" s="1"/>
  <c r="J158" i="6"/>
  <c r="J66" i="2"/>
  <c r="M92" i="6" s="1"/>
  <c r="J92" i="6"/>
  <c r="J96" i="2"/>
  <c r="M137" i="6" s="1"/>
  <c r="J137" i="6"/>
  <c r="J62" i="2"/>
  <c r="M86" i="6" s="1"/>
  <c r="J86" i="6"/>
  <c r="J48" i="2"/>
  <c r="M65" i="6" s="1"/>
  <c r="J65" i="6"/>
  <c r="J68" i="2"/>
  <c r="M95" i="6" s="1"/>
  <c r="J95" i="6"/>
  <c r="J106" i="2"/>
  <c r="M152" i="6" s="1"/>
  <c r="J152" i="6"/>
  <c r="J72" i="2"/>
  <c r="M101" i="6" s="1"/>
  <c r="J101" i="6"/>
  <c r="J76" i="2"/>
  <c r="M107" i="6" s="1"/>
  <c r="J107" i="6"/>
  <c r="J82" i="2"/>
  <c r="M116" i="6" s="1"/>
  <c r="J116" i="6"/>
  <c r="J18" i="2"/>
  <c r="M20" i="6" s="1"/>
  <c r="I18" i="2"/>
  <c r="L20" i="6" s="1"/>
  <c r="G11" i="2"/>
  <c r="I13" i="2"/>
  <c r="L12" i="6" s="1"/>
  <c r="G15" i="2"/>
  <c r="I16" i="2"/>
  <c r="I20" i="2"/>
  <c r="L23" i="6" s="1"/>
  <c r="I24" i="2"/>
  <c r="L29" i="6" s="1"/>
  <c r="J14" i="2"/>
  <c r="J24" i="2"/>
  <c r="M29" i="6" s="1"/>
  <c r="J20" i="2"/>
  <c r="M23" i="6" s="1"/>
  <c r="J16" i="2"/>
  <c r="I8" i="2"/>
  <c r="J10" i="2"/>
  <c r="G9" i="2" l="1"/>
  <c r="G25" i="2"/>
  <c r="J30" i="6" s="1"/>
  <c r="J15" i="1"/>
  <c r="I17" i="2" l="1"/>
  <c r="I15" i="1"/>
  <c r="I267" i="6" l="1"/>
  <c r="K267" i="6"/>
  <c r="I266" i="6"/>
  <c r="K266" i="6"/>
  <c r="M266" i="6"/>
  <c r="H267" i="6"/>
  <c r="H266" i="6"/>
  <c r="H268" i="6" l="1"/>
  <c r="J266" i="6"/>
  <c r="K268" i="6" l="1"/>
  <c r="L266" i="6"/>
  <c r="J268" i="6"/>
  <c r="I268" i="6"/>
  <c r="L268" i="6" l="1"/>
  <c r="M268" i="6"/>
  <c r="I25" i="2"/>
  <c r="L30" i="6" s="1"/>
  <c r="G42" i="1"/>
  <c r="J267" i="6" l="1"/>
  <c r="L267" i="6"/>
  <c r="J25" i="2"/>
  <c r="M30" i="6" s="1"/>
  <c r="M267" i="6" l="1"/>
  <c r="K42" i="1"/>
  <c r="L64" i="2" l="1"/>
  <c r="I91" i="6" s="1"/>
  <c r="G7" i="1" l="1"/>
  <c r="I7" i="1" s="1"/>
  <c r="G8" i="1" s="1"/>
  <c r="G10" i="1"/>
  <c r="F13" i="7"/>
  <c r="G13" i="7"/>
  <c r="G12" i="7"/>
  <c r="F12" i="7"/>
  <c r="L15" i="1"/>
  <c r="L7" i="1"/>
  <c r="I181" i="6" s="1"/>
  <c r="K7" i="1"/>
  <c r="H181" i="6" s="1"/>
  <c r="K15" i="1"/>
  <c r="H187" i="6" s="1"/>
  <c r="M257" i="6"/>
  <c r="L257" i="6"/>
  <c r="K257" i="6"/>
  <c r="J257" i="6"/>
  <c r="I257" i="6"/>
  <c r="H257" i="6"/>
  <c r="H2" i="6"/>
  <c r="N15" i="1"/>
  <c r="G9" i="3" s="1"/>
  <c r="G51" i="1"/>
  <c r="G55" i="1"/>
  <c r="K55" i="1"/>
  <c r="G58" i="2"/>
  <c r="J80" i="6" s="1"/>
  <c r="G114" i="2"/>
  <c r="J164" i="6" s="1"/>
  <c r="G122" i="2"/>
  <c r="J176" i="6" s="1"/>
  <c r="N28" i="2"/>
  <c r="K37" i="6" s="1"/>
  <c r="N30" i="2"/>
  <c r="K40" i="6" s="1"/>
  <c r="N32" i="2"/>
  <c r="N34" i="2"/>
  <c r="N36" i="2"/>
  <c r="K49" i="6" s="1"/>
  <c r="N38" i="2"/>
  <c r="K52" i="6" s="1"/>
  <c r="N40" i="2"/>
  <c r="N42" i="2"/>
  <c r="K58" i="6" s="1"/>
  <c r="N44" i="2"/>
  <c r="K61" i="6" s="1"/>
  <c r="N46" i="2"/>
  <c r="N48" i="2"/>
  <c r="K67" i="6" s="1"/>
  <c r="N50" i="2"/>
  <c r="K70" i="6" s="1"/>
  <c r="L28" i="2"/>
  <c r="I37" i="6" s="1"/>
  <c r="L30" i="2"/>
  <c r="I40" i="6" s="1"/>
  <c r="L34" i="2"/>
  <c r="I46" i="6" s="1"/>
  <c r="L36" i="2"/>
  <c r="L38" i="2"/>
  <c r="I52" i="6" s="1"/>
  <c r="L40" i="2"/>
  <c r="I55" i="6" s="1"/>
  <c r="L42" i="2"/>
  <c r="I58" i="6" s="1"/>
  <c r="L44" i="2"/>
  <c r="I61" i="6" s="1"/>
  <c r="L48" i="2"/>
  <c r="I67" i="6" s="1"/>
  <c r="L50" i="2"/>
  <c r="I70" i="6" s="1"/>
  <c r="L26" i="2"/>
  <c r="I34" i="6" s="1"/>
  <c r="K28" i="2"/>
  <c r="K30" i="2"/>
  <c r="K32" i="2"/>
  <c r="K34" i="2"/>
  <c r="K36" i="2"/>
  <c r="H49" i="6" s="1"/>
  <c r="K38" i="2"/>
  <c r="K40" i="2"/>
  <c r="K42" i="2"/>
  <c r="K44" i="2"/>
  <c r="H61" i="6" s="1"/>
  <c r="K46" i="2"/>
  <c r="H64" i="6" s="1"/>
  <c r="K48" i="2"/>
  <c r="H67" i="6" s="1"/>
  <c r="K50" i="2"/>
  <c r="H70" i="6" s="1"/>
  <c r="K26" i="2"/>
  <c r="H34" i="6" s="1"/>
  <c r="G26" i="2"/>
  <c r="M47" i="6"/>
  <c r="I28" i="2"/>
  <c r="G29" i="2" s="1"/>
  <c r="J29" i="2" s="1"/>
  <c r="J38" i="6"/>
  <c r="M38" i="6"/>
  <c r="I34" i="2"/>
  <c r="G35" i="2" s="1"/>
  <c r="J35" i="2" s="1"/>
  <c r="M45" i="6" s="1"/>
  <c r="M50" i="6"/>
  <c r="I40" i="2"/>
  <c r="G41" i="2" s="1"/>
  <c r="J41" i="2" s="1"/>
  <c r="M59" i="6"/>
  <c r="I48" i="2"/>
  <c r="L65" i="6" s="1"/>
  <c r="K7" i="6"/>
  <c r="I7" i="6"/>
  <c r="H7" i="6"/>
  <c r="H10" i="6"/>
  <c r="H19" i="6"/>
  <c r="H4" i="6"/>
  <c r="I19" i="6"/>
  <c r="M5" i="6"/>
  <c r="I9" i="2"/>
  <c r="I21" i="2"/>
  <c r="L24" i="6" s="1"/>
  <c r="I6" i="2"/>
  <c r="I30" i="2"/>
  <c r="I50" i="2"/>
  <c r="M44" i="6"/>
  <c r="I19" i="2"/>
  <c r="L21" i="6" s="1"/>
  <c r="K70" i="2"/>
  <c r="H100" i="6" s="1"/>
  <c r="N222" i="6"/>
  <c r="N221" i="6"/>
  <c r="N249" i="6"/>
  <c r="N248" i="6"/>
  <c r="N246" i="6"/>
  <c r="N245" i="6"/>
  <c r="N243" i="6"/>
  <c r="N242" i="6"/>
  <c r="N240" i="6"/>
  <c r="N239" i="6"/>
  <c r="N237" i="6"/>
  <c r="N236" i="6"/>
  <c r="N234" i="6"/>
  <c r="N233" i="6"/>
  <c r="N231" i="6"/>
  <c r="N228" i="6"/>
  <c r="N227" i="6"/>
  <c r="N225" i="6"/>
  <c r="N224" i="6"/>
  <c r="N219" i="6"/>
  <c r="N218" i="6"/>
  <c r="N216" i="6"/>
  <c r="N215" i="6"/>
  <c r="N213" i="6"/>
  <c r="N212" i="6"/>
  <c r="N210" i="6"/>
  <c r="N209" i="6"/>
  <c r="N207" i="6"/>
  <c r="N206" i="6"/>
  <c r="N204" i="6"/>
  <c r="N203" i="6"/>
  <c r="N201" i="6"/>
  <c r="N200" i="6"/>
  <c r="N198" i="6"/>
  <c r="N195" i="6"/>
  <c r="N194" i="6"/>
  <c r="N192" i="6"/>
  <c r="N191" i="6"/>
  <c r="N189" i="6"/>
  <c r="N188" i="6"/>
  <c r="N186" i="6"/>
  <c r="N185" i="6"/>
  <c r="N183" i="6"/>
  <c r="N182" i="6"/>
  <c r="N180" i="6"/>
  <c r="N179" i="6"/>
  <c r="N230" i="6"/>
  <c r="N197" i="6"/>
  <c r="K254" i="6"/>
  <c r="H246" i="6"/>
  <c r="I246" i="6"/>
  <c r="K246" i="6"/>
  <c r="I245" i="6"/>
  <c r="K245" i="6"/>
  <c r="H245" i="6"/>
  <c r="N65" i="1"/>
  <c r="L65" i="1"/>
  <c r="I247" i="6" s="1"/>
  <c r="K65" i="1"/>
  <c r="G65" i="1"/>
  <c r="K247" i="6"/>
  <c r="I35" i="6"/>
  <c r="K35" i="6"/>
  <c r="I36" i="6"/>
  <c r="K36" i="6"/>
  <c r="H36" i="6"/>
  <c r="N61" i="1"/>
  <c r="L61" i="1"/>
  <c r="I241" i="6" s="1"/>
  <c r="K61" i="1"/>
  <c r="G61" i="1"/>
  <c r="K249" i="6"/>
  <c r="K248" i="6"/>
  <c r="I249" i="6"/>
  <c r="I248" i="6"/>
  <c r="H249" i="6"/>
  <c r="H248" i="6"/>
  <c r="K243" i="6"/>
  <c r="K242" i="6"/>
  <c r="I243" i="6"/>
  <c r="I242" i="6"/>
  <c r="H243" i="6"/>
  <c r="H242" i="6"/>
  <c r="K240" i="6"/>
  <c r="K239" i="6"/>
  <c r="I240" i="6"/>
  <c r="I239" i="6"/>
  <c r="H240" i="6"/>
  <c r="H239" i="6"/>
  <c r="K237" i="6"/>
  <c r="I237" i="6"/>
  <c r="H237" i="6"/>
  <c r="H236" i="6"/>
  <c r="K234" i="6"/>
  <c r="K233" i="6"/>
  <c r="I234" i="6"/>
  <c r="H234" i="6"/>
  <c r="H233" i="6"/>
  <c r="K231" i="6"/>
  <c r="K230" i="6"/>
  <c r="I231" i="6"/>
  <c r="I230" i="6"/>
  <c r="H230" i="6"/>
  <c r="K228" i="6"/>
  <c r="K227" i="6"/>
  <c r="I228" i="6"/>
  <c r="H228" i="6"/>
  <c r="H227" i="6"/>
  <c r="K225" i="6"/>
  <c r="K224" i="6"/>
  <c r="I225" i="6"/>
  <c r="I224" i="6"/>
  <c r="H225" i="6"/>
  <c r="H224" i="6"/>
  <c r="K222" i="6"/>
  <c r="K221" i="6"/>
  <c r="I222" i="6"/>
  <c r="I221" i="6"/>
  <c r="H222" i="6"/>
  <c r="H221" i="6"/>
  <c r="K219" i="6"/>
  <c r="K218" i="6"/>
  <c r="I219" i="6"/>
  <c r="I218" i="6"/>
  <c r="H219" i="6"/>
  <c r="H218" i="6"/>
  <c r="K216" i="6"/>
  <c r="K215" i="6"/>
  <c r="I216" i="6"/>
  <c r="I215" i="6"/>
  <c r="H216" i="6"/>
  <c r="H215" i="6"/>
  <c r="K213" i="6"/>
  <c r="K212" i="6"/>
  <c r="I213" i="6"/>
  <c r="I212" i="6"/>
  <c r="H213" i="6"/>
  <c r="H212" i="6"/>
  <c r="K210" i="6"/>
  <c r="K209" i="6"/>
  <c r="I210" i="6"/>
  <c r="I209" i="6"/>
  <c r="H210" i="6"/>
  <c r="H209" i="6"/>
  <c r="K207" i="6"/>
  <c r="K206" i="6"/>
  <c r="I207" i="6"/>
  <c r="I206" i="6"/>
  <c r="H207" i="6"/>
  <c r="H206" i="6"/>
  <c r="K204" i="6"/>
  <c r="K203" i="6"/>
  <c r="I204" i="6"/>
  <c r="I203" i="6"/>
  <c r="H204" i="6"/>
  <c r="H203" i="6"/>
  <c r="K201" i="6"/>
  <c r="K200" i="6"/>
  <c r="I201" i="6"/>
  <c r="I200" i="6"/>
  <c r="H201" i="6"/>
  <c r="H200" i="6"/>
  <c r="K198" i="6"/>
  <c r="K197" i="6"/>
  <c r="I198" i="6"/>
  <c r="I197" i="6"/>
  <c r="H198" i="6"/>
  <c r="H197" i="6"/>
  <c r="K195" i="6"/>
  <c r="K194" i="6"/>
  <c r="I195" i="6"/>
  <c r="I194" i="6"/>
  <c r="H195" i="6"/>
  <c r="H194" i="6"/>
  <c r="K192" i="6"/>
  <c r="K191" i="6"/>
  <c r="I192" i="6"/>
  <c r="I191" i="6"/>
  <c r="H192" i="6"/>
  <c r="H191" i="6"/>
  <c r="K189" i="6"/>
  <c r="K188" i="6"/>
  <c r="I189" i="6"/>
  <c r="I188" i="6"/>
  <c r="H189" i="6"/>
  <c r="H188" i="6"/>
  <c r="K186" i="6"/>
  <c r="K185" i="6"/>
  <c r="I186" i="6"/>
  <c r="H185" i="6"/>
  <c r="H186" i="6"/>
  <c r="K183" i="6"/>
  <c r="K182" i="6"/>
  <c r="I183" i="6"/>
  <c r="I182" i="6"/>
  <c r="H183" i="6"/>
  <c r="H182" i="6"/>
  <c r="K180" i="6"/>
  <c r="K179" i="6"/>
  <c r="I180" i="6"/>
  <c r="I179" i="6"/>
  <c r="H180" i="6"/>
  <c r="H179" i="6"/>
  <c r="K63" i="6"/>
  <c r="K62" i="6"/>
  <c r="I63" i="6"/>
  <c r="H63" i="6"/>
  <c r="H62" i="6"/>
  <c r="K60" i="6"/>
  <c r="K59" i="6"/>
  <c r="I60" i="6"/>
  <c r="I59" i="6"/>
  <c r="H60" i="6"/>
  <c r="H59" i="6"/>
  <c r="K57" i="6"/>
  <c r="K56" i="6"/>
  <c r="I57" i="6"/>
  <c r="I56" i="6"/>
  <c r="H57" i="6"/>
  <c r="H56" i="6"/>
  <c r="K54" i="6"/>
  <c r="K53" i="6"/>
  <c r="I54" i="6"/>
  <c r="I53" i="6"/>
  <c r="H54" i="6"/>
  <c r="H53" i="6"/>
  <c r="K51" i="6"/>
  <c r="K50" i="6"/>
  <c r="I51" i="6"/>
  <c r="I50" i="6"/>
  <c r="H51" i="6"/>
  <c r="H50" i="6"/>
  <c r="K48" i="6"/>
  <c r="K47" i="6"/>
  <c r="I48" i="6"/>
  <c r="I47" i="6"/>
  <c r="H48" i="6"/>
  <c r="H47" i="6"/>
  <c r="K45" i="6"/>
  <c r="K44" i="6"/>
  <c r="I45" i="6"/>
  <c r="I44" i="6"/>
  <c r="H45" i="6"/>
  <c r="H44" i="6"/>
  <c r="K42" i="6"/>
  <c r="K41" i="6"/>
  <c r="I42" i="6"/>
  <c r="H42" i="6"/>
  <c r="H41" i="6"/>
  <c r="K39" i="6"/>
  <c r="K38" i="6"/>
  <c r="I39" i="6"/>
  <c r="I38" i="6"/>
  <c r="H39" i="6"/>
  <c r="H38" i="6"/>
  <c r="H35" i="6"/>
  <c r="M34" i="6"/>
  <c r="K33" i="6"/>
  <c r="K32" i="6"/>
  <c r="I33" i="6"/>
  <c r="I32" i="6"/>
  <c r="H33" i="6"/>
  <c r="H32" i="6"/>
  <c r="K18" i="6"/>
  <c r="K17" i="6"/>
  <c r="H18" i="6"/>
  <c r="H17" i="6"/>
  <c r="K15" i="6"/>
  <c r="K14" i="6"/>
  <c r="I15" i="6"/>
  <c r="I14" i="6"/>
  <c r="K9" i="6"/>
  <c r="K8" i="6"/>
  <c r="I9" i="6"/>
  <c r="I8" i="6"/>
  <c r="H9" i="6"/>
  <c r="H8" i="6"/>
  <c r="H5" i="6"/>
  <c r="H6" i="6"/>
  <c r="H3" i="6"/>
  <c r="K6" i="6"/>
  <c r="K5" i="6"/>
  <c r="K3" i="6"/>
  <c r="K2" i="6"/>
  <c r="I6" i="6"/>
  <c r="I5" i="6"/>
  <c r="N72" i="1"/>
  <c r="G18" i="3" s="1"/>
  <c r="I3" i="6"/>
  <c r="I2" i="6"/>
  <c r="G92" i="2"/>
  <c r="J131" i="6" s="1"/>
  <c r="L92" i="2"/>
  <c r="I133" i="6" s="1"/>
  <c r="L68" i="2"/>
  <c r="I97" i="6" s="1"/>
  <c r="I4" i="6"/>
  <c r="K122" i="2"/>
  <c r="H178" i="6" s="1"/>
  <c r="K114" i="2"/>
  <c r="H166" i="6" s="1"/>
  <c r="K108" i="2"/>
  <c r="H157" i="6" s="1"/>
  <c r="K106" i="2"/>
  <c r="H154" i="6" s="1"/>
  <c r="K104" i="2"/>
  <c r="H151" i="6" s="1"/>
  <c r="K102" i="2"/>
  <c r="H148" i="6" s="1"/>
  <c r="K100" i="2"/>
  <c r="H145" i="6" s="1"/>
  <c r="K98" i="2"/>
  <c r="H142" i="6" s="1"/>
  <c r="K96" i="2"/>
  <c r="H139" i="6" s="1"/>
  <c r="K92" i="2"/>
  <c r="H133" i="6" s="1"/>
  <c r="K86" i="2"/>
  <c r="H124" i="6" s="1"/>
  <c r="K84" i="2"/>
  <c r="H121" i="6" s="1"/>
  <c r="K82" i="2"/>
  <c r="H118" i="6" s="1"/>
  <c r="H112" i="6"/>
  <c r="K76" i="2"/>
  <c r="H109" i="6" s="1"/>
  <c r="K72" i="2"/>
  <c r="H103" i="6" s="1"/>
  <c r="K66" i="2"/>
  <c r="H94" i="6" s="1"/>
  <c r="K64" i="2"/>
  <c r="H91" i="6" s="1"/>
  <c r="K62" i="2"/>
  <c r="H88" i="6" s="1"/>
  <c r="K60" i="2"/>
  <c r="H85" i="6" s="1"/>
  <c r="K58" i="2"/>
  <c r="H82" i="6" s="1"/>
  <c r="N36" i="1"/>
  <c r="N7" i="1"/>
  <c r="G6" i="3" s="1"/>
  <c r="K255" i="6" s="1"/>
  <c r="N74" i="1"/>
  <c r="G19" i="3" s="1"/>
  <c r="N67" i="1"/>
  <c r="K250" i="6" s="1"/>
  <c r="N63" i="1"/>
  <c r="K244" i="6" s="1"/>
  <c r="N57" i="1"/>
  <c r="K235" i="6" s="1"/>
  <c r="N55" i="1"/>
  <c r="K232" i="6" s="1"/>
  <c r="N53" i="1"/>
  <c r="N51" i="1"/>
  <c r="N48" i="1"/>
  <c r="K223" i="6" s="1"/>
  <c r="N45" i="1"/>
  <c r="N42" i="1"/>
  <c r="G14" i="3" s="1"/>
  <c r="K262" i="6" s="1"/>
  <c r="N39" i="1"/>
  <c r="N33" i="1"/>
  <c r="N31" i="1"/>
  <c r="K205" i="6" s="1"/>
  <c r="N29" i="1"/>
  <c r="N25" i="1"/>
  <c r="K199" i="6" s="1"/>
  <c r="N22" i="1"/>
  <c r="N20" i="1"/>
  <c r="N18" i="1"/>
  <c r="N13" i="1"/>
  <c r="G8" i="3" s="1"/>
  <c r="N10" i="1"/>
  <c r="G7" i="3" s="1"/>
  <c r="K256" i="6" s="1"/>
  <c r="L74" i="1"/>
  <c r="L72" i="1"/>
  <c r="L67" i="1"/>
  <c r="I250" i="6" s="1"/>
  <c r="L63" i="1"/>
  <c r="I244" i="6" s="1"/>
  <c r="L55" i="1"/>
  <c r="I232" i="6" s="1"/>
  <c r="L51" i="1"/>
  <c r="I226" i="6" s="1"/>
  <c r="L48" i="1"/>
  <c r="I223" i="6" s="1"/>
  <c r="L45" i="1"/>
  <c r="I220" i="6" s="1"/>
  <c r="L42" i="1"/>
  <c r="M42" i="1" s="1"/>
  <c r="L39" i="1"/>
  <c r="I214" i="6" s="1"/>
  <c r="L36" i="1"/>
  <c r="I211" i="6" s="1"/>
  <c r="L33" i="1"/>
  <c r="L31" i="1"/>
  <c r="L29" i="1"/>
  <c r="L25" i="1"/>
  <c r="I199" i="6" s="1"/>
  <c r="L22" i="1"/>
  <c r="I196" i="6" s="1"/>
  <c r="L20" i="1"/>
  <c r="L18" i="1"/>
  <c r="I190" i="6" s="1"/>
  <c r="L13" i="1"/>
  <c r="L10" i="1"/>
  <c r="I184" i="6" s="1"/>
  <c r="K74" i="1"/>
  <c r="K72" i="1"/>
  <c r="M72" i="1" s="1"/>
  <c r="F18" i="3" s="1"/>
  <c r="K67" i="1"/>
  <c r="H250" i="6" s="1"/>
  <c r="K63" i="1"/>
  <c r="M63" i="1" s="1"/>
  <c r="P63" i="1" s="1"/>
  <c r="K59" i="1"/>
  <c r="H238" i="6" s="1"/>
  <c r="K57" i="1"/>
  <c r="H235" i="6" s="1"/>
  <c r="K53" i="1"/>
  <c r="K51" i="1"/>
  <c r="H226" i="6" s="1"/>
  <c r="K48" i="1"/>
  <c r="K45" i="1"/>
  <c r="K39" i="1"/>
  <c r="M39" i="1" s="1"/>
  <c r="K36" i="1"/>
  <c r="H211" i="6" s="1"/>
  <c r="K33" i="1"/>
  <c r="H208" i="6" s="1"/>
  <c r="K31" i="1"/>
  <c r="H205" i="6" s="1"/>
  <c r="K29" i="1"/>
  <c r="H202" i="6" s="1"/>
  <c r="K25" i="1"/>
  <c r="H199" i="6" s="1"/>
  <c r="K22" i="1"/>
  <c r="K20" i="1"/>
  <c r="H193" i="6" s="1"/>
  <c r="K18" i="1"/>
  <c r="K13" i="1"/>
  <c r="K10" i="1"/>
  <c r="G74" i="1"/>
  <c r="J74" i="1" s="1"/>
  <c r="G72" i="1"/>
  <c r="I72" i="1" s="1"/>
  <c r="G67" i="1"/>
  <c r="G63" i="1"/>
  <c r="G48" i="1"/>
  <c r="I48" i="1" s="1"/>
  <c r="G45" i="1"/>
  <c r="I45" i="1" s="1"/>
  <c r="G39" i="1"/>
  <c r="J212" i="6" s="1"/>
  <c r="G36" i="1"/>
  <c r="I36" i="1" s="1"/>
  <c r="G31" i="1"/>
  <c r="G29" i="1"/>
  <c r="G25" i="1"/>
  <c r="J25" i="1" s="1"/>
  <c r="M197" i="6" s="1"/>
  <c r="G22" i="1"/>
  <c r="G20" i="1"/>
  <c r="J191" i="6" s="1"/>
  <c r="G18" i="1"/>
  <c r="J188" i="6" s="1"/>
  <c r="I13" i="1"/>
  <c r="K226" i="6"/>
  <c r="L74" i="2"/>
  <c r="I106" i="6" s="1"/>
  <c r="J185" i="6"/>
  <c r="H190" i="6"/>
  <c r="H217" i="6"/>
  <c r="I42" i="1"/>
  <c r="G43" i="1" s="1"/>
  <c r="J43" i="1" s="1"/>
  <c r="J215" i="6"/>
  <c r="J48" i="1"/>
  <c r="M221" i="6" s="1"/>
  <c r="J42" i="1"/>
  <c r="M215" i="6" s="1"/>
  <c r="N82" i="2"/>
  <c r="K118" i="6" s="1"/>
  <c r="N84" i="2"/>
  <c r="K121" i="6" s="1"/>
  <c r="N86" i="2"/>
  <c r="K124" i="6" s="1"/>
  <c r="L82" i="2"/>
  <c r="I118" i="6" s="1"/>
  <c r="L86" i="2"/>
  <c r="I124" i="6" s="1"/>
  <c r="H252" i="6"/>
  <c r="K80" i="2"/>
  <c r="H115" i="6" s="1"/>
  <c r="K4" i="6"/>
  <c r="I18" i="6"/>
  <c r="I17" i="6"/>
  <c r="H253" i="6"/>
  <c r="K19" i="6"/>
  <c r="G116" i="2"/>
  <c r="J167" i="6" s="1"/>
  <c r="L18" i="6"/>
  <c r="H15" i="6"/>
  <c r="K10" i="6"/>
  <c r="K16" i="6"/>
  <c r="N26" i="2"/>
  <c r="K34" i="6" s="1"/>
  <c r="N58" i="2"/>
  <c r="K82" i="6" s="1"/>
  <c r="N60" i="2"/>
  <c r="K85" i="6" s="1"/>
  <c r="N62" i="2"/>
  <c r="K88" i="6" s="1"/>
  <c r="N64" i="2"/>
  <c r="K91" i="6" s="1"/>
  <c r="N66" i="2"/>
  <c r="K94" i="6" s="1"/>
  <c r="N68" i="2"/>
  <c r="K97" i="6" s="1"/>
  <c r="N70" i="2"/>
  <c r="K100" i="6" s="1"/>
  <c r="N72" i="2"/>
  <c r="K103" i="6" s="1"/>
  <c r="N74" i="2"/>
  <c r="K106" i="6" s="1"/>
  <c r="N76" i="2"/>
  <c r="K109" i="6" s="1"/>
  <c r="N78" i="2"/>
  <c r="K112" i="6" s="1"/>
  <c r="N80" i="2"/>
  <c r="K115" i="6" s="1"/>
  <c r="N92" i="2"/>
  <c r="K133" i="6" s="1"/>
  <c r="N94" i="2"/>
  <c r="K136" i="6" s="1"/>
  <c r="N96" i="2"/>
  <c r="K139" i="6" s="1"/>
  <c r="N98" i="2"/>
  <c r="K142" i="6" s="1"/>
  <c r="N100" i="2"/>
  <c r="K145" i="6" s="1"/>
  <c r="N102" i="2"/>
  <c r="K148" i="6" s="1"/>
  <c r="N104" i="2"/>
  <c r="K151" i="6" s="1"/>
  <c r="N106" i="2"/>
  <c r="K154" i="6" s="1"/>
  <c r="N108" i="2"/>
  <c r="K157" i="6" s="1"/>
  <c r="N110" i="2"/>
  <c r="K160" i="6" s="1"/>
  <c r="N112" i="2"/>
  <c r="K163" i="6" s="1"/>
  <c r="N114" i="2"/>
  <c r="K166" i="6" s="1"/>
  <c r="N116" i="2"/>
  <c r="K169" i="6" s="1"/>
  <c r="N122" i="2"/>
  <c r="K178" i="6" s="1"/>
  <c r="I16" i="6"/>
  <c r="L60" i="2"/>
  <c r="I85" i="6" s="1"/>
  <c r="L62" i="2"/>
  <c r="I88" i="6" s="1"/>
  <c r="L66" i="2"/>
  <c r="I94" i="6" s="1"/>
  <c r="L70" i="2"/>
  <c r="I100" i="6" s="1"/>
  <c r="L72" i="2"/>
  <c r="I103" i="6" s="1"/>
  <c r="L76" i="2"/>
  <c r="I109" i="6" s="1"/>
  <c r="I112" i="6"/>
  <c r="L80" i="2"/>
  <c r="I115" i="6" s="1"/>
  <c r="L94" i="2"/>
  <c r="I136" i="6" s="1"/>
  <c r="L98" i="2"/>
  <c r="I142" i="6" s="1"/>
  <c r="L100" i="2"/>
  <c r="I145" i="6" s="1"/>
  <c r="L102" i="2"/>
  <c r="I148" i="6" s="1"/>
  <c r="L104" i="2"/>
  <c r="I151" i="6" s="1"/>
  <c r="L106" i="2"/>
  <c r="I154" i="6" s="1"/>
  <c r="L108" i="2"/>
  <c r="I157" i="6" s="1"/>
  <c r="L110" i="2"/>
  <c r="I160" i="6" s="1"/>
  <c r="L112" i="2"/>
  <c r="I163" i="6" s="1"/>
  <c r="L114" i="2"/>
  <c r="I166" i="6" s="1"/>
  <c r="L116" i="2"/>
  <c r="I169" i="6" s="1"/>
  <c r="L122" i="2"/>
  <c r="I178" i="6" s="1"/>
  <c r="K94" i="2"/>
  <c r="H136" i="6" s="1"/>
  <c r="K116" i="2"/>
  <c r="H169" i="6" s="1"/>
  <c r="L59" i="1"/>
  <c r="N59" i="1"/>
  <c r="J53" i="1"/>
  <c r="I233" i="6"/>
  <c r="K253" i="6"/>
  <c r="K252" i="6"/>
  <c r="K251" i="6"/>
  <c r="M14" i="6"/>
  <c r="H14" i="6"/>
  <c r="L96" i="2"/>
  <c r="I139" i="6" s="1"/>
  <c r="L53" i="1"/>
  <c r="I229" i="6" s="1"/>
  <c r="G57" i="1"/>
  <c r="J57" i="1" s="1"/>
  <c r="M46" i="6"/>
  <c r="G16" i="3"/>
  <c r="K264" i="6" s="1"/>
  <c r="F22" i="3"/>
  <c r="E6" i="3"/>
  <c r="I256" i="6"/>
  <c r="E8" i="3"/>
  <c r="I258" i="6"/>
  <c r="I259" i="6"/>
  <c r="I260" i="6"/>
  <c r="I261" i="6"/>
  <c r="I262" i="6"/>
  <c r="I263" i="6"/>
  <c r="I264" i="6"/>
  <c r="D16" i="3"/>
  <c r="H264" i="6" s="1"/>
  <c r="H263" i="6"/>
  <c r="H262" i="6"/>
  <c r="D13" i="3"/>
  <c r="H261" i="6" s="1"/>
  <c r="H260" i="6"/>
  <c r="H259" i="6"/>
  <c r="H256" i="6"/>
  <c r="H255" i="6"/>
  <c r="G33" i="1"/>
  <c r="J35" i="6"/>
  <c r="I64" i="2"/>
  <c r="I70" i="2"/>
  <c r="L98" i="6" s="1"/>
  <c r="J44" i="6"/>
  <c r="I74" i="1"/>
  <c r="I102" i="2"/>
  <c r="I104" i="2"/>
  <c r="L149" i="6" s="1"/>
  <c r="I62" i="2"/>
  <c r="J18" i="6"/>
  <c r="M18" i="6"/>
  <c r="G103" i="2" l="1"/>
  <c r="L146" i="6"/>
  <c r="G65" i="2"/>
  <c r="L89" i="6"/>
  <c r="E28" i="3"/>
  <c r="G51" i="2"/>
  <c r="L68" i="6"/>
  <c r="G63" i="2"/>
  <c r="L86" i="6"/>
  <c r="J214" i="6"/>
  <c r="F13" i="3"/>
  <c r="M45" i="1"/>
  <c r="F15" i="3" s="1"/>
  <c r="J224" i="6"/>
  <c r="J51" i="1"/>
  <c r="I255" i="6"/>
  <c r="M22" i="1"/>
  <c r="J196" i="6" s="1"/>
  <c r="J217" i="6"/>
  <c r="F14" i="3"/>
  <c r="J244" i="6"/>
  <c r="G17" i="3"/>
  <c r="K265" i="6" s="1"/>
  <c r="G11" i="3"/>
  <c r="K259" i="6" s="1"/>
  <c r="K211" i="6"/>
  <c r="G12" i="3"/>
  <c r="K260" i="6" s="1"/>
  <c r="G10" i="3"/>
  <c r="K258" i="6" s="1"/>
  <c r="M76" i="2"/>
  <c r="J109" i="6" s="1"/>
  <c r="M42" i="2"/>
  <c r="P42" i="2" s="1"/>
  <c r="M58" i="6" s="1"/>
  <c r="M34" i="2"/>
  <c r="J46" i="6" s="1"/>
  <c r="I122" i="2"/>
  <c r="G7" i="2"/>
  <c r="K220" i="6"/>
  <c r="G15" i="3"/>
  <c r="K263" i="6" s="1"/>
  <c r="K214" i="6"/>
  <c r="G13" i="3"/>
  <c r="K261" i="6" s="1"/>
  <c r="M62" i="2"/>
  <c r="J88" i="6" s="1"/>
  <c r="K217" i="6"/>
  <c r="I25" i="1"/>
  <c r="L197" i="6" s="1"/>
  <c r="H244" i="6"/>
  <c r="M18" i="1"/>
  <c r="M108" i="2"/>
  <c r="J58" i="2"/>
  <c r="M80" i="6" s="1"/>
  <c r="J116" i="2"/>
  <c r="M167" i="6" s="1"/>
  <c r="M72" i="2"/>
  <c r="M102" i="2"/>
  <c r="H46" i="6"/>
  <c r="H58" i="6"/>
  <c r="I26" i="2"/>
  <c r="G27" i="2" s="1"/>
  <c r="J27" i="2" s="1"/>
  <c r="M33" i="6" s="1"/>
  <c r="J26" i="2"/>
  <c r="M32" i="6" s="1"/>
  <c r="J92" i="2"/>
  <c r="M131" i="6" s="1"/>
  <c r="J114" i="2"/>
  <c r="M164" i="6" s="1"/>
  <c r="I39" i="1"/>
  <c r="L212" i="6" s="1"/>
  <c r="I18" i="1"/>
  <c r="L188" i="6" s="1"/>
  <c r="M48" i="1"/>
  <c r="F16" i="3" s="1"/>
  <c r="I16" i="3" s="1"/>
  <c r="J221" i="6"/>
  <c r="J22" i="1"/>
  <c r="M194" i="6" s="1"/>
  <c r="J61" i="1"/>
  <c r="M239" i="6" s="1"/>
  <c r="J72" i="1"/>
  <c r="I55" i="1"/>
  <c r="G56" i="1" s="1"/>
  <c r="J56" i="1" s="1"/>
  <c r="J55" i="1"/>
  <c r="M230" i="6" s="1"/>
  <c r="J203" i="6"/>
  <c r="J31" i="1"/>
  <c r="M203" i="6" s="1"/>
  <c r="J248" i="6"/>
  <c r="J67" i="1"/>
  <c r="M248" i="6" s="1"/>
  <c r="J65" i="1"/>
  <c r="M245" i="6" s="1"/>
  <c r="I22" i="1"/>
  <c r="L194" i="6" s="1"/>
  <c r="M36" i="1"/>
  <c r="J20" i="1"/>
  <c r="M191" i="6" s="1"/>
  <c r="J242" i="6"/>
  <c r="J63" i="1"/>
  <c r="M242" i="6" s="1"/>
  <c r="J7" i="1"/>
  <c r="M179" i="6" s="1"/>
  <c r="J206" i="6"/>
  <c r="J33" i="1"/>
  <c r="M206" i="6" s="1"/>
  <c r="I67" i="1"/>
  <c r="G68" i="1" s="1"/>
  <c r="J68" i="1" s="1"/>
  <c r="M249" i="6" s="1"/>
  <c r="M233" i="6"/>
  <c r="J194" i="6"/>
  <c r="J200" i="6"/>
  <c r="J29" i="1"/>
  <c r="M200" i="6" s="1"/>
  <c r="K193" i="6"/>
  <c r="J179" i="6"/>
  <c r="H184" i="6"/>
  <c r="G105" i="2"/>
  <c r="J150" i="6" s="1"/>
  <c r="G71" i="2"/>
  <c r="J80" i="2"/>
  <c r="M113" i="6" s="1"/>
  <c r="G49" i="2"/>
  <c r="G31" i="2"/>
  <c r="J31" i="2" s="1"/>
  <c r="M39" i="6" s="1"/>
  <c r="M24" i="6"/>
  <c r="J9" i="2"/>
  <c r="L35" i="6"/>
  <c r="M36" i="6"/>
  <c r="I29" i="2"/>
  <c r="L36" i="6" s="1"/>
  <c r="J36" i="6"/>
  <c r="J5" i="6"/>
  <c r="M98" i="2"/>
  <c r="I98" i="2"/>
  <c r="M35" i="6"/>
  <c r="L4" i="6"/>
  <c r="M26" i="2"/>
  <c r="P26" i="2" s="1"/>
  <c r="M38" i="2"/>
  <c r="O38" i="2" s="1"/>
  <c r="L52" i="6" s="1"/>
  <c r="M30" i="2"/>
  <c r="J40" i="6" s="1"/>
  <c r="I51" i="2"/>
  <c r="L69" i="6" s="1"/>
  <c r="L44" i="6"/>
  <c r="H40" i="6"/>
  <c r="L38" i="6"/>
  <c r="I66" i="2"/>
  <c r="L92" i="6" s="1"/>
  <c r="M122" i="2"/>
  <c r="J178" i="6" s="1"/>
  <c r="M82" i="2"/>
  <c r="M53" i="6"/>
  <c r="M53" i="1"/>
  <c r="P53" i="1" s="1"/>
  <c r="M229" i="6" s="1"/>
  <c r="J239" i="6"/>
  <c r="L215" i="6"/>
  <c r="J39" i="1"/>
  <c r="M212" i="6" s="1"/>
  <c r="I29" i="1"/>
  <c r="L200" i="6" s="1"/>
  <c r="J182" i="6"/>
  <c r="I10" i="1"/>
  <c r="G11" i="1" s="1"/>
  <c r="I108" i="2"/>
  <c r="L155" i="6" s="1"/>
  <c r="M44" i="2"/>
  <c r="J61" i="6" s="1"/>
  <c r="J223" i="6"/>
  <c r="O48" i="1"/>
  <c r="L223" i="6" s="1"/>
  <c r="P48" i="1"/>
  <c r="M223" i="6" s="1"/>
  <c r="I33" i="1"/>
  <c r="G34" i="1" s="1"/>
  <c r="J233" i="6"/>
  <c r="J13" i="1"/>
  <c r="H223" i="6"/>
  <c r="M185" i="6"/>
  <c r="M29" i="1"/>
  <c r="O29" i="1" s="1"/>
  <c r="L202" i="6" s="1"/>
  <c r="I185" i="6"/>
  <c r="I65" i="1"/>
  <c r="G66" i="1" s="1"/>
  <c r="J66" i="1" s="1"/>
  <c r="I31" i="1"/>
  <c r="M67" i="1"/>
  <c r="J250" i="6" s="1"/>
  <c r="M10" i="1"/>
  <c r="H229" i="6"/>
  <c r="M61" i="1"/>
  <c r="J241" i="6" s="1"/>
  <c r="I238" i="6"/>
  <c r="M59" i="1"/>
  <c r="J238" i="6" s="1"/>
  <c r="L209" i="6"/>
  <c r="G37" i="1"/>
  <c r="J210" i="6" s="1"/>
  <c r="I187" i="6"/>
  <c r="M15" i="1"/>
  <c r="L221" i="6"/>
  <c r="G49" i="1"/>
  <c r="M74" i="1"/>
  <c r="I57" i="1"/>
  <c r="H265" i="6"/>
  <c r="I265" i="6"/>
  <c r="L57" i="1"/>
  <c r="I236" i="6"/>
  <c r="L179" i="6"/>
  <c r="J197" i="6"/>
  <c r="M7" i="1"/>
  <c r="I217" i="6"/>
  <c r="J245" i="6"/>
  <c r="P42" i="1"/>
  <c r="M217" i="6" s="1"/>
  <c r="I63" i="1"/>
  <c r="G59" i="1"/>
  <c r="J59" i="1" s="1"/>
  <c r="M13" i="1"/>
  <c r="O13" i="1" s="1"/>
  <c r="H231" i="6"/>
  <c r="I227" i="6"/>
  <c r="K236" i="6"/>
  <c r="J18" i="1"/>
  <c r="M188" i="6" s="1"/>
  <c r="H241" i="6"/>
  <c r="J209" i="6"/>
  <c r="J36" i="1"/>
  <c r="M209" i="6" s="1"/>
  <c r="L218" i="6"/>
  <c r="G46" i="1"/>
  <c r="M227" i="6"/>
  <c r="I53" i="1"/>
  <c r="J227" i="6"/>
  <c r="M244" i="6"/>
  <c r="M55" i="1"/>
  <c r="J232" i="6" s="1"/>
  <c r="H232" i="6"/>
  <c r="K229" i="6"/>
  <c r="H247" i="6"/>
  <c r="M65" i="1"/>
  <c r="K238" i="6"/>
  <c r="O63" i="1"/>
  <c r="L244" i="6" s="1"/>
  <c r="H214" i="6"/>
  <c r="O45" i="1"/>
  <c r="L220" i="6" s="1"/>
  <c r="H220" i="6"/>
  <c r="P45" i="1"/>
  <c r="M220" i="6" s="1"/>
  <c r="H196" i="6"/>
  <c r="M31" i="1"/>
  <c r="K241" i="6"/>
  <c r="I193" i="6"/>
  <c r="M20" i="1"/>
  <c r="J193" i="6" s="1"/>
  <c r="K202" i="6"/>
  <c r="P72" i="1"/>
  <c r="J220" i="6"/>
  <c r="J218" i="6"/>
  <c r="J45" i="1"/>
  <c r="M218" i="6" s="1"/>
  <c r="I208" i="6"/>
  <c r="M33" i="1"/>
  <c r="J208" i="6" s="1"/>
  <c r="I51" i="1"/>
  <c r="M224" i="6"/>
  <c r="F20" i="3"/>
  <c r="I20" i="3" s="1"/>
  <c r="I20" i="1"/>
  <c r="L191" i="6" s="1"/>
  <c r="O42" i="1"/>
  <c r="L217" i="6" s="1"/>
  <c r="I61" i="1"/>
  <c r="J10" i="1"/>
  <c r="M182" i="6" s="1"/>
  <c r="P18" i="1"/>
  <c r="M190" i="6" s="1"/>
  <c r="G26" i="1"/>
  <c r="J26" i="1" s="1"/>
  <c r="M25" i="1"/>
  <c r="J32" i="6"/>
  <c r="O18" i="1"/>
  <c r="L190" i="6" s="1"/>
  <c r="O39" i="1"/>
  <c r="L214" i="6" s="1"/>
  <c r="P39" i="1"/>
  <c r="M214" i="6" s="1"/>
  <c r="K190" i="6"/>
  <c r="J261" i="6"/>
  <c r="O72" i="1"/>
  <c r="K208" i="6"/>
  <c r="M54" i="6"/>
  <c r="J54" i="6"/>
  <c r="I84" i="2"/>
  <c r="I103" i="2"/>
  <c r="L147" i="6" s="1"/>
  <c r="I76" i="2"/>
  <c r="I68" i="2"/>
  <c r="I60" i="2"/>
  <c r="L83" i="6" s="1"/>
  <c r="L53" i="6"/>
  <c r="I58" i="2"/>
  <c r="L80" i="6" s="1"/>
  <c r="J53" i="6"/>
  <c r="M70" i="2"/>
  <c r="J100" i="6" s="1"/>
  <c r="K110" i="2"/>
  <c r="H160" i="6" s="1"/>
  <c r="M86" i="2"/>
  <c r="J124" i="6" s="1"/>
  <c r="M64" i="2"/>
  <c r="J91" i="6" s="1"/>
  <c r="I94" i="2"/>
  <c r="J47" i="6"/>
  <c r="M104" i="2"/>
  <c r="J112" i="6"/>
  <c r="L58" i="2"/>
  <c r="I82" i="6" s="1"/>
  <c r="L84" i="2"/>
  <c r="I121" i="6" s="1"/>
  <c r="H52" i="6"/>
  <c r="M50" i="2"/>
  <c r="J70" i="6" s="1"/>
  <c r="I106" i="2"/>
  <c r="M106" i="2"/>
  <c r="M80" i="2"/>
  <c r="J115" i="6" s="1"/>
  <c r="H251" i="6"/>
  <c r="I36" i="2"/>
  <c r="I251" i="6"/>
  <c r="H18" i="3"/>
  <c r="J264" i="6"/>
  <c r="M51" i="1"/>
  <c r="P51" i="1" s="1"/>
  <c r="I82" i="2"/>
  <c r="M96" i="2"/>
  <c r="K184" i="6"/>
  <c r="K196" i="6"/>
  <c r="K181" i="6"/>
  <c r="H258" i="6"/>
  <c r="I44" i="2"/>
  <c r="G45" i="2" s="1"/>
  <c r="J45" i="2" s="1"/>
  <c r="J59" i="6"/>
  <c r="I114" i="2"/>
  <c r="M60" i="2"/>
  <c r="J85" i="6" s="1"/>
  <c r="E8" i="7"/>
  <c r="G22" i="3"/>
  <c r="K187" i="6"/>
  <c r="M66" i="2"/>
  <c r="J94" i="6" s="1"/>
  <c r="I42" i="2"/>
  <c r="M56" i="6"/>
  <c r="J56" i="6"/>
  <c r="M40" i="2"/>
  <c r="P40" i="2" s="1"/>
  <c r="M55" i="6" s="1"/>
  <c r="H55" i="6"/>
  <c r="H43" i="6"/>
  <c r="K64" i="6"/>
  <c r="I41" i="2"/>
  <c r="L54" i="6" s="1"/>
  <c r="M114" i="2"/>
  <c r="J166" i="6" s="1"/>
  <c r="G112" i="2"/>
  <c r="K112" i="2"/>
  <c r="H163" i="6" s="1"/>
  <c r="I96" i="2"/>
  <c r="M100" i="2"/>
  <c r="J145" i="6" s="1"/>
  <c r="M92" i="2"/>
  <c r="J133" i="6" s="1"/>
  <c r="I72" i="2"/>
  <c r="M94" i="2"/>
  <c r="J136" i="6" s="1"/>
  <c r="K74" i="2"/>
  <c r="H106" i="6" s="1"/>
  <c r="M36" i="2"/>
  <c r="I49" i="6"/>
  <c r="I252" i="6"/>
  <c r="I41" i="6"/>
  <c r="L32" i="2"/>
  <c r="I43" i="6" s="1"/>
  <c r="L46" i="2"/>
  <c r="I62" i="6"/>
  <c r="I15" i="2"/>
  <c r="H254" i="6"/>
  <c r="M28" i="2"/>
  <c r="H37" i="6"/>
  <c r="I78" i="2"/>
  <c r="L110" i="6" s="1"/>
  <c r="J14" i="6"/>
  <c r="K68" i="2"/>
  <c r="H97" i="6" s="1"/>
  <c r="I86" i="2"/>
  <c r="L122" i="6" s="1"/>
  <c r="M19" i="6"/>
  <c r="M48" i="2"/>
  <c r="J67" i="6" s="1"/>
  <c r="K55" i="6"/>
  <c r="K43" i="6"/>
  <c r="I254" i="6"/>
  <c r="I253" i="6"/>
  <c r="J230" i="6"/>
  <c r="I14" i="3"/>
  <c r="M262" i="6" s="1"/>
  <c r="J263" i="6"/>
  <c r="I74" i="2"/>
  <c r="I116" i="2"/>
  <c r="L167" i="6" s="1"/>
  <c r="J180" i="6"/>
  <c r="J8" i="1"/>
  <c r="M180" i="6" s="1"/>
  <c r="I8" i="1"/>
  <c r="L180" i="6" s="1"/>
  <c r="M116" i="2"/>
  <c r="J169" i="6" s="1"/>
  <c r="I10" i="6"/>
  <c r="L8" i="6"/>
  <c r="I11" i="2"/>
  <c r="M8" i="6"/>
  <c r="J8" i="6"/>
  <c r="L2" i="6"/>
  <c r="J6" i="2"/>
  <c r="J2" i="6"/>
  <c r="K46" i="6"/>
  <c r="I80" i="2"/>
  <c r="J50" i="6"/>
  <c r="I38" i="2"/>
  <c r="G39" i="2" s="1"/>
  <c r="J39" i="2" s="1"/>
  <c r="F8" i="7"/>
  <c r="M216" i="6"/>
  <c r="J216" i="6"/>
  <c r="I43" i="1"/>
  <c r="L216" i="6" s="1"/>
  <c r="O22" i="1"/>
  <c r="L196" i="6" s="1"/>
  <c r="I92" i="2"/>
  <c r="L131" i="6" s="1"/>
  <c r="J6" i="6"/>
  <c r="L6" i="6"/>
  <c r="L5" i="6"/>
  <c r="O98" i="2" l="1"/>
  <c r="L142" i="6" s="1"/>
  <c r="J142" i="6"/>
  <c r="J112" i="2"/>
  <c r="M161" i="6" s="1"/>
  <c r="J161" i="6"/>
  <c r="G95" i="2"/>
  <c r="L134" i="6"/>
  <c r="G85" i="2"/>
  <c r="L119" i="6"/>
  <c r="O102" i="2"/>
  <c r="L148" i="6" s="1"/>
  <c r="J148" i="6"/>
  <c r="P108" i="2"/>
  <c r="M157" i="6" s="1"/>
  <c r="J157" i="6"/>
  <c r="J65" i="2"/>
  <c r="M90" i="6" s="1"/>
  <c r="J90" i="6"/>
  <c r="J51" i="2"/>
  <c r="M69" i="6" s="1"/>
  <c r="J69" i="6"/>
  <c r="L151" i="6"/>
  <c r="J151" i="6"/>
  <c r="G99" i="2"/>
  <c r="L140" i="6"/>
  <c r="J71" i="2"/>
  <c r="M99" i="6" s="1"/>
  <c r="J99" i="6"/>
  <c r="J103" i="2"/>
  <c r="M147" i="6" s="1"/>
  <c r="J147" i="6"/>
  <c r="G75" i="2"/>
  <c r="L104" i="6"/>
  <c r="P22" i="1"/>
  <c r="M196" i="6" s="1"/>
  <c r="G81" i="2"/>
  <c r="J114" i="6" s="1"/>
  <c r="L113" i="6"/>
  <c r="G123" i="2"/>
  <c r="J177" i="6" s="1"/>
  <c r="L176" i="6"/>
  <c r="G97" i="2"/>
  <c r="L137" i="6"/>
  <c r="O96" i="2"/>
  <c r="L139" i="6" s="1"/>
  <c r="J139" i="6"/>
  <c r="J49" i="2"/>
  <c r="M66" i="6" s="1"/>
  <c r="J66" i="6"/>
  <c r="P106" i="2"/>
  <c r="M154" i="6" s="1"/>
  <c r="J154" i="6"/>
  <c r="G107" i="2"/>
  <c r="L152" i="6"/>
  <c r="O72" i="2"/>
  <c r="L103" i="6" s="1"/>
  <c r="J103" i="6"/>
  <c r="G115" i="2"/>
  <c r="L164" i="6"/>
  <c r="O82" i="2"/>
  <c r="L118" i="6" s="1"/>
  <c r="J118" i="6"/>
  <c r="L116" i="6"/>
  <c r="G77" i="2"/>
  <c r="L107" i="6"/>
  <c r="G73" i="2"/>
  <c r="L101" i="6"/>
  <c r="G69" i="2"/>
  <c r="I69" i="2" s="1"/>
  <c r="L96" i="6" s="1"/>
  <c r="L95" i="6"/>
  <c r="J63" i="2"/>
  <c r="M87" i="6" s="1"/>
  <c r="J87" i="6"/>
  <c r="G30" i="1"/>
  <c r="J30" i="1" s="1"/>
  <c r="M58" i="2"/>
  <c r="J82" i="6" s="1"/>
  <c r="G59" i="2"/>
  <c r="L230" i="6"/>
  <c r="O76" i="2"/>
  <c r="L109" i="6" s="1"/>
  <c r="P76" i="2"/>
  <c r="M109" i="6" s="1"/>
  <c r="O36" i="1"/>
  <c r="L211" i="6" s="1"/>
  <c r="F12" i="3"/>
  <c r="J58" i="6"/>
  <c r="L224" i="6"/>
  <c r="G52" i="1"/>
  <c r="O7" i="1"/>
  <c r="L181" i="6" s="1"/>
  <c r="F6" i="3"/>
  <c r="I6" i="3" s="1"/>
  <c r="M255" i="6" s="1"/>
  <c r="J187" i="6"/>
  <c r="F9" i="3"/>
  <c r="I9" i="3" s="1"/>
  <c r="J184" i="6"/>
  <c r="F7" i="3"/>
  <c r="J256" i="6" s="1"/>
  <c r="P13" i="1"/>
  <c r="F8" i="3"/>
  <c r="H8" i="3" s="1"/>
  <c r="G19" i="1"/>
  <c r="J19" i="1" s="1"/>
  <c r="M189" i="6" s="1"/>
  <c r="F11" i="3"/>
  <c r="J259" i="6" s="1"/>
  <c r="O74" i="1"/>
  <c r="F19" i="3"/>
  <c r="J190" i="6"/>
  <c r="F10" i="3"/>
  <c r="I10" i="3" s="1"/>
  <c r="M258" i="6" s="1"/>
  <c r="P62" i="2"/>
  <c r="M88" i="6" s="1"/>
  <c r="O62" i="2"/>
  <c r="L88" i="6" s="1"/>
  <c r="M6" i="6"/>
  <c r="O42" i="2"/>
  <c r="L58" i="6" s="1"/>
  <c r="I31" i="2"/>
  <c r="L39" i="6" s="1"/>
  <c r="O34" i="2"/>
  <c r="L46" i="6" s="1"/>
  <c r="I71" i="2"/>
  <c r="L99" i="6" s="1"/>
  <c r="I123" i="2"/>
  <c r="L177" i="6" s="1"/>
  <c r="J33" i="6"/>
  <c r="O108" i="2"/>
  <c r="L157" i="6" s="1"/>
  <c r="L32" i="6"/>
  <c r="I49" i="2"/>
  <c r="L66" i="6" s="1"/>
  <c r="M2" i="6"/>
  <c r="P72" i="2"/>
  <c r="M103" i="6" s="1"/>
  <c r="M118" i="6"/>
  <c r="P86" i="2"/>
  <c r="M124" i="6" s="1"/>
  <c r="J52" i="6"/>
  <c r="P38" i="2"/>
  <c r="M52" i="6" s="1"/>
  <c r="P50" i="2"/>
  <c r="M70" i="6" s="1"/>
  <c r="L248" i="6"/>
  <c r="J249" i="6"/>
  <c r="I68" i="1"/>
  <c r="L249" i="6" s="1"/>
  <c r="P74" i="1"/>
  <c r="G40" i="1"/>
  <c r="J40" i="1" s="1"/>
  <c r="M213" i="6" s="1"/>
  <c r="J229" i="6"/>
  <c r="O53" i="1"/>
  <c r="L229" i="6" s="1"/>
  <c r="M74" i="2"/>
  <c r="O86" i="2"/>
  <c r="L124" i="6" s="1"/>
  <c r="P98" i="2"/>
  <c r="M142" i="6" s="1"/>
  <c r="O26" i="2"/>
  <c r="L34" i="6" s="1"/>
  <c r="I27" i="2"/>
  <c r="L33" i="6" s="1"/>
  <c r="O30" i="2"/>
  <c r="L40" i="6" s="1"/>
  <c r="J34" i="6"/>
  <c r="P102" i="2"/>
  <c r="M148" i="6" s="1"/>
  <c r="J10" i="6"/>
  <c r="P10" i="2"/>
  <c r="P8" i="2"/>
  <c r="I7" i="2"/>
  <c r="J7" i="2"/>
  <c r="G23" i="1"/>
  <c r="J23" i="1" s="1"/>
  <c r="M195" i="6" s="1"/>
  <c r="P33" i="1"/>
  <c r="M208" i="6" s="1"/>
  <c r="P36" i="1"/>
  <c r="M211" i="6" s="1"/>
  <c r="J211" i="6"/>
  <c r="O33" i="1"/>
  <c r="L208" i="6" s="1"/>
  <c r="O15" i="1"/>
  <c r="L187" i="6" s="1"/>
  <c r="I34" i="1"/>
  <c r="L207" i="6" s="1"/>
  <c r="J34" i="1"/>
  <c r="M207" i="6" s="1"/>
  <c r="P29" i="1"/>
  <c r="M202" i="6" s="1"/>
  <c r="P20" i="1"/>
  <c r="M193" i="6" s="1"/>
  <c r="O59" i="1"/>
  <c r="L238" i="6" s="1"/>
  <c r="G109" i="2"/>
  <c r="J156" i="6" s="1"/>
  <c r="J105" i="2"/>
  <c r="M150" i="6" s="1"/>
  <c r="I105" i="2"/>
  <c r="L150" i="6" s="1"/>
  <c r="G87" i="2"/>
  <c r="J111" i="6"/>
  <c r="G67" i="2"/>
  <c r="J93" i="6" s="1"/>
  <c r="G61" i="2"/>
  <c r="L56" i="6"/>
  <c r="G43" i="2"/>
  <c r="J43" i="2" s="1"/>
  <c r="G37" i="2"/>
  <c r="J37" i="2" s="1"/>
  <c r="M48" i="6" s="1"/>
  <c r="J39" i="6"/>
  <c r="J11" i="2"/>
  <c r="J15" i="2"/>
  <c r="O48" i="2"/>
  <c r="L67" i="6" s="1"/>
  <c r="M84" i="2"/>
  <c r="J121" i="6" s="1"/>
  <c r="J4" i="6"/>
  <c r="P30" i="2"/>
  <c r="M40" i="6" s="1"/>
  <c r="P48" i="2"/>
  <c r="M67" i="6" s="1"/>
  <c r="O44" i="2"/>
  <c r="L61" i="6" s="1"/>
  <c r="I35" i="2"/>
  <c r="L45" i="6" s="1"/>
  <c r="J45" i="6"/>
  <c r="P44" i="2"/>
  <c r="M61" i="6" s="1"/>
  <c r="P96" i="2"/>
  <c r="M139" i="6" s="1"/>
  <c r="M112" i="2"/>
  <c r="O122" i="2"/>
  <c r="L178" i="6" s="1"/>
  <c r="L10" i="6"/>
  <c r="J181" i="6"/>
  <c r="P7" i="1"/>
  <c r="M181" i="6" s="1"/>
  <c r="G21" i="1"/>
  <c r="I21" i="1" s="1"/>
  <c r="L192" i="6" s="1"/>
  <c r="L245" i="6"/>
  <c r="O55" i="1"/>
  <c r="L232" i="6" s="1"/>
  <c r="P67" i="1"/>
  <c r="M250" i="6" s="1"/>
  <c r="O61" i="1"/>
  <c r="L241" i="6" s="1"/>
  <c r="O67" i="1"/>
  <c r="L250" i="6" s="1"/>
  <c r="P15" i="1"/>
  <c r="M187" i="6" s="1"/>
  <c r="I11" i="1"/>
  <c r="L183" i="6" s="1"/>
  <c r="L7" i="6"/>
  <c r="I7" i="3"/>
  <c r="M256" i="6" s="1"/>
  <c r="L47" i="6"/>
  <c r="O80" i="2"/>
  <c r="L115" i="6" s="1"/>
  <c r="P80" i="2"/>
  <c r="M115" i="6" s="1"/>
  <c r="J258" i="6"/>
  <c r="H15" i="3"/>
  <c r="L263" i="6" s="1"/>
  <c r="P61" i="1"/>
  <c r="M241" i="6" s="1"/>
  <c r="L203" i="6"/>
  <c r="G32" i="1"/>
  <c r="J32" i="1" s="1"/>
  <c r="J207" i="6"/>
  <c r="O10" i="1"/>
  <c r="L184" i="6" s="1"/>
  <c r="P10" i="1"/>
  <c r="M184" i="6" s="1"/>
  <c r="I37" i="1"/>
  <c r="L210" i="6" s="1"/>
  <c r="J183" i="6"/>
  <c r="H7" i="3"/>
  <c r="L256" i="6" s="1"/>
  <c r="H20" i="3"/>
  <c r="J11" i="1"/>
  <c r="M183" i="6" s="1"/>
  <c r="I8" i="3"/>
  <c r="L206" i="6"/>
  <c r="J202" i="6"/>
  <c r="I202" i="6"/>
  <c r="M236" i="6"/>
  <c r="I59" i="1"/>
  <c r="J236" i="6"/>
  <c r="J49" i="1"/>
  <c r="M222" i="6" s="1"/>
  <c r="J222" i="6"/>
  <c r="I49" i="1"/>
  <c r="L222" i="6" s="1"/>
  <c r="I18" i="3"/>
  <c r="L182" i="6"/>
  <c r="P59" i="1"/>
  <c r="M238" i="6" s="1"/>
  <c r="J37" i="1"/>
  <c r="M210" i="6" s="1"/>
  <c r="G64" i="1"/>
  <c r="J64" i="1" s="1"/>
  <c r="L242" i="6"/>
  <c r="P57" i="1"/>
  <c r="M235" i="6" s="1"/>
  <c r="I235" i="6"/>
  <c r="M57" i="1"/>
  <c r="F17" i="3" s="1"/>
  <c r="G58" i="1"/>
  <c r="J58" i="1" s="1"/>
  <c r="L233" i="6"/>
  <c r="H9" i="3"/>
  <c r="M264" i="6"/>
  <c r="O20" i="1"/>
  <c r="L193" i="6" s="1"/>
  <c r="L239" i="6"/>
  <c r="G62" i="1"/>
  <c r="J62" i="1" s="1"/>
  <c r="P65" i="1"/>
  <c r="M247" i="6" s="1"/>
  <c r="O65" i="1"/>
  <c r="L247" i="6" s="1"/>
  <c r="J247" i="6"/>
  <c r="M246" i="6"/>
  <c r="I66" i="1"/>
  <c r="L246" i="6" s="1"/>
  <c r="J246" i="6"/>
  <c r="J219" i="6"/>
  <c r="I46" i="1"/>
  <c r="L219" i="6" s="1"/>
  <c r="J46" i="1"/>
  <c r="M219" i="6" s="1"/>
  <c r="H13" i="3"/>
  <c r="L261" i="6" s="1"/>
  <c r="H16" i="3"/>
  <c r="L264" i="6" s="1"/>
  <c r="P55" i="1"/>
  <c r="M232" i="6" s="1"/>
  <c r="I205" i="6"/>
  <c r="J205" i="6"/>
  <c r="O31" i="1"/>
  <c r="L205" i="6" s="1"/>
  <c r="L227" i="6"/>
  <c r="I13" i="3"/>
  <c r="M261" i="6" s="1"/>
  <c r="P31" i="1"/>
  <c r="M205" i="6" s="1"/>
  <c r="I11" i="3"/>
  <c r="M259" i="6" s="1"/>
  <c r="H11" i="3"/>
  <c r="L259" i="6" s="1"/>
  <c r="O25" i="1"/>
  <c r="L199" i="6" s="1"/>
  <c r="P25" i="1"/>
  <c r="M199" i="6" s="1"/>
  <c r="J199" i="6"/>
  <c r="M198" i="6"/>
  <c r="I26" i="1"/>
  <c r="L198" i="6" s="1"/>
  <c r="J198" i="6"/>
  <c r="M201" i="6"/>
  <c r="I30" i="1"/>
  <c r="L201" i="6" s="1"/>
  <c r="J201" i="6"/>
  <c r="D27" i="3"/>
  <c r="O50" i="2"/>
  <c r="L70" i="6" s="1"/>
  <c r="O70" i="2"/>
  <c r="L100" i="6" s="1"/>
  <c r="P70" i="2"/>
  <c r="M100" i="6" s="1"/>
  <c r="I23" i="3"/>
  <c r="M251" i="6" s="1"/>
  <c r="O78" i="2"/>
  <c r="L112" i="6" s="1"/>
  <c r="M110" i="2"/>
  <c r="J160" i="6" s="1"/>
  <c r="O106" i="2"/>
  <c r="L154" i="6" s="1"/>
  <c r="P14" i="2"/>
  <c r="H16" i="6"/>
  <c r="L14" i="6"/>
  <c r="I15" i="3"/>
  <c r="M263" i="6" s="1"/>
  <c r="M226" i="6"/>
  <c r="J226" i="6"/>
  <c r="O51" i="1"/>
  <c r="L226" i="6" s="1"/>
  <c r="P60" i="2"/>
  <c r="M85" i="6" s="1"/>
  <c r="O60" i="2"/>
  <c r="L85" i="6" s="1"/>
  <c r="F24" i="3"/>
  <c r="J252" i="6" s="1"/>
  <c r="J255" i="6"/>
  <c r="H6" i="3"/>
  <c r="L255" i="6" s="1"/>
  <c r="L59" i="6"/>
  <c r="F26" i="3"/>
  <c r="J254" i="6" s="1"/>
  <c r="E27" i="3"/>
  <c r="F25" i="3"/>
  <c r="I25" i="3" s="1"/>
  <c r="M253" i="6" s="1"/>
  <c r="I22" i="3"/>
  <c r="H22" i="3"/>
  <c r="L19" i="6"/>
  <c r="J19" i="6"/>
  <c r="L17" i="6"/>
  <c r="M17" i="6"/>
  <c r="J17" i="6"/>
  <c r="M41" i="6"/>
  <c r="J41" i="6"/>
  <c r="I32" i="2"/>
  <c r="G33" i="2" s="1"/>
  <c r="J33" i="2" s="1"/>
  <c r="M32" i="2"/>
  <c r="G111" i="2"/>
  <c r="J7" i="6"/>
  <c r="I100" i="2"/>
  <c r="I46" i="2"/>
  <c r="G47" i="2" s="1"/>
  <c r="J47" i="2" s="1"/>
  <c r="M62" i="6"/>
  <c r="J62" i="6"/>
  <c r="O94" i="2"/>
  <c r="L136" i="6" s="1"/>
  <c r="P94" i="2"/>
  <c r="M136" i="6" s="1"/>
  <c r="P100" i="2"/>
  <c r="M145" i="6" s="1"/>
  <c r="O100" i="2"/>
  <c r="L145" i="6" s="1"/>
  <c r="M68" i="2"/>
  <c r="J97" i="6" s="1"/>
  <c r="O28" i="2"/>
  <c r="L37" i="6" s="1"/>
  <c r="P28" i="2"/>
  <c r="M37" i="6" s="1"/>
  <c r="J37" i="6"/>
  <c r="P36" i="2"/>
  <c r="M49" i="6" s="1"/>
  <c r="O36" i="2"/>
  <c r="L49" i="6" s="1"/>
  <c r="J49" i="6"/>
  <c r="O92" i="2"/>
  <c r="L133" i="6" s="1"/>
  <c r="P92" i="2"/>
  <c r="M133" i="6" s="1"/>
  <c r="I63" i="2"/>
  <c r="L87" i="6" s="1"/>
  <c r="M46" i="2"/>
  <c r="I64" i="6"/>
  <c r="I112" i="2"/>
  <c r="L161" i="6" s="1"/>
  <c r="P114" i="2"/>
  <c r="M166" i="6" s="1"/>
  <c r="O114" i="2"/>
  <c r="L166" i="6" s="1"/>
  <c r="O40" i="2"/>
  <c r="L55" i="6" s="1"/>
  <c r="J55" i="6"/>
  <c r="O66" i="2"/>
  <c r="L94" i="6" s="1"/>
  <c r="J231" i="6"/>
  <c r="M231" i="6"/>
  <c r="I56" i="1"/>
  <c r="L231" i="6" s="1"/>
  <c r="H14" i="3"/>
  <c r="L262" i="6" s="1"/>
  <c r="J262" i="6"/>
  <c r="J260" i="6"/>
  <c r="H12" i="3"/>
  <c r="L260" i="6" s="1"/>
  <c r="I12" i="3"/>
  <c r="M260" i="6" s="1"/>
  <c r="G117" i="2"/>
  <c r="P116" i="2"/>
  <c r="M169" i="6" s="1"/>
  <c r="O116" i="2"/>
  <c r="L169" i="6" s="1"/>
  <c r="L9" i="6"/>
  <c r="J9" i="6"/>
  <c r="J3" i="6"/>
  <c r="I115" i="2"/>
  <c r="L165" i="6" s="1"/>
  <c r="J15" i="6"/>
  <c r="L15" i="6"/>
  <c r="I99" i="2"/>
  <c r="L141" i="6" s="1"/>
  <c r="I65" i="2"/>
  <c r="L90" i="6" s="1"/>
  <c r="L50" i="6"/>
  <c r="G93" i="2"/>
  <c r="O64" i="2"/>
  <c r="L91" i="6" s="1"/>
  <c r="P64" i="2"/>
  <c r="M91" i="6" s="1"/>
  <c r="O74" i="2" l="1"/>
  <c r="L106" i="6" s="1"/>
  <c r="J106" i="6"/>
  <c r="O112" i="2"/>
  <c r="L163" i="6" s="1"/>
  <c r="J163" i="6"/>
  <c r="J87" i="2"/>
  <c r="M123" i="6" s="1"/>
  <c r="J123" i="6"/>
  <c r="J99" i="2"/>
  <c r="M141" i="6" s="1"/>
  <c r="J141" i="6"/>
  <c r="J85" i="2"/>
  <c r="M120" i="6" s="1"/>
  <c r="J120" i="6"/>
  <c r="J95" i="2"/>
  <c r="M135" i="6" s="1"/>
  <c r="J135" i="6"/>
  <c r="J81" i="2"/>
  <c r="M114" i="6" s="1"/>
  <c r="J75" i="2"/>
  <c r="M105" i="6" s="1"/>
  <c r="J105" i="6"/>
  <c r="H10" i="3"/>
  <c r="L258" i="6" s="1"/>
  <c r="G101" i="2"/>
  <c r="L143" i="6"/>
  <c r="J93" i="2"/>
  <c r="M132" i="6" s="1"/>
  <c r="J132" i="6"/>
  <c r="J111" i="2"/>
  <c r="M159" i="6" s="1"/>
  <c r="J159" i="6"/>
  <c r="J97" i="2"/>
  <c r="M138" i="6" s="1"/>
  <c r="J138" i="6"/>
  <c r="I17" i="3"/>
  <c r="M265" i="6" s="1"/>
  <c r="J59" i="2"/>
  <c r="M81" i="6" s="1"/>
  <c r="J81" i="6"/>
  <c r="J107" i="2"/>
  <c r="M153" i="6" s="1"/>
  <c r="J153" i="6"/>
  <c r="J117" i="2"/>
  <c r="M168" i="6" s="1"/>
  <c r="J168" i="6"/>
  <c r="J189" i="6"/>
  <c r="J115" i="2"/>
  <c r="M165" i="6" s="1"/>
  <c r="J165" i="6"/>
  <c r="M117" i="6"/>
  <c r="J117" i="6"/>
  <c r="J77" i="2"/>
  <c r="M108" i="6" s="1"/>
  <c r="J108" i="6"/>
  <c r="J73" i="2"/>
  <c r="M102" i="6" s="1"/>
  <c r="J102" i="6"/>
  <c r="J69" i="2"/>
  <c r="M96" i="6" s="1"/>
  <c r="J96" i="6"/>
  <c r="J61" i="2"/>
  <c r="M84" i="6" s="1"/>
  <c r="J84" i="6"/>
  <c r="I19" i="1"/>
  <c r="L189" i="6" s="1"/>
  <c r="P58" i="2"/>
  <c r="M82" i="6" s="1"/>
  <c r="J213" i="6"/>
  <c r="H19" i="3"/>
  <c r="I19" i="3"/>
  <c r="J52" i="1"/>
  <c r="M225" i="6" s="1"/>
  <c r="J225" i="6"/>
  <c r="I52" i="1"/>
  <c r="L225" i="6" s="1"/>
  <c r="M10" i="6"/>
  <c r="M15" i="6"/>
  <c r="O58" i="2"/>
  <c r="L82" i="6" s="1"/>
  <c r="J57" i="6"/>
  <c r="I43" i="2"/>
  <c r="L57" i="6" s="1"/>
  <c r="P74" i="2"/>
  <c r="M106" i="6" s="1"/>
  <c r="L3" i="6"/>
  <c r="M7" i="6"/>
  <c r="M4" i="6"/>
  <c r="M9" i="6"/>
  <c r="M3" i="6"/>
  <c r="O84" i="2"/>
  <c r="L121" i="6" s="1"/>
  <c r="P84" i="2"/>
  <c r="M121" i="6" s="1"/>
  <c r="I40" i="1"/>
  <c r="L213" i="6" s="1"/>
  <c r="I23" i="1"/>
  <c r="L195" i="6" s="1"/>
  <c r="J195" i="6"/>
  <c r="J48" i="6"/>
  <c r="I61" i="2"/>
  <c r="L84" i="6" s="1"/>
  <c r="J251" i="6"/>
  <c r="J192" i="6"/>
  <c r="J21" i="1"/>
  <c r="M192" i="6" s="1"/>
  <c r="J109" i="2"/>
  <c r="M156" i="6" s="1"/>
  <c r="I109" i="2"/>
  <c r="L156" i="6" s="1"/>
  <c r="I87" i="2"/>
  <c r="L123" i="6" s="1"/>
  <c r="J79" i="2"/>
  <c r="M111" i="6" s="1"/>
  <c r="I79" i="2"/>
  <c r="L111" i="6" s="1"/>
  <c r="J67" i="2"/>
  <c r="M93" i="6" s="1"/>
  <c r="I67" i="2"/>
  <c r="L93" i="6" s="1"/>
  <c r="I37" i="2"/>
  <c r="L48" i="6" s="1"/>
  <c r="M57" i="6"/>
  <c r="P112" i="2"/>
  <c r="M163" i="6" s="1"/>
  <c r="H17" i="3"/>
  <c r="L265" i="6" s="1"/>
  <c r="I24" i="3"/>
  <c r="M252" i="6" s="1"/>
  <c r="J265" i="6"/>
  <c r="L185" i="6"/>
  <c r="J204" i="6"/>
  <c r="M204" i="6"/>
  <c r="I32" i="1"/>
  <c r="L204" i="6" s="1"/>
  <c r="I58" i="1"/>
  <c r="L234" i="6" s="1"/>
  <c r="M234" i="6"/>
  <c r="J234" i="6"/>
  <c r="G60" i="1"/>
  <c r="J60" i="1" s="1"/>
  <c r="L236" i="6"/>
  <c r="J235" i="6"/>
  <c r="O57" i="1"/>
  <c r="L235" i="6" s="1"/>
  <c r="J243" i="6"/>
  <c r="M243" i="6"/>
  <c r="I64" i="1"/>
  <c r="L243" i="6" s="1"/>
  <c r="I62" i="1"/>
  <c r="L240" i="6" s="1"/>
  <c r="J240" i="6"/>
  <c r="M240" i="6"/>
  <c r="I54" i="1"/>
  <c r="L228" i="6" s="1"/>
  <c r="M228" i="6"/>
  <c r="J228" i="6"/>
  <c r="H24" i="3"/>
  <c r="L252" i="6" s="1"/>
  <c r="H23" i="3"/>
  <c r="L251" i="6" s="1"/>
  <c r="I59" i="2"/>
  <c r="L81" i="6" s="1"/>
  <c r="I107" i="2"/>
  <c r="L153" i="6" s="1"/>
  <c r="P110" i="2"/>
  <c r="M160" i="6" s="1"/>
  <c r="O110" i="2"/>
  <c r="L160" i="6" s="1"/>
  <c r="I77" i="2"/>
  <c r="L108" i="6" s="1"/>
  <c r="M16" i="6"/>
  <c r="L16" i="6"/>
  <c r="J16" i="6"/>
  <c r="I85" i="2"/>
  <c r="L120" i="6" s="1"/>
  <c r="I95" i="2"/>
  <c r="L135" i="6" s="1"/>
  <c r="I83" i="2"/>
  <c r="L117" i="6" s="1"/>
  <c r="I26" i="3"/>
  <c r="M254" i="6" s="1"/>
  <c r="H26" i="3"/>
  <c r="L254" i="6" s="1"/>
  <c r="H25" i="3"/>
  <c r="L253" i="6" s="1"/>
  <c r="J253" i="6"/>
  <c r="J60" i="6"/>
  <c r="I45" i="2"/>
  <c r="L60" i="6" s="1"/>
  <c r="M60" i="6"/>
  <c r="G113" i="2"/>
  <c r="O46" i="2"/>
  <c r="L64" i="6" s="1"/>
  <c r="J64" i="6"/>
  <c r="P46" i="2"/>
  <c r="M64" i="6" s="1"/>
  <c r="L41" i="6"/>
  <c r="P68" i="2"/>
  <c r="M97" i="6" s="1"/>
  <c r="O68" i="2"/>
  <c r="L97" i="6" s="1"/>
  <c r="I97" i="2"/>
  <c r="L138" i="6" s="1"/>
  <c r="I73" i="2"/>
  <c r="L102" i="6" s="1"/>
  <c r="L62" i="6"/>
  <c r="O32" i="2"/>
  <c r="L43" i="6" s="1"/>
  <c r="J43" i="6"/>
  <c r="P32" i="2"/>
  <c r="M43" i="6" s="1"/>
  <c r="I75" i="2"/>
  <c r="L105" i="6" s="1"/>
  <c r="I117" i="2"/>
  <c r="L168" i="6" s="1"/>
  <c r="I81" i="2"/>
  <c r="L114" i="6" s="1"/>
  <c r="J51" i="6"/>
  <c r="I39" i="2"/>
  <c r="L51" i="6" s="1"/>
  <c r="M51" i="6"/>
  <c r="I93" i="2"/>
  <c r="L132" i="6" s="1"/>
  <c r="J113" i="2" l="1"/>
  <c r="M162" i="6" s="1"/>
  <c r="J162" i="6"/>
  <c r="J101" i="2"/>
  <c r="M144" i="6" s="1"/>
  <c r="J144" i="6"/>
  <c r="J186" i="6"/>
  <c r="L186" i="6"/>
  <c r="M186" i="6"/>
  <c r="I60" i="1"/>
  <c r="L237" i="6" s="1"/>
  <c r="M237" i="6"/>
  <c r="J237" i="6"/>
  <c r="I101" i="2"/>
  <c r="L144" i="6" s="1"/>
  <c r="M42" i="6"/>
  <c r="I33" i="2"/>
  <c r="L42" i="6" s="1"/>
  <c r="J42" i="6"/>
  <c r="I111" i="2"/>
  <c r="L159" i="6" s="1"/>
  <c r="J63" i="6"/>
  <c r="M63" i="6"/>
  <c r="I47" i="2"/>
  <c r="L63" i="6" s="1"/>
  <c r="I113" i="2"/>
  <c r="L162" i="6" s="1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3328 Ton a 3531 Ton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373 (09-05-2019 )
Apertura periodo 447(29-05-2019)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175 Ton a 0 Ton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1144,913 Ton a 1154,201 Ton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60,297  Ton a 60,740 Ton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5260,971 Ton a 5303,649 Ton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Cede 2200 Ton a Orizon  S.A. V-IX (Res. Ex. N°2502-19)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277,071 Ton a 279,104 Ton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1360,116 Ton a 1371,150 Ton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71,631 Ton a 72,157 Ton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2976,414 Ton a 3017,059 Ton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2900 Ton a Alimentos Marinos V-IX (Res. Ex. N°689-19)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157,125 Ton a 158,793 Ton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50,554 Ton a 49,655 Ton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50 Ton a Alimentos Marinos V-IX (Res. Ex. N°1014-19)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2,669 Ton a 2,613 Ton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103,710 Ton a 39,501 Ton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5,475 Ton a 2,079 Ton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79,500 Ton a 75,411 Ton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79 Ton a Soc. Pesq. Landes S.A. V-IX (Res. Ex. N°1364-19)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4,197 Ton a 3,969 Ton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445,822 Ton a 409,374 Ton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23,535 Ton a 21,546 Ton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14 Ton a 3 Ton</t>
        </r>
      </text>
    </comment>
    <comment ref="Q3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08-06-2019 (6193 )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120 Ton a 121 Ton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16-04-2019 (328 )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7790 Ton a 7853 Ton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08-01-2019 (134960 )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410 Ton a 413 Ton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14-01-2019 (50805)</t>
        </r>
      </text>
    </comment>
    <comment ref="E4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175 Ton a 42 Ton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10 Ton a 2 Ton</t>
        </r>
      </text>
    </comment>
    <comment ref="E4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911 Ton a 919 Ton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10528 (01-04-2019 )</t>
        </r>
      </text>
    </comment>
    <comment ref="E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93,294  Ton a 94,059 Ton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Cede 98 Ton a Camanchaca Pesca Sur V-IX (Res. Ex. N°1523-19)</t>
        </r>
      </text>
    </comment>
    <comment ref="Q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25-04-2019 (1325)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4,913  Ton a 4,944 Ton</t>
        </r>
      </text>
    </comment>
    <comment ref="E5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440,756  Ton a 444,372 Ton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9"/>
            <color indexed="81"/>
            <rFont val="Tahoma"/>
            <family val="2"/>
          </rPr>
          <t xml:space="preserve">( C) Cede 413,779 Ton a Camanchaca Pesca Sur V-IX (Res. Ex. N°748 y 1895-19)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01-03-2019 (667)</t>
        </r>
      </text>
    </comment>
    <comment ref="E5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23,213  Ton a 23,358 Ton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2690,7  Ton a 2712,773 Ton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2710 Ton a Soc. Pesq. Landes S.A. V-IX (Res. Ex. N°747-19)</t>
        </r>
      </text>
    </comment>
    <comment ref="E5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141,709  Ton a 142,592 Ton</t>
        </r>
      </text>
    </comment>
    <comment ref="E5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449,626  Ton a 453,315 Ton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470 Ton a Alimar  XIV-X (Res. Ex. N°751-19)</t>
        </r>
      </text>
    </comment>
    <comment ref="E5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23,68  Ton a 23,828 Ton</t>
        </r>
      </text>
    </comment>
    <comment ref="E5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1425,646  Ton a 1437,342 Ton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800 Ton a Soc. Pesq. Landes S.A. V-IX (Res. Ex. N°789-19)
( C) Cede 600 Ton a Alimentos Marinos XIV-X (Res. Ex. N°790-19)</t>
        </r>
      </text>
    </comment>
    <comment ref="E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75,083  Ton a 75,551 Ton</t>
        </r>
      </text>
    </comment>
    <comment ref="E6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2,366  Ton a 2,386 Ton</t>
        </r>
      </text>
    </comment>
    <comment ref="E6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677,516  Ton a 683,074 Ton</t>
        </r>
      </text>
    </comment>
    <comment ref="F63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 C) Cede 713,131 Ton a Alimentos Marinos XIV-X (Res. Ex. N°603-19)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14-02-2019 (499)</t>
        </r>
      </text>
    </comment>
    <comment ref="E6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35,682  Ton a 35,904 Ton</t>
        </r>
      </text>
    </comment>
    <comment ref="E6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90,896  Ton a 91,641 Ton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80 Ton a Foodcorp Chile S.A. V-IX (Res. Ex. N°1016-19)</t>
        </r>
      </text>
    </comment>
    <comment ref="E6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4,787  Ton a 4,817 Ton</t>
        </r>
      </text>
    </comment>
    <comment ref="E6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224,199  Ton a 226,038 Ton</t>
        </r>
      </text>
    </comment>
    <comment ref="E6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11,808  Ton a 11,881 Ton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Kamila Molina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Cesion de 6000,230 Ton a Camanchaca Pesca Sur S.A.XV-II (Res. Ex. 1731-19)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3078,175 Ton desde Lota Protein XV-II (Res. Ex.400-2019)
Deja sin efecto Fidecomiso 5130,289 Ton desde Orizon XV-II (Res. Ex.401-2019)
Deja sin efecto Fidecomiso 3078,175 Ton desde Orizon XV-II (Res. Ex.403-2019)
Deja sin efecto Fidecomiso 5643,319 Ton desde Orizon XV-II (Res. Ex.399-2019)
( C) Cesion de 5500,001 Ton a Orizon S.A.XV-II (Res. Ex. 945-19)
( C) Cesion de 12000 Ton a Orizon S.A. XV-II (Res. Ex. 1533-19)
( C) Cesion de 7000,003 Ton a Orizon S.A. XV-II (Res. Ex. 2032-19)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3078,175 Ton a Corpesca XV-II (Res. Ex.400-2019)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5130,289 Ton a Corpesca XV-II (Res. Ex.401-2019)
Deja sin efecto Fidecomiso 3078,175 Ton a Corpesca XV-II (Res. Ex.403-2019)
Deja sin efecto Fidecomiso 5643,319 Ton a Corpesca XV-II (Res. Ex.399-2019)
(T) Traspaso de 2195 Ton a Orizon S.A. XIV-X (Cert. N° 9-2019)
Modifica Cert. N°09 a V-IX (Cert. N°47-2019)
( C) Cesion de 5500,001 Ton desde Corpesca S.A. (Res. Ex. N°945-19)
(T) Traspaso de 5500 Ton a Orizon S.A. V-IX (Cert. N° 17-2019)
( C) Cesion de 12000,002 Ton desde Corpesca S.A. XV-II (Res. Ex. 1533-19)
(T) Traspaso de 12000  Ton a Orizon S.A. V-IX (Cert. N° 23-2019)
( C) Cesion de 7000,003 Ton desde Corpesca S.A. XV-II (Res. Ex. 2032-19)
(T) Traspaso de 7000 Ton a Orizon S.A. V-IX (Cert. N° 43-2019)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519,051 Ton a Landes S.A. V-IX (Cert. N° 08-2019)
( C) Cesion de 239,562 Ton desde Com. y Conser. San Lazaro S.A. (Res. Ex. N°1465-19)
( C) Cesion de 239,562 Ton desde Com. y Conser. San Lazaro S.A. (Res. Ex. N°1466-19)
( C) Cesion de 239,562 Ton desde Com. y Conser. San Lazaro S.A. (Res. Ex. N°1467-19)
( C) Cesion de 319,416 Ton desde Com. y Conser. San Lazaro S.A. (Res. Ex. N°1468-19)
(T) Traspaso de 239,562 Ton a Landes S.A. V-IX (Cert. N° 30-2019)
(T) Traspaso de 798,540 Ton a Landes S.A. V-IX (Cert. N° 36-2019)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(T) Traspaso de 2475,474 Ton a Camanchaca Pesca Sur V-IX (Cert. N° 4-2019)
( C) Cesion de 6000,230 Ton desde Camachaca S.A. Cia. Pesq. XV-II (Res. Ex. 1731-19)
(T) Traspaso de 6000,230 Ton a Camanchaca Pesca Sur V-IX (Cert. N° 37-2019)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1517,226 Ton a Food Corp S.A. V-IX (Cert. N° 15-2019)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798,540 Ton desde Blumar S.A  XV-II (Res. Ex.741-2019)
Deja sin efecto Fidecomiso 479,124 Ton desde Blumar S.A  XV-II (Res. Ex.743-2019)
( C) Cesion de 239,562 Ton a Landes S.A. (Res. Ex. N°1465-19)
( C) Cesion de 239,562 Ton a Landes S.A. (Res. Ex. N°1466-19)
( C) Cesion de 239,562 Ton a Landes S.A. (Res. Ex. N°1467-19)
( C) Cesion de 319,416 Ton a Landes S.A. (Res. Ex. N°1468-19)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798,540 Ton a Com. Y Conservera San Lazaro XV-II (Res. Ex.741-2019)
Deja sin efecto Fidecomiso 479,124 Ton a Com. Y Conservera San Lazaro XV-II (Res. Ex.743-2019)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940 Ton a Alimentos Marinos S.A V-IX (Cert. N° 13-2019)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269,64 Ton a Comer. Y Cons. San Lazaro Ltda. III-IV (Res. Ex.742-2019)
Deja sin efecto Fidecomiso 269,64 Ton a Comer. Y Cons. San Lazaro Ltda. III-IV (Res. Ex.744-2019)
(T) Traspaso de 2000 Ton a Blumar S.A. V-IX (Cert. N° 40-2019)
(T) Traspaso de 400 Ton a Blumar S.A. V-IX (Cert. N° 55-2019)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471,870 Ton a Food Corp S.A. V-IX (Cert. N° 16-2019)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50,558 Ton a Inversiones Tridente III-IV (Res. Ex. 954-19)
( C) Cesion de 67,410 Ton a Procesos Tec. Del Bío Bío III-IV (Res. Ex. 1029-19)
( C) Cesion de 101,115 Ton a Procesos Tec. Del Bío Bío III-IV (Res. Ex. 1030-19)
( C) Cesion de 134,820 Ton a Procesos Tec. Del Bío Bío III-IV (Res. Ex. 1031-19)
( C) Cesion de 67,410 Ton desde Procesos Tec. Del Bío Bío III-IV (Res. Ex. 1562-19)
( C) Cesion de 101,115 Ton desde Procesos Tec. Del Bío Bío III-IV (Res. Ex. 1563-19)
( C) Cesion de 134,820 Ton desde Procesos Tec. Del Bío Bío III-IV (Res. Ex. 1564-19)
(T) Traspaso de 109,067 Ton a Litoral Spa Pesq. V-IX (Cert. N° 45-2019)
(T) Traspaso de 302,334 Ton a Litoral Spa Pesq. V-IX (Cert. N° 46-2019)
(CV) Compra  50,558 ton desde Inversiones Tridente III-IV (Res N° 2570-2019) 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Cesion de 134,820 Ton desde Com. y Conser. San Lazaro S.A. (Res. Ex. N°1469-19)
( C) Cesion de 134,820 Ton desde Com. y Conser. San Lazaro S.A. (Res. Ex. N°1470-19)
( C) Cesion de 134,820 Ton desde Com. y Conser. San Lazaro S.A. (Res. Ex. N°1471-19)
( C) Cesion de 134,820 Ton desde Com. y Conser. San Lazaro S.A. (Res. Ex. N°1472-19)
(T) Traspaso de 539,280 Ton a Landes S.A. V-IX (Cert. N° 35-2019)</t>
        </r>
      </text>
    </comment>
    <comment ref="F4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3,831 Ton a Lota Protein S.A.  V-IX (Cert. N°52-2019)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3000 Ton a Orizon S.A.  V-IX (Cert. N° 22-2019)
(T) Traspaso de 1899,248 Ton a Orizon S.A.  V-IX (Cert. N° 48-2019)
(T) Traspaso de 200,752 Ton a Orizon S.A.  V-IX (Cert. N° 49-2019)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600,065 Ton a Camanchaca Pesca Sur V-IX (Cert. N° 20-2019)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65 Ton a Embarcaciones VIII (Res. Ex.824-2019)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50,558 Ton desde Pesquera Litoral Spa III-IV (Res. Ex. N°954-19)
(V) Venta de 50,558 a Pesquera Litoral SpA III-IV (Res N° 2570-19)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67,410 Ton desde Pesquera Litoral Spa III-IV (Res. Ex. N°1029-19)
( C) Cesion de 101,115 Ton desde Pesquera Litoral Spa III-IV (Res. Ex. N°1030-19)
( C) Cesion de 134,820 Ton desde Pesquera Litoral Spa III-IV (Res. Ex. N°1031-19)
( C) Cesion de 67,410 Ton a Pesquera Litoral Spa III-IV (Res. Ex. N°1562-19)
( C) Cesion de 101,115 Ton a Pesquera Litoral Spa III-IV (Res. Ex. N°1563-19)
( C) Cesion de 134,820 Ton a Pesquera Litoral Spa III-IV (Res. Ex. N°1564-19)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269,64 Ton desde Blumar III-IV (Res. Ex.742-2019)
Deja sin efecto Fidecomiso 269,64 Ton desde Blumar III-IV (Res. Ex.744-2019)
( C) Cesion de 134,820 Ton a Landes S.A. III-IV (Res. Ex. N°1469-19)
( C) Cesion de 134,820 Ton a Landes S.A. III-IV (Res. Ex. N°1470-19)
( C) Cesion de 134,820 Ton a Landes S.A. III-IV (Res. Ex. N°1471-19)
( C) Cesion de 134,820 Ton a Landes S.A. III-IV (Res. Ex. N°1472-19)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2900 Ton desde Organización V Región (Res. Ex. N°689-19)
( C) Cesion de 50 Ton desde Organización V Región (Res. Ex. N°1014-19)
(T) Traspaso de 940 Ton desde Alimentos Marinos S.A. III-IV (Cert. N°13-2019)
(T) Traspaso de 2778 Ton desde Alimentos Marinos S.A. XIV-X (Cert. N°14-2019)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2000 Ton desde Blumar S.A. III-IV (Cert. N°40-2019)
(T) Traspaso de 5000 Ton desde Blumar S.A. III-IV (Cert. N°41-2019)
(T) Traspaso de 3000 Ton desde Blumar S.A. XIV-X (Cert. N°54-2019)
(T) Traspaso de 400 Ton desde Blumar S.A. III-IV (Cert. N°55-2019)</t>
        </r>
      </text>
    </comment>
    <comment ref="F62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(T) Traspaso de 2475,474 Ton desde Camanchaca Pesca Sur XV-II (Cert. N°04-2019)
(T) Traspaso de 600,065 Ton desde Camanchaca Pesca Sur III-IV (Cert. N°20-2019)
( C) Cesion de 98 Ton desde Organización X Región (Res. Ex. N°1523-19)
(T) Traspaso de 3599,263 Ton desde Camanchaca Pesca Sur XIV-X (Cert. 26-2019)
(T) Traspaso de 402,732 Ton desde Camanchaca Pesca Sur XIV-X (Cert. 27-2019)
( C) Cesion de 413,779 Ton desde Organización X Región (Res. Ex. N°1895-19)
(T) Traspaso de 6000,230 Ton desde Camanchaca Pesca Sur XV-II (Cert. N°37-2019)
(T) Traspaso de 83,234 Ton desde Camanchaca Pesca Sur XIV-X (Cert. N°38-2019)
(T) Traspaso de 402,732 Ton desde Camanchaca Pesca Sur XIV-X (Cert. N°39-2019)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710,950 Ton a Procesos Tec. Del Bío Bío V-IX (Res. Ex. 1028-19)
( C) Cesion de 710,950 Ton desde Procesos Tec. Del Bío Bío V-IX (Res. Ex. 1561-19)
(T) Traspaso de 109,067 Ton desde Litoral Spa Pesq. III-IV (Cert. N° 45-2019)
(T) Traspaso de 302,004 Ton desde Litoral Spa Pesq. III-IV (Cert. N° 46-2019)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80 Ton desde Organización X Región (Res. Ex. N°1016-19)
(T) Traspaso de 1517,226 Ton desde Food Corp V-IX (Cert. N°15-2019)
(T) Traspaso de 471,870 Ton desde Food Corp III-IV (Cert. N°16-2019)
(T) Traspaso de 2500 Ton desde Food Corp XIV-X (Cert. N°19-2019)
(T) Traspaso de 243,528 Ton desde Food Corp XIV-X (Cert. N°33-2019)
(T) Traspaso de 406,472 Ton desde Food Corp XIV-X (Cert. N°34-2019)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2710 Ton desde Organixzación X Región (Res. Ex. N°747-19)
(T) Traspaso de 519,051 Ton desde Soc. pesquera Landes S.A.  XV-II (Cert. N°08-2019)
( C) Cesion de 800 Ton desde Organixzación X Región (Res. Ex. N°789-19)
Deja sin efecto Fidecomiso 2169 Ton a Com. y Conser. San Lazaro Ltda  V-IX (Res. Ex.725-2019)
( C) Cesion de 79 Ton desde Organixzación V Región (Res. Ex. N°1364-19)
(T) Traspaso de 239,562 Ton desde  Landes S.A.  XV-II (Cert. N° 30-2019)
(T) Traspaso de 798,540 Ton desde  Landes S.A.  XV-II (Cert. N° 36-2019)
(T) Traspaso de 539,280 Ton desde  Landes S.A.  III-IV (Cert. N° 35-2019)
(T) Traspaso de 1562,818 Ton desde  Landes S.A.  XIV-X (Cert. N° 32-2019)
(T) Traspaso de 855,806 Ton desde  Landes S.A.  XIV-X (Cert. N° 42-2019)
(T) Traspaso de 281,938 Ton desde  Landes S.A.  XIV-X (Cert. N° 53-2019)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3,831 Ton desde  Lota Protein S.A.  III-IV (Cert. N° 52-2019)
(T) Traspaso de 206,849 Ton desde  Lota Protein S.A.  XIV-X (Cert. N° 51-2019)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5000 Ton a Orizon S.A.  XIV-X (Cert. N° 10-2019)
Deja sin efecto Cert. N°10 (Cert. N°44-2019)
(T) Traspaso de 5500 Ton desde Orizon S.A.  XV-II (Cert. N° 17-2019)
(T) Traspaso de 3000 Ton desde Orizon S.A.  XIV-X (Cert. N° 21-2019)
(T) Traspaso de 3000 Ton desde Orizon S.A.  III-IV (Cert. N° 22-2019)
(T) Traspaso de 12000 Ton desde Orizon S.A.  XV-II (Cert. N° 23-2019)
(T) Traspaso de 3996,474 Ton desde Orizon S.A.  XIV-X (Cert. N° 28-2019)
(T) Traspaso de 1761,955 Ton desde Orizon S.A.  XIV-X (Cert. N° 29-2019)
( C) Cesion de 180,750 Ton desde Orion Ltda.  V-IX (Res. Ex. 1728-19)
( C) Cesion de 180,750 Ton desde Orion Ltda.  XIV-X (Res. Ex. 1729-19)
(T) Traspaso de 7000 Ton desde Orizon S.A.  XV-II (Cert. N° 43-2019)
( C) Cesion de 2200 Ton desde Organización IV Región (Res. Ex. N°2502-19)
(T) Traspaso de 2195 Ton desde Orizon S.A.  XV-II (Cert. N° 10-2019)
(T) Traspaso de 1899,248 Ton desde Orizon S.A.  III-IV (Cert. N° 48-2019)
(T) Traspaso de 200,752 Ton desde Orizon S.A.  III-IV (Cert. N° 49-2019)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885,07 Ton por corresponder al año 2018.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176,200 Ton a Embarcaciones VIII (Res. Ex.542-2019)
© Deja sin efecto Res. Ex. N°542 (Res. Ex. N°1202-19)
( C) Cesion de 180,750 Ton a Orizon S.A. V-IX (Res. Ex. 1728-19)
( C) Cesion de 180,750 Ton a Orizon S.A. V-IX (Res. Ex. 1729-19)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176 Ton a Embarcaciones VIII (Res. Ex.824-2019)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710,950 Ton desde Pesquera Litoral Spa V-IX (Res. Ex. N°1028-19)
( C) Cesion de 710,950 Ton a Pesquera Litoral Spa V-IX (Res. Ex. N°1561-19)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2169 Ton desde Landes S.A. V-IX (Res. Ex.725-2019)</t>
        </r>
      </text>
    </comment>
    <comment ref="F92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 C) Cesion de 713,131 Ton desde STI X Región (Res. Ex. N°603-19)
( C) Cesion de 470 Ton desde Organización X Región (Res. Ex. N°751-19)
( C) Cesion de 600 Ton desde Organización X Región (Res. Ex. N°790-19)
(T) Traspaso de 2778 Ton a Alimentos Marinos S.A V-IX (Cert. N° 14-2019)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413,779 Ton desde Organización X Región (Res. Ex. N°748-19)
Res. Ex.1895-19 modifica Res. Ex. 748-19 modifica unidad de pesqueria a V-IX
(T) Traspaso de 3599,263 Ton a Camanchaca Pesca Sur S.A.  V-IX (Cert. N° 26-2019)
(T) Traspaso de 402,732 Ton a Camanchaca Pesca Sur S.A.  V-IX (Cert. N° 27-2019)
(T) Traspaso de 83,234 Ton a Camanchaca Pesca Sur S.A.  V-IX (Cert. N° 38-2019)
(T) Traspaso de 402,732  Ton a Camanchaca Pesca Sur S.A.  V-IX (Cert. N° 39-2019)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5000 Ton a Blumar S.A.  V-IX (Cert. N° 41-2019)
(T) Traspaso de 1300 Ton a Blumar S.A.  V-IX (Cert. N° 54-2019)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201,366 Ton a Procesos Tec. Del Bío Bío XIV-X (Res. Ex. 1025-19)
( C) Cesion de 201,366 Ton a Procesos Tec. Del Bío Bío XIV-X (Res. Ex. 1026-19)
( C) Cesion de 201,366 Ton a Procesos Tec. Del Bío Bío XIV-X (Res. Ex. 1027-19)
( C) Cesion de 201,366 Ton a Procesos Tec. Del Bío Bío XIV-X (Res. Ex. 1558-19)
( C) Cesion de 201,366 Ton a Procesos Tec. Del Bío Bío XIV-X (Res. Ex. 1559-19)
( C) Cesion de 201,366 Ton a Procesos Tec. Del Bío Bío XIV-X (Res. Ex. 1560-19)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2500 Ton a Food Corp Chile S.A.  V-IX (Cert. N° 19-2019)
(T) Traspaso de 243,528  Ton a Food Corp Chile S.A.  V-IX (Cert. N° 33-2019)
(T) Traspaso de 406,472 Ton a Food Corp Chile S.A.  V-IX (Cert. N° 34-2019)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855,805 Ton a Com. Y Conservera San Lazaro  XIV-X (Res. Ex.726-2019)
( C) Cesion de 251,707 Ton desde Com. y Conser. San Lazaro S.A. XIV-X (Res. Ex.1473-19)
( C) Cesion de 302,049 Ton desde Com. y Conser. San Lazaro S.A. XIV-X (Res. Ex.1474-19)
( C) Cesion de 302,049 Ton desde Com. y Conser. San Lazaro S.A. XIV-X (Res. Ex.1475-19)
(T) Traspaso de 1562,818 Ton a Landes S.A. V-IX (Cert. N° 32-2019)
(T) Traspaso de 855,806 Ton a Landes S.A. V-IX (Cert. N° 42-2019)
(T) Traspaso de 281,938 Ton a Landes S.A. V-IX (Cert. N° 53-2019)</t>
        </r>
      </text>
    </comment>
    <comment ref="F11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206,849  Ton a Lota Protein S.A. V-IX (Cert. N° 51-2019)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2195 Ton desde Orizon S.A.  XV-II (Cert. N° 9-2019)
 Modifica Cert. N°09  (Cert. N°47-2019)
(T) Traspaso de 5000 Ton desde Orizon S.A.  V-IX (Cert. N° 10-2019)
Deja sin efecto Cert. N°10 (Cert. N°44-2019)
(T) Traspaso de 3000 Ton a Orizon S.A.  V-IX (Cert. N° 21-2019)
(T) Traspaso de 3996,475 Ton a Orizon S.A.  V-IX (Cert. N° 28-2019)
(T) Traspaso de 1761,955 Ton a Orizon S.A.  V-IX (Cert. N° 29-2019)
( C) Cesion de 100,683 Ton desde Orion S.A. XIV-X (Res. Ex. N°1730-19)</t>
        </r>
      </text>
    </comment>
    <comment ref="F11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Cesion de 100,683 Ton a Orizon S.A. XIV-X (Res. Ex. N°1730-19)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201,366 Ton desde Pesquera Litoral Spa XIV-X (Res. Ex. N°1025-19)
( C) Cesion de 201,366 Ton desde Pesquera Litoral Spa XIV-X (Res. Ex. N°1026-19)
( C) Cesion de 201,366 Ton desde Pesquera Litoral Spa XIV-X (Res. Ex. N°1027-19)
( C) Cesion de 201,366 Ton desde Pesquera Litoral Spa XIV-X (Res. Ex. N°1558-19)
( C) Cesion de 201,366 Ton desde Pesquera Litoral Spa XIV-X (Res. Ex. N°1559-19)
( C) Cesion de 201,366 Ton desde Pesquera Litoral Spa XIV-X (Res. Ex. N°1560-19)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855,805 Ton desde Com. Y Conservera San Lazaro  XIV-X (Res. Ex.726-2019)
( C) Cesion de 251,707 Ton a Landes S.A. XIV-X (Res. Ex. 1473-19)
( C) Cesion de 302,049 Ton a Landes S.A. XIV-X (Res. Ex. 1474-19)
( C) Cesion de 302,049 Ton a Landes S.A. XIV-X (Res. Ex. 1475-19)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N°1202-19 Deja sin efecto Res. Ex N°542</t>
        </r>
      </text>
    </comment>
  </commentList>
</comments>
</file>

<file path=xl/comments4.xml><?xml version="1.0" encoding="utf-8"?>
<comments xmlns="http://schemas.openxmlformats.org/spreadsheetml/2006/main">
  <authors>
    <author>Kamila Molina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67-2017
Res. Ex. N° 48-2017
Res. Ex. N° 49-2017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75-2017</t>
        </r>
      </text>
    </comment>
  </commentList>
</comments>
</file>

<file path=xl/sharedStrings.xml><?xml version="1.0" encoding="utf-8"?>
<sst xmlns="http://schemas.openxmlformats.org/spreadsheetml/2006/main" count="2592" uniqueCount="265">
  <si>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</si>
  <si>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</si>
  <si>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</si>
  <si>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</si>
  <si>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</si>
  <si>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</si>
  <si>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</si>
  <si>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</si>
  <si>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</si>
  <si>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</si>
  <si>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</si>
  <si>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</si>
  <si>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</si>
  <si>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</si>
  <si>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</si>
  <si>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</si>
  <si>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</si>
  <si>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</si>
  <si>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</si>
  <si>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</si>
  <si>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</si>
  <si>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</si>
  <si>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</si>
  <si>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</si>
  <si>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</si>
  <si>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</si>
  <si>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Jurel III-IV</t>
  </si>
  <si>
    <t>ORION LTDA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</si>
  <si>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</si>
  <si>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</si>
  <si>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</si>
  <si>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</si>
  <si>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</si>
  <si>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</si>
  <si>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</si>
  <si>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</si>
  <si>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</si>
  <si>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</si>
  <si>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>Regional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</si>
  <si>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</si>
  <si>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</si>
  <si>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</si>
  <si>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</si>
  <si>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</si>
  <si>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</si>
  <si>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</si>
  <si>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</si>
  <si>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</si>
  <si>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</si>
  <si>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</si>
  <si>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</si>
  <si>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</si>
  <si>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AQUEPESCA. AG 270-10</t>
  </si>
  <si>
    <t xml:space="preserve">STI PECERCAL RSU 10.01.0948 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</si>
  <si>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</si>
  <si>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</si>
  <si>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</si>
  <si>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</si>
  <si>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</si>
  <si>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</si>
  <si>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</si>
  <si>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</si>
  <si>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</si>
  <si>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</si>
  <si>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</si>
  <si>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</si>
  <si>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</si>
  <si>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</si>
  <si>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</si>
  <si>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</si>
  <si>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</si>
  <si>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</si>
  <si>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</si>
  <si>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</si>
  <si>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</si>
  <si>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</si>
  <si>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</si>
  <si>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</si>
  <si>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</si>
  <si>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</si>
  <si>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</si>
  <si>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</si>
  <si>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</si>
  <si>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</si>
  <si>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</si>
  <si>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</si>
  <si>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</si>
  <si>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</si>
  <si>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</si>
  <si>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</si>
  <si>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PAOLA POBLETE NOVOA</t>
  </si>
  <si>
    <t>PESQ. GENOVA LTDA.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</si>
  <si>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</si>
  <si>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</si>
  <si>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</si>
  <si>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</si>
  <si>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</si>
  <si>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</si>
  <si>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</si>
  <si>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</si>
  <si>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</si>
  <si>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</si>
  <si>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</si>
  <si>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</si>
  <si>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</si>
  <si>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</si>
  <si>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</si>
  <si>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</si>
  <si>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Desembarque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</si>
  <si>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</si>
  <si>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</si>
  <si>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</si>
  <si>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</si>
  <si>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</si>
  <si>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</si>
  <si>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</si>
  <si>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</si>
  <si>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</si>
  <si>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</si>
  <si>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</si>
  <si>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</si>
  <si>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ARTESANALES XV-I</t>
  </si>
  <si>
    <t>REGION</t>
  </si>
  <si>
    <t>ARTESANAL II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</si>
  <si>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</si>
  <si>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</si>
  <si>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</si>
  <si>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</si>
  <si>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PESQ GENOVA LTDA</t>
  </si>
  <si>
    <t>JUREL V-IX</t>
  </si>
  <si>
    <t>JUREL XIV-X</t>
  </si>
  <si>
    <t xml:space="preserve"> XV-I</t>
  </si>
  <si>
    <t>CESIONARIO</t>
  </si>
  <si>
    <t>MARZO</t>
  </si>
  <si>
    <t>ARTESANAL III</t>
  </si>
  <si>
    <t xml:space="preserve">IV  </t>
  </si>
  <si>
    <t xml:space="preserve">III </t>
  </si>
  <si>
    <t>COOPERATIVA DE ARMADORES CERQUEROS IV REGION CERCOPESCA ROL 4276</t>
  </si>
  <si>
    <t xml:space="preserve">V  </t>
  </si>
  <si>
    <t>STI PESCADORES MUELLE SUD AMERICANA RSU N° 5010462</t>
  </si>
  <si>
    <t>SINDICATO PESCADORES ARTESANALES INDEPENDIENTES CALETA EMBARCADERO DE QUINTERO RSU 05060125</t>
  </si>
  <si>
    <t xml:space="preserve"> VI </t>
  </si>
  <si>
    <t>ARTESANAL VI</t>
  </si>
  <si>
    <t>ARTESANAL VII</t>
  </si>
  <si>
    <t>VIII</t>
  </si>
  <si>
    <t>ARTESANAL VIII</t>
  </si>
  <si>
    <t>ARTESANAL IX</t>
  </si>
  <si>
    <t>ARTESANAL XIV</t>
  </si>
  <si>
    <t>ARMADORES ARTESANALES DE CALBUCO ARMAR AG RAG 320-10</t>
  </si>
  <si>
    <t>STI ARMADORES ARTESANALES DEMERSALES Y RAMOS AFINES ESTRELLA DEL SUR DE CALBUCO RSU 10010571</t>
  </si>
  <si>
    <t>BOLSON RESIDUAL</t>
  </si>
  <si>
    <t>TOTAL LTP</t>
  </si>
  <si>
    <t>TOTAL ASIGNATARIOS LTP</t>
  </si>
  <si>
    <t>TOTAL ASIGNATARIOS REGION</t>
  </si>
  <si>
    <t>-</t>
  </si>
  <si>
    <t>ORGANIZACION</t>
  </si>
  <si>
    <t>TOTAL REGION</t>
  </si>
  <si>
    <t>ARICA SEAFOOD PRODUCER SA</t>
  </si>
  <si>
    <t>CAMANCHACA SA CIA PESQ</t>
  </si>
  <si>
    <t>CORPESCA SA</t>
  </si>
  <si>
    <t>ORIZON SA</t>
  </si>
  <si>
    <t xml:space="preserve">LANDES SA SOC PESQ  </t>
  </si>
  <si>
    <t xml:space="preserve">ALIMENTOS MARINOS SA    </t>
  </si>
  <si>
    <t>BAHIA CALDERA SA PESQ</t>
  </si>
  <si>
    <t xml:space="preserve">BLUMAR SA             </t>
  </si>
  <si>
    <t xml:space="preserve">FOODCORP CHILE SA   </t>
  </si>
  <si>
    <t xml:space="preserve">ISLADAMAS SA PESQ        </t>
  </si>
  <si>
    <t xml:space="preserve">LOTA PROTEIN SA  </t>
  </si>
  <si>
    <t>CAMANCHACA PESCA SUR SA</t>
  </si>
  <si>
    <t>ISLA QUIHUA SA PESQ</t>
  </si>
  <si>
    <t>CONGELADOS PACIFICO SPA</t>
  </si>
  <si>
    <t>AG DE PESCADORES ARTESANALES Y BUZOS MARISCADORES DE COQUIMBO-IV REGION REGISTRO DE ASOCIACIONES GREMIALES 55-4</t>
  </si>
  <si>
    <t>AG DE ARMADORES ARTESANALES ASOGFER AG ASOGFER AG RAG 310-10</t>
  </si>
  <si>
    <t>AG DE ARMADORES ARTESANALES DE LA DECIMA REGION RAG 156-10</t>
  </si>
  <si>
    <t>AG DE ARMADORES ARTESANALES PESCA AUSTRAL AG PESCA AUSTRAL AG RAG N°326-10</t>
  </si>
  <si>
    <t>AG DE ARMADORES Y PESCADORES CERQUEROS ARTESANALES DE ANCUD ASOGPESCA ANCUD AG RAG 4266</t>
  </si>
  <si>
    <t>STI PESCADORES ARTESANALES RECOLECTORES DE ORILLA BOLINCHEROS Y RAMOS SIMILARES PROVEEDORES MARITIMOS DE QUELLAIPE RSU 10010835</t>
  </si>
  <si>
    <t>STI PESCADORES ARTESANALES RECOLECTORES DE ORILLA BOLINCHEROS Y RAMOS SIMILARES PROVEEDORES MARITIMOS DE QUELLAIPE RSU 10010836</t>
  </si>
  <si>
    <t>STI PESCADORES ARTESANALES RECOLECTORES DE ORILLA BOLINCHEROS Y RAMOS SIMILARES PROVEEDORES MARITIMOS DE QUELLAIPE RSU 10010837</t>
  </si>
  <si>
    <t>ARMADORES ARTESANALES DEL PUERTO DE SAN ANTONIO AG RAG  2510</t>
  </si>
  <si>
    <t>AG DE PRODUCTORES PELAGICOS  ARMADORES ARTESANALES DE LA CALETA DE QUELLON DECIMA REGIÓN- AQUEPESCA AG RAG 270-10</t>
  </si>
  <si>
    <t>N° Resolución</t>
  </si>
  <si>
    <t>RPA</t>
  </si>
  <si>
    <t>Captura</t>
  </si>
  <si>
    <t>Region</t>
  </si>
  <si>
    <t>Ene-Oct</t>
  </si>
  <si>
    <t>Nov-Dic</t>
  </si>
  <si>
    <t>CONGELADOS PACIFICO SPA. HOY PACIFICBLU SPA</t>
  </si>
  <si>
    <t xml:space="preserve">Recurso </t>
  </si>
  <si>
    <t>Cuota asignada (t)</t>
  </si>
  <si>
    <t>Consumo %</t>
  </si>
  <si>
    <t>Empresa</t>
  </si>
  <si>
    <t>Especie</t>
  </si>
  <si>
    <t>INCOMAR</t>
  </si>
  <si>
    <t>LOTA SEAFOOD</t>
  </si>
  <si>
    <t>Tipo</t>
  </si>
  <si>
    <t>Consumo</t>
  </si>
  <si>
    <t>Captura(t)</t>
  </si>
  <si>
    <t>Saldo(t)</t>
  </si>
  <si>
    <t>Saldos(t)</t>
  </si>
  <si>
    <t>Actualizado al:</t>
  </si>
  <si>
    <t>Embarcaciónes</t>
  </si>
  <si>
    <t>Ton Asignadas (t)</t>
  </si>
  <si>
    <t>RES 836-18 GRUPO DE EMBARCACIONES</t>
  </si>
  <si>
    <t>TITULAR DE CUOTA</t>
  </si>
  <si>
    <t>RES. EX. N°</t>
  </si>
  <si>
    <t>FECHA RES. EX.</t>
  </si>
  <si>
    <t>Ene-Jun</t>
  </si>
  <si>
    <t>Jul-Dic</t>
  </si>
  <si>
    <t>STI MUELLE SUD AMERICANA. RSU 5010462</t>
  </si>
  <si>
    <t>AG AGRAPES A.G 4399</t>
  </si>
  <si>
    <t>STI PROVEEDORES MARITIMOS DE QUILLAIPE 10.01.0835</t>
  </si>
  <si>
    <r>
      <rPr>
        <b/>
        <sz val="12"/>
        <color theme="0"/>
        <rFont val="Calibri"/>
        <family val="2"/>
        <scheme val="minor"/>
      </rPr>
      <t xml:space="preserve">CONTROL CUOTA GLOBAL JUREL AÑO 2019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</si>
  <si>
    <t>CUOTA TRANSFERIDA</t>
  </si>
  <si>
    <t>SALDO</t>
  </si>
  <si>
    <t>% CONSUMIDO</t>
  </si>
  <si>
    <t>Investigación</t>
  </si>
  <si>
    <t>CONTROL CUOTA CONSUMO HUMANO 2019</t>
  </si>
  <si>
    <t>CONTROL CUOTA  CONSUMO HUMANO 2019</t>
  </si>
  <si>
    <r>
      <rPr>
        <b/>
        <sz val="14"/>
        <color theme="0"/>
        <rFont val="Calibri"/>
        <family val="2"/>
        <scheme val="minor"/>
      </rPr>
      <t xml:space="preserve">CONTROL CUOTA JUREL FRACCIÓN ARTESANAL  2019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</si>
  <si>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Decreto Ex. N° 541: </t>
    </r>
    <r>
      <rPr>
        <b/>
        <u/>
        <sz val="11"/>
        <color theme="1"/>
        <rFont val="Calibri"/>
        <family val="2"/>
        <scheme val="minor"/>
      </rPr>
      <t>381.572 Ton</t>
    </r>
  </si>
  <si>
    <t xml:space="preserve"> PACIFICBLU SpA</t>
  </si>
  <si>
    <t>55T</t>
  </si>
  <si>
    <t>Antares V</t>
  </si>
  <si>
    <t>Achernar</t>
  </si>
  <si>
    <t>Total Captuta</t>
  </si>
  <si>
    <t>Glaciar I</t>
  </si>
  <si>
    <t>Huracan I</t>
  </si>
  <si>
    <t>La Victoria</t>
  </si>
  <si>
    <t>Total Captura</t>
  </si>
  <si>
    <t>COMERCIAL Y CONSERVERA SAN LAZARO LIMITADA</t>
  </si>
  <si>
    <t>INVERSIONES TRIDENTE SPA</t>
  </si>
  <si>
    <t>PROCESOS TECNOLOGICOS DEL BÍO BÍO SPA</t>
  </si>
  <si>
    <t>PACIFICBLU SPA</t>
  </si>
  <si>
    <t xml:space="preserve">                                                                                                                                                                                                                          CONTROL CUOTA JUREL FRACCION INDUSTRIAL  2019   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</si>
  <si>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CONTROL CUOTA CESIONES INDIVIDUALES 2019</t>
  </si>
  <si>
    <t>DON BORIS</t>
  </si>
  <si>
    <t>DON TITO</t>
  </si>
  <si>
    <t>CORAL I</t>
  </si>
  <si>
    <t xml:space="preserve">BLUMAR S.A.         </t>
  </si>
  <si>
    <t>DON ALFONSO</t>
  </si>
  <si>
    <t>DON EDMUNDO</t>
  </si>
  <si>
    <t>COBRA</t>
  </si>
  <si>
    <t>RAPANUI</t>
  </si>
  <si>
    <t>YELCHO I</t>
  </si>
  <si>
    <t>TOTAL CAPTURA</t>
  </si>
  <si>
    <t>Ene- Dic</t>
  </si>
  <si>
    <t>CAZADOR</t>
  </si>
  <si>
    <t>DON MANUEL</t>
  </si>
  <si>
    <t>RUTH</t>
  </si>
  <si>
    <t>CAPTURA (Ton)</t>
  </si>
  <si>
    <t>BUCANERO I</t>
  </si>
  <si>
    <t>CORSARIO I</t>
  </si>
  <si>
    <t>MARIA JOSE</t>
  </si>
  <si>
    <t>PELICANO</t>
  </si>
  <si>
    <t>PEHUENCO</t>
  </si>
  <si>
    <t>SANTA MARIA II</t>
  </si>
  <si>
    <t xml:space="preserve">SOC. PESQ. LANDES S.A.       </t>
  </si>
  <si>
    <t>NAVE(S) AUTORIZADA(S)</t>
  </si>
  <si>
    <t>LONCO</t>
  </si>
  <si>
    <t>DON JULIO</t>
  </si>
  <si>
    <t>SAN JOSE</t>
  </si>
  <si>
    <t>VENTISQUERO</t>
  </si>
  <si>
    <t xml:space="preserve"> CONTROL CUOTAS ORP-PS 2019</t>
  </si>
  <si>
    <t>ORIZON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</si>
</sst>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9" fillId="0" borderId="0"/>
  </cellStyleXfs>
  <cellXfs count="438">
    <xf numFmtId="0" fontId="0" fillId="0" borderId="0" xfId="0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7" borderId="51" xfId="0" applyFill="1" applyBorder="1" applyAlignment="1">
      <alignment horizontal="left" vertical="center" wrapText="1"/>
    </xf>
    <xf numFmtId="0" fontId="0" fillId="57" borderId="35" xfId="0" applyFill="1" applyBorder="1" applyAlignment="1">
      <alignment horizontal="left" vertical="center"/>
    </xf>
    <xf numFmtId="168" fontId="0" fillId="0" borderId="11" xfId="1" applyNumberFormat="1" applyFont="1" applyBorder="1" applyAlignment="1">
      <alignment horizontal="center" vertical="center"/>
    </xf>
    <xf numFmtId="168" fontId="0" fillId="0" borderId="45" xfId="1" applyNumberFormat="1" applyFont="1" applyBorder="1" applyAlignment="1">
      <alignment horizontal="center" vertical="center"/>
    </xf>
    <xf numFmtId="168" fontId="0" fillId="0" borderId="47" xfId="1" applyNumberFormat="1" applyFont="1" applyBorder="1" applyAlignment="1">
      <alignment horizontal="center" vertical="center"/>
    </xf>
    <xf numFmtId="168" fontId="0" fillId="0" borderId="35" xfId="1" applyNumberFormat="1" applyFont="1" applyBorder="1" applyAlignment="1">
      <alignment horizontal="center" vertical="center"/>
    </xf>
    <xf numFmtId="168" fontId="0" fillId="0" borderId="46" xfId="1" applyNumberFormat="1" applyFont="1" applyBorder="1" applyAlignment="1">
      <alignment horizontal="center" vertical="center"/>
    </xf>
    <xf numFmtId="168" fontId="0" fillId="0" borderId="35" xfId="1" applyNumberFormat="1" applyFont="1" applyFill="1" applyBorder="1" applyAlignment="1">
      <alignment horizontal="center" vertical="center"/>
    </xf>
    <xf numFmtId="0" fontId="0" fillId="62" borderId="54" xfId="0" applyFill="1" applyBorder="1" applyAlignment="1">
      <alignment horizontal="center" vertical="center"/>
    </xf>
    <xf numFmtId="0" fontId="0" fillId="62" borderId="34" xfId="0" applyFill="1" applyBorder="1" applyAlignment="1">
      <alignment horizontal="center" vertical="center"/>
    </xf>
    <xf numFmtId="10" fontId="0" fillId="62" borderId="35" xfId="1" applyNumberFormat="1" applyFont="1" applyFill="1" applyBorder="1" applyAlignment="1">
      <alignment horizontal="center" vertical="center"/>
    </xf>
    <xf numFmtId="0" fontId="0" fillId="56" borderId="0" xfId="0" applyFill="1"/>
    <xf numFmtId="0" fontId="0" fillId="56" borderId="0" xfId="0" applyFont="1" applyFill="1"/>
    <xf numFmtId="0" fontId="0" fillId="56" borderId="0" xfId="0" applyFont="1" applyFill="1" applyAlignment="1">
      <alignment horizontal="center"/>
    </xf>
    <xf numFmtId="0" fontId="13" fillId="63" borderId="33" xfId="0" applyFont="1" applyFill="1" applyBorder="1" applyAlignment="1">
      <alignment horizontal="center" vertical="center"/>
    </xf>
    <xf numFmtId="0" fontId="13" fillId="63" borderId="34" xfId="0" applyFont="1" applyFill="1" applyBorder="1" applyAlignment="1">
      <alignment horizontal="center" vertical="center"/>
    </xf>
    <xf numFmtId="0" fontId="13" fillId="63" borderId="34" xfId="0" applyFont="1" applyFill="1" applyBorder="1" applyAlignment="1">
      <alignment horizontal="center" vertical="center" wrapText="1"/>
    </xf>
    <xf numFmtId="0" fontId="13" fillId="63" borderId="35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16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left" vertical="center" wrapText="1"/>
    </xf>
    <xf numFmtId="0" fontId="0" fillId="56" borderId="0" xfId="0" applyFill="1" applyBorder="1" applyAlignment="1">
      <alignment horizontal="center" vertical="center"/>
    </xf>
    <xf numFmtId="168" fontId="0" fillId="56" borderId="0" xfId="1" applyNumberFormat="1" applyFont="1" applyFill="1" applyBorder="1" applyAlignment="1">
      <alignment horizontal="center" vertical="center"/>
    </xf>
    <xf numFmtId="10" fontId="0" fillId="56" borderId="0" xfId="1" applyNumberFormat="1" applyFont="1" applyFill="1" applyAlignment="1">
      <alignment horizontal="center" vertical="center"/>
    </xf>
    <xf numFmtId="0" fontId="16" fillId="56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left" vertical="center"/>
    </xf>
    <xf numFmtId="168" fontId="0" fillId="56" borderId="0" xfId="1" applyNumberFormat="1" applyFont="1" applyFill="1" applyAlignment="1">
      <alignment horizontal="center" vertical="center"/>
    </xf>
    <xf numFmtId="0" fontId="47" fillId="63" borderId="33" xfId="0" applyFont="1" applyFill="1" applyBorder="1" applyAlignment="1">
      <alignment horizontal="center" vertical="center" wrapText="1"/>
    </xf>
    <xf numFmtId="0" fontId="47" fillId="63" borderId="51" xfId="0" applyFont="1" applyFill="1" applyBorder="1" applyAlignment="1">
      <alignment horizontal="center" vertical="center" wrapText="1"/>
    </xf>
    <xf numFmtId="0" fontId="47" fillId="63" borderId="34" xfId="0" applyFont="1" applyFill="1" applyBorder="1" applyAlignment="1">
      <alignment horizontal="center" vertical="center" wrapText="1"/>
    </xf>
    <xf numFmtId="0" fontId="0" fillId="56" borderId="0" xfId="0" applyFill="1" applyAlignment="1">
      <alignment vertical="center"/>
    </xf>
    <xf numFmtId="0" fontId="46" fillId="56" borderId="0" xfId="0" applyFont="1" applyFill="1"/>
    <xf numFmtId="0" fontId="0" fillId="56" borderId="0" xfId="0" applyFill="1" applyBorder="1"/>
    <xf numFmtId="0" fontId="45" fillId="56" borderId="0" xfId="0" applyFont="1" applyFill="1" applyBorder="1" applyAlignment="1">
      <alignment horizontal="center"/>
    </xf>
    <xf numFmtId="9" fontId="0" fillId="56" borderId="0" xfId="1" applyFont="1" applyFill="1"/>
    <xf numFmtId="0" fontId="0" fillId="0" borderId="0" xfId="0" applyFont="1" applyAlignment="1">
      <alignment horizontal="center" vertical="center"/>
    </xf>
    <xf numFmtId="0" fontId="46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2" applyFont="1" applyFill="1" applyBorder="1" applyAlignment="1">
      <alignment horizontal="center" vertical="center"/>
    </xf>
    <xf numFmtId="0" fontId="51" fillId="65" borderId="10" xfId="0" applyFont="1" applyFill="1" applyBorder="1" applyAlignment="1">
      <alignment horizontal="center" vertical="center"/>
    </xf>
    <xf numFmtId="0" fontId="45" fillId="65" borderId="10" xfId="0" applyFont="1" applyFill="1" applyBorder="1" applyAlignment="1">
      <alignment horizontal="center" vertical="center"/>
    </xf>
    <xf numFmtId="14" fontId="51" fillId="65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62" borderId="55" xfId="0" applyFill="1" applyBorder="1" applyAlignment="1">
      <alignment horizontal="center"/>
    </xf>
    <xf numFmtId="0" fontId="0" fillId="62" borderId="57" xfId="0" applyFill="1" applyBorder="1" applyAlignment="1">
      <alignment horizontal="center"/>
    </xf>
    <xf numFmtId="0" fontId="0" fillId="62" borderId="41" xfId="0" applyFill="1" applyBorder="1" applyAlignment="1">
      <alignment horizontal="center"/>
    </xf>
    <xf numFmtId="168" fontId="0" fillId="0" borderId="68" xfId="1" applyNumberFormat="1" applyFont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9" fontId="0" fillId="56" borderId="0" xfId="0" applyNumberForma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top"/>
    </xf>
    <xf numFmtId="0" fontId="16" fillId="0" borderId="50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0" fontId="16" fillId="67" borderId="33" xfId="0" applyFont="1" applyFill="1" applyBorder="1" applyAlignment="1">
      <alignment horizontal="center" vertical="center"/>
    </xf>
    <xf numFmtId="0" fontId="16" fillId="67" borderId="34" xfId="0" applyFont="1" applyFill="1" applyBorder="1" applyAlignment="1">
      <alignment horizontal="center" vertical="center"/>
    </xf>
    <xf numFmtId="0" fontId="16" fillId="67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66" borderId="33" xfId="0" applyFont="1" applyFill="1" applyBorder="1" applyAlignment="1">
      <alignment horizontal="center" vertical="center"/>
    </xf>
    <xf numFmtId="0" fontId="16" fillId="66" borderId="34" xfId="0" applyFont="1" applyFill="1" applyBorder="1" applyAlignment="1">
      <alignment horizontal="center" vertical="center"/>
    </xf>
    <xf numFmtId="0" fontId="16" fillId="66" borderId="35" xfId="0" applyFont="1" applyFill="1" applyBorder="1" applyAlignment="1">
      <alignment horizontal="center" vertical="center"/>
    </xf>
    <xf numFmtId="0" fontId="0" fillId="62" borderId="72" xfId="0" applyFill="1" applyBorder="1" applyAlignment="1">
      <alignment horizontal="center"/>
    </xf>
    <xf numFmtId="0" fontId="0" fillId="62" borderId="73" xfId="0" applyFill="1" applyBorder="1" applyAlignment="1">
      <alignment horizontal="center"/>
    </xf>
    <xf numFmtId="0" fontId="23" fillId="0" borderId="12" xfId="42112" applyFont="1" applyFill="1" applyBorder="1" applyAlignment="1">
      <alignment horizontal="center" vertical="center"/>
    </xf>
    <xf numFmtId="0" fontId="0" fillId="68" borderId="36" xfId="0" applyFill="1" applyBorder="1" applyAlignment="1">
      <alignment horizontal="center" vertical="center"/>
    </xf>
    <xf numFmtId="0" fontId="0" fillId="68" borderId="39" xfId="0" applyFill="1" applyBorder="1" applyAlignment="1">
      <alignment horizontal="center" vertical="center"/>
    </xf>
    <xf numFmtId="0" fontId="0" fillId="68" borderId="38" xfId="0" applyFill="1" applyBorder="1" applyAlignment="1">
      <alignment horizontal="center" vertical="center"/>
    </xf>
    <xf numFmtId="0" fontId="0" fillId="68" borderId="10" xfId="0" applyFont="1" applyFill="1" applyBorder="1" applyAlignment="1">
      <alignment horizontal="center" vertical="center"/>
    </xf>
    <xf numFmtId="0" fontId="0" fillId="68" borderId="50" xfId="0" applyFill="1" applyBorder="1" applyAlignment="1">
      <alignment horizontal="center" vertical="center"/>
    </xf>
    <xf numFmtId="0" fontId="0" fillId="68" borderId="12" xfId="0" applyFont="1" applyFill="1" applyBorder="1" applyAlignment="1">
      <alignment horizontal="center" vertical="center"/>
    </xf>
    <xf numFmtId="0" fontId="0" fillId="68" borderId="66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68" borderId="34" xfId="0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/>
    </xf>
    <xf numFmtId="0" fontId="0" fillId="68" borderId="37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0" fillId="0" borderId="59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63" borderId="10" xfId="0" applyFont="1" applyFill="1" applyBorder="1" applyAlignment="1">
      <alignment horizontal="center" vertical="center" wrapText="1"/>
    </xf>
    <xf numFmtId="0" fontId="47" fillId="6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7" fillId="63" borderId="46" xfId="0" applyFont="1" applyFill="1" applyBorder="1" applyAlignment="1">
      <alignment horizontal="center" vertical="center" wrapText="1"/>
    </xf>
    <xf numFmtId="14" fontId="0" fillId="62" borderId="72" xfId="0" applyNumberFormat="1" applyFill="1" applyBorder="1" applyAlignment="1">
      <alignment horizontal="center"/>
    </xf>
    <xf numFmtId="14" fontId="0" fillId="62" borderId="73" xfId="0" applyNumberFormat="1" applyFill="1" applyBorder="1" applyAlignment="1">
      <alignment horizontal="center"/>
    </xf>
    <xf numFmtId="0" fontId="47" fillId="63" borderId="38" xfId="0" applyFont="1" applyFill="1" applyBorder="1" applyAlignment="1">
      <alignment horizontal="center" vertical="center" wrapText="1"/>
    </xf>
    <xf numFmtId="0" fontId="0" fillId="62" borderId="71" xfId="0" applyFill="1" applyBorder="1" applyAlignment="1">
      <alignment horizontal="center"/>
    </xf>
    <xf numFmtId="168" fontId="0" fillId="0" borderId="53" xfId="1" applyNumberFormat="1" applyFont="1" applyBorder="1" applyAlignment="1">
      <alignment horizontal="center" vertical="center"/>
    </xf>
    <xf numFmtId="0" fontId="54" fillId="56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63" borderId="43" xfId="0" applyFont="1" applyFill="1" applyBorder="1" applyAlignment="1">
      <alignment horizontal="center" vertical="center" wrapText="1"/>
    </xf>
    <xf numFmtId="0" fontId="47" fillId="63" borderId="42" xfId="0" applyFont="1" applyFill="1" applyBorder="1" applyAlignment="1">
      <alignment horizontal="center" vertical="center" wrapText="1"/>
    </xf>
    <xf numFmtId="0" fontId="47" fillId="63" borderId="60" xfId="0" applyFont="1" applyFill="1" applyBorder="1" applyAlignment="1">
      <alignment horizontal="center" vertical="center" wrapText="1"/>
    </xf>
    <xf numFmtId="0" fontId="47" fillId="63" borderId="54" xfId="0" applyFont="1" applyFill="1" applyBorder="1" applyAlignment="1">
      <alignment horizontal="center" vertical="center" wrapText="1"/>
    </xf>
    <xf numFmtId="0" fontId="0" fillId="56" borderId="48" xfId="0" applyFill="1" applyBorder="1" applyAlignment="1">
      <alignment horizontal="left" vertical="center"/>
    </xf>
    <xf numFmtId="0" fontId="0" fillId="56" borderId="23" xfId="0" applyFill="1" applyBorder="1" applyAlignment="1">
      <alignment horizontal="left" vertical="center"/>
    </xf>
    <xf numFmtId="0" fontId="0" fillId="56" borderId="49" xfId="0" applyFill="1" applyBorder="1" applyAlignment="1">
      <alignment horizontal="left" vertical="center"/>
    </xf>
    <xf numFmtId="0" fontId="47" fillId="63" borderId="35" xfId="0" applyFont="1" applyFill="1" applyBorder="1" applyAlignment="1">
      <alignment horizontal="center" vertical="center" wrapText="1"/>
    </xf>
    <xf numFmtId="169" fontId="0" fillId="0" borderId="37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40" xfId="0" applyNumberFormat="1" applyFill="1" applyBorder="1" applyAlignment="1">
      <alignment horizontal="center" vertical="center"/>
    </xf>
    <xf numFmtId="0" fontId="16" fillId="58" borderId="33" xfId="0" applyFont="1" applyFill="1" applyBorder="1" applyAlignment="1">
      <alignment horizontal="center" vertical="center"/>
    </xf>
    <xf numFmtId="0" fontId="16" fillId="58" borderId="34" xfId="0" applyFont="1" applyFill="1" applyBorder="1" applyAlignment="1">
      <alignment horizontal="center" vertical="center"/>
    </xf>
    <xf numFmtId="0" fontId="16" fillId="58" borderId="35" xfId="0" applyFont="1" applyFill="1" applyBorder="1" applyAlignment="1">
      <alignment horizontal="center" vertical="center"/>
    </xf>
    <xf numFmtId="0" fontId="13" fillId="63" borderId="64" xfId="0" applyFont="1" applyFill="1" applyBorder="1" applyAlignment="1">
      <alignment horizontal="center" vertical="center" wrapText="1"/>
    </xf>
    <xf numFmtId="0" fontId="0" fillId="56" borderId="74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37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65" xfId="0" applyNumberFormat="1" applyFont="1" applyBorder="1" applyAlignment="1">
      <alignment horizontal="center"/>
    </xf>
    <xf numFmtId="169" fontId="0" fillId="0" borderId="40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16" fillId="56" borderId="0" xfId="0" applyFont="1" applyFill="1"/>
    <xf numFmtId="169" fontId="0" fillId="0" borderId="1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2" fontId="0" fillId="0" borderId="61" xfId="0" applyNumberFormat="1" applyBorder="1" applyAlignment="1">
      <alignment horizontal="center" vertical="center"/>
    </xf>
    <xf numFmtId="172" fontId="0" fillId="0" borderId="47" xfId="0" applyNumberFormat="1" applyFont="1" applyFill="1" applyBorder="1" applyAlignment="1">
      <alignment horizontal="center" vertical="center"/>
    </xf>
    <xf numFmtId="14" fontId="16" fillId="70" borderId="71" xfId="0" applyNumberFormat="1" applyFont="1" applyFill="1" applyBorder="1" applyAlignment="1">
      <alignment horizontal="center"/>
    </xf>
    <xf numFmtId="14" fontId="16" fillId="70" borderId="7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68" borderId="37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68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8" borderId="12" xfId="0" applyFill="1" applyBorder="1" applyAlignment="1">
      <alignment horizontal="center" vertical="center"/>
    </xf>
    <xf numFmtId="0" fontId="0" fillId="68" borderId="6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56" borderId="75" xfId="0" applyFill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168" fontId="0" fillId="0" borderId="77" xfId="1" applyNumberFormat="1" applyFont="1" applyBorder="1" applyAlignment="1">
      <alignment horizontal="center" vertical="center"/>
    </xf>
    <xf numFmtId="168" fontId="0" fillId="0" borderId="78" xfId="1" applyNumberFormat="1" applyFont="1" applyBorder="1" applyAlignment="1">
      <alignment horizontal="center" vertical="center"/>
    </xf>
    <xf numFmtId="168" fontId="0" fillId="0" borderId="52" xfId="1" applyNumberFormat="1" applyFont="1" applyBorder="1" applyAlignment="1">
      <alignment horizontal="center" vertical="center"/>
    </xf>
    <xf numFmtId="168" fontId="0" fillId="0" borderId="79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51" fillId="65" borderId="10" xfId="1" applyNumberFormat="1" applyFont="1" applyFill="1" applyBorder="1" applyAlignment="1">
      <alignment horizontal="center" vertical="center"/>
    </xf>
    <xf numFmtId="172" fontId="0" fillId="0" borderId="10" xfId="1" applyNumberFormat="1" applyFont="1" applyFill="1" applyBorder="1" applyAlignment="1">
      <alignment horizontal="center" vertical="center"/>
    </xf>
    <xf numFmtId="172" fontId="0" fillId="0" borderId="0" xfId="1" applyNumberFormat="1" applyFont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10" xfId="42112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1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center" vertical="center"/>
    </xf>
    <xf numFmtId="172" fontId="0" fillId="0" borderId="12" xfId="1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0" fillId="62" borderId="32" xfId="0" applyFill="1" applyBorder="1" applyAlignment="1">
      <alignment horizontal="center"/>
    </xf>
    <xf numFmtId="14" fontId="16" fillId="70" borderId="41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58" borderId="5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55" borderId="68" xfId="0" applyFill="1" applyBorder="1" applyAlignment="1">
      <alignment horizontal="left" vertical="center"/>
    </xf>
    <xf numFmtId="0" fontId="0" fillId="55" borderId="46" xfId="0" applyFill="1" applyBorder="1" applyAlignment="1">
      <alignment horizontal="left" vertical="center"/>
    </xf>
    <xf numFmtId="0" fontId="0" fillId="55" borderId="46" xfId="0" applyFill="1" applyBorder="1"/>
    <xf numFmtId="0" fontId="0" fillId="55" borderId="47" xfId="0" applyFill="1" applyBorder="1" applyAlignment="1">
      <alignment horizontal="left" vertical="center"/>
    </xf>
    <xf numFmtId="169" fontId="0" fillId="0" borderId="37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6" fillId="72" borderId="48" xfId="0" applyFont="1" applyFill="1" applyBorder="1" applyAlignment="1">
      <alignment horizontal="center"/>
    </xf>
    <xf numFmtId="0" fontId="16" fillId="72" borderId="23" xfId="0" applyFont="1" applyFill="1" applyBorder="1" applyAlignment="1">
      <alignment horizontal="center"/>
    </xf>
    <xf numFmtId="0" fontId="16" fillId="72" borderId="49" xfId="0" applyFont="1" applyFill="1" applyBorder="1" applyAlignment="1">
      <alignment horizontal="center"/>
    </xf>
    <xf numFmtId="0" fontId="16" fillId="72" borderId="75" xfId="0" applyFont="1" applyFill="1" applyBorder="1" applyAlignment="1">
      <alignment horizontal="center"/>
    </xf>
    <xf numFmtId="9" fontId="0" fillId="69" borderId="46" xfId="1" applyFont="1" applyFill="1" applyBorder="1" applyAlignment="1">
      <alignment horizontal="center" vertical="center"/>
    </xf>
    <xf numFmtId="0" fontId="16" fillId="5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55" borderId="38" xfId="0" applyFont="1" applyFill="1" applyBorder="1" applyAlignment="1">
      <alignment horizontal="left" vertical="center"/>
    </xf>
    <xf numFmtId="14" fontId="16" fillId="55" borderId="10" xfId="0" applyNumberFormat="1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65" xfId="0" applyNumberFormat="1" applyBorder="1" applyAlignment="1">
      <alignment horizontal="center" vertical="center"/>
    </xf>
    <xf numFmtId="169" fontId="0" fillId="0" borderId="40" xfId="0" applyNumberFormat="1" applyBorder="1" applyAlignment="1">
      <alignment horizontal="center" vertical="center"/>
    </xf>
    <xf numFmtId="169" fontId="0" fillId="56" borderId="37" xfId="0" applyNumberFormat="1" applyFill="1" applyBorder="1" applyAlignment="1">
      <alignment horizontal="center" vertical="center"/>
    </xf>
    <xf numFmtId="169" fontId="0" fillId="56" borderId="10" xfId="0" applyNumberFormat="1" applyFill="1" applyBorder="1" applyAlignment="1">
      <alignment horizontal="center" vertical="center"/>
    </xf>
    <xf numFmtId="169" fontId="0" fillId="56" borderId="65" xfId="0" applyNumberFormat="1" applyFill="1" applyBorder="1" applyAlignment="1">
      <alignment horizontal="center" vertical="center"/>
    </xf>
    <xf numFmtId="169" fontId="0" fillId="56" borderId="40" xfId="0" applyNumberFormat="1" applyFill="1" applyBorder="1" applyAlignment="1">
      <alignment horizontal="center" vertical="center"/>
    </xf>
    <xf numFmtId="169" fontId="0" fillId="56" borderId="12" xfId="0" applyNumberFormat="1" applyFill="1" applyBorder="1" applyAlignment="1">
      <alignment horizontal="center" vertical="center"/>
    </xf>
    <xf numFmtId="169" fontId="0" fillId="0" borderId="45" xfId="0" applyNumberFormat="1" applyFont="1" applyBorder="1" applyAlignment="1">
      <alignment horizontal="center"/>
    </xf>
    <xf numFmtId="169" fontId="0" fillId="0" borderId="46" xfId="0" applyNumberFormat="1" applyFont="1" applyBorder="1" applyAlignment="1">
      <alignment horizontal="center"/>
    </xf>
    <xf numFmtId="169" fontId="0" fillId="0" borderId="65" xfId="0" applyNumberFormat="1" applyFont="1" applyFill="1" applyBorder="1" applyAlignment="1">
      <alignment horizontal="center"/>
    </xf>
    <xf numFmtId="169" fontId="0" fillId="0" borderId="67" xfId="0" applyNumberFormat="1" applyFont="1" applyBorder="1" applyAlignment="1">
      <alignment horizontal="center"/>
    </xf>
    <xf numFmtId="169" fontId="0" fillId="0" borderId="40" xfId="0" applyNumberFormat="1" applyFont="1" applyFill="1" applyBorder="1" applyAlignment="1">
      <alignment horizontal="center"/>
    </xf>
    <xf numFmtId="169" fontId="0" fillId="0" borderId="47" xfId="0" applyNumberFormat="1" applyFont="1" applyBorder="1" applyAlignment="1">
      <alignment horizontal="center"/>
    </xf>
    <xf numFmtId="172" fontId="0" fillId="0" borderId="71" xfId="1" applyNumberFormat="1" applyFont="1" applyFill="1" applyBorder="1" applyAlignment="1">
      <alignment horizontal="center"/>
    </xf>
    <xf numFmtId="172" fontId="0" fillId="0" borderId="72" xfId="1" applyNumberFormat="1" applyFont="1" applyFill="1" applyBorder="1" applyAlignment="1">
      <alignment horizontal="center"/>
    </xf>
    <xf numFmtId="172" fontId="0" fillId="0" borderId="76" xfId="1" applyNumberFormat="1" applyFont="1" applyFill="1" applyBorder="1" applyAlignment="1">
      <alignment horizontal="center"/>
    </xf>
    <xf numFmtId="172" fontId="0" fillId="0" borderId="73" xfId="1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9" fontId="0" fillId="0" borderId="34" xfId="0" applyNumberFormat="1" applyFont="1" applyFill="1" applyBorder="1" applyAlignment="1">
      <alignment horizontal="center" vertical="center"/>
    </xf>
    <xf numFmtId="169" fontId="0" fillId="0" borderId="34" xfId="0" applyNumberFormat="1" applyFill="1" applyBorder="1" applyAlignment="1">
      <alignment horizontal="center" vertical="center"/>
    </xf>
    <xf numFmtId="169" fontId="0" fillId="0" borderId="37" xfId="0" applyNumberFormat="1" applyFill="1" applyBorder="1" applyAlignment="1">
      <alignment horizontal="center" vertical="center"/>
    </xf>
    <xf numFmtId="0" fontId="16" fillId="57" borderId="30" xfId="0" applyFont="1" applyFill="1" applyBorder="1" applyAlignment="1">
      <alignment horizontal="center" vertical="center"/>
    </xf>
    <xf numFmtId="0" fontId="16" fillId="57" borderId="31" xfId="0" applyFont="1" applyFill="1" applyBorder="1" applyAlignment="1">
      <alignment horizontal="center" vertical="center"/>
    </xf>
    <xf numFmtId="0" fontId="16" fillId="57" borderId="32" xfId="0" applyFont="1" applyFill="1" applyBorder="1" applyAlignment="1">
      <alignment horizontal="center" vertical="center"/>
    </xf>
    <xf numFmtId="0" fontId="16" fillId="64" borderId="55" xfId="0" applyFont="1" applyFill="1" applyBorder="1" applyAlignment="1">
      <alignment horizontal="center" vertical="center"/>
    </xf>
    <xf numFmtId="0" fontId="16" fillId="64" borderId="56" xfId="0" applyFont="1" applyFill="1" applyBorder="1" applyAlignment="1">
      <alignment horizontal="center" vertical="center"/>
    </xf>
    <xf numFmtId="0" fontId="16" fillId="64" borderId="57" xfId="0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wrapText="1"/>
    </xf>
    <xf numFmtId="0" fontId="13" fillId="63" borderId="24" xfId="0" applyFont="1" applyFill="1" applyBorder="1" applyAlignment="1">
      <alignment horizontal="center" wrapText="1"/>
    </xf>
    <xf numFmtId="0" fontId="13" fillId="63" borderId="25" xfId="0" applyFont="1" applyFill="1" applyBorder="1" applyAlignment="1">
      <alignment horizontal="center" wrapText="1"/>
    </xf>
    <xf numFmtId="171" fontId="13" fillId="63" borderId="28" xfId="0" applyNumberFormat="1" applyFont="1" applyFill="1" applyBorder="1" applyAlignment="1">
      <alignment horizontal="center" vertical="center" wrapText="1"/>
    </xf>
    <xf numFmtId="171" fontId="13" fillId="63" borderId="26" xfId="0" applyNumberFormat="1" applyFont="1" applyFill="1" applyBorder="1" applyAlignment="1">
      <alignment horizontal="center" vertical="center" wrapText="1"/>
    </xf>
    <xf numFmtId="171" fontId="13" fillId="63" borderId="29" xfId="0" applyNumberFormat="1" applyFont="1" applyFill="1" applyBorder="1" applyAlignment="1">
      <alignment horizontal="center" vertical="center" wrapText="1"/>
    </xf>
    <xf numFmtId="0" fontId="16" fillId="56" borderId="63" xfId="0" applyFont="1" applyFill="1" applyBorder="1" applyAlignment="1">
      <alignment horizontal="center"/>
    </xf>
    <xf numFmtId="0" fontId="0" fillId="57" borderId="45" xfId="0" applyFill="1" applyBorder="1" applyAlignment="1">
      <alignment horizontal="left" vertical="center" wrapText="1"/>
    </xf>
    <xf numFmtId="0" fontId="0" fillId="57" borderId="46" xfId="0" applyFill="1" applyBorder="1" applyAlignment="1">
      <alignment horizontal="left" vertical="center" wrapText="1"/>
    </xf>
    <xf numFmtId="0" fontId="0" fillId="57" borderId="45" xfId="0" applyFill="1" applyBorder="1" applyAlignment="1">
      <alignment horizontal="left" vertical="center"/>
    </xf>
    <xf numFmtId="0" fontId="0" fillId="57" borderId="47" xfId="0" applyFill="1" applyBorder="1" applyAlignment="1">
      <alignment horizontal="left" vertical="center"/>
    </xf>
    <xf numFmtId="10" fontId="0" fillId="62" borderId="46" xfId="1" applyNumberFormat="1" applyFont="1" applyFill="1" applyBorder="1" applyAlignment="1">
      <alignment horizontal="center" vertical="center"/>
    </xf>
    <xf numFmtId="0" fontId="0" fillId="62" borderId="37" xfId="0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/>
    </xf>
    <xf numFmtId="0" fontId="0" fillId="62" borderId="38" xfId="0" applyFill="1" applyBorder="1" applyAlignment="1">
      <alignment horizontal="center" vertical="center"/>
    </xf>
    <xf numFmtId="0" fontId="0" fillId="62" borderId="39" xfId="0" applyFill="1" applyBorder="1" applyAlignment="1">
      <alignment horizontal="center" vertical="center"/>
    </xf>
    <xf numFmtId="10" fontId="0" fillId="62" borderId="47" xfId="1" applyNumberFormat="1" applyFont="1" applyFill="1" applyBorder="1" applyAlignment="1">
      <alignment horizontal="center" vertical="center"/>
    </xf>
    <xf numFmtId="0" fontId="47" fillId="63" borderId="45" xfId="0" applyFont="1" applyFill="1" applyBorder="1" applyAlignment="1">
      <alignment horizontal="center" vertical="center" wrapText="1"/>
    </xf>
    <xf numFmtId="0" fontId="47" fillId="63" borderId="46" xfId="0" applyFont="1" applyFill="1" applyBorder="1" applyAlignment="1">
      <alignment horizontal="center" vertical="center" wrapText="1"/>
    </xf>
    <xf numFmtId="0" fontId="47" fillId="63" borderId="36" xfId="0" applyFont="1" applyFill="1" applyBorder="1" applyAlignment="1">
      <alignment horizontal="center" vertical="center" wrapText="1"/>
    </xf>
    <xf numFmtId="0" fontId="47" fillId="63" borderId="38" xfId="0" applyFont="1" applyFill="1" applyBorder="1" applyAlignment="1">
      <alignment horizontal="center" vertical="center" wrapText="1"/>
    </xf>
    <xf numFmtId="0" fontId="16" fillId="57" borderId="38" xfId="0" applyFont="1" applyFill="1" applyBorder="1" applyAlignment="1">
      <alignment horizontal="center" vertical="center" wrapText="1"/>
    </xf>
    <xf numFmtId="0" fontId="16" fillId="57" borderId="39" xfId="0" applyFont="1" applyFill="1" applyBorder="1" applyAlignment="1">
      <alignment horizontal="center" vertical="center" wrapText="1"/>
    </xf>
    <xf numFmtId="0" fontId="16" fillId="57" borderId="36" xfId="0" applyFont="1" applyFill="1" applyBorder="1" applyAlignment="1">
      <alignment horizontal="center" vertical="center" wrapText="1"/>
    </xf>
    <xf numFmtId="0" fontId="0" fillId="57" borderId="47" xfId="0" applyFill="1" applyBorder="1" applyAlignment="1">
      <alignment horizontal="left" vertical="center" wrapText="1"/>
    </xf>
    <xf numFmtId="0" fontId="0" fillId="62" borderId="40" xfId="0" applyFill="1" applyBorder="1" applyAlignment="1">
      <alignment horizontal="center" vertical="center"/>
    </xf>
    <xf numFmtId="0" fontId="13" fillId="63" borderId="48" xfId="0" applyFont="1" applyFill="1" applyBorder="1" applyAlignment="1">
      <alignment horizontal="center" vertical="center"/>
    </xf>
    <xf numFmtId="0" fontId="13" fillId="63" borderId="37" xfId="0" applyFont="1" applyFill="1" applyBorder="1" applyAlignment="1">
      <alignment horizontal="center" vertical="center"/>
    </xf>
    <xf numFmtId="0" fontId="13" fillId="63" borderId="45" xfId="0" applyFont="1" applyFill="1" applyBorder="1" applyAlignment="1">
      <alignment horizontal="center" vertical="center"/>
    </xf>
    <xf numFmtId="0" fontId="47" fillId="63" borderId="71" xfId="0" applyFont="1" applyFill="1" applyBorder="1" applyAlignment="1">
      <alignment horizontal="center" vertical="center" wrapText="1"/>
    </xf>
    <xf numFmtId="0" fontId="47" fillId="63" borderId="72" xfId="0" applyFont="1" applyFill="1" applyBorder="1" applyAlignment="1">
      <alignment horizontal="center" vertical="center" wrapText="1"/>
    </xf>
    <xf numFmtId="0" fontId="0" fillId="62" borderId="36" xfId="0" applyFill="1" applyBorder="1" applyAlignment="1">
      <alignment horizontal="center" vertical="center"/>
    </xf>
    <xf numFmtId="10" fontId="0" fillId="62" borderId="45" xfId="1" applyNumberFormat="1" applyFont="1" applyFill="1" applyBorder="1" applyAlignment="1">
      <alignment horizontal="center" vertical="center"/>
    </xf>
    <xf numFmtId="0" fontId="0" fillId="57" borderId="46" xfId="0" applyFill="1" applyBorder="1" applyAlignment="1">
      <alignment horizontal="left" vertical="center"/>
    </xf>
    <xf numFmtId="0" fontId="0" fillId="62" borderId="48" xfId="0" applyFill="1" applyBorder="1" applyAlignment="1">
      <alignment horizontal="center" vertical="center"/>
    </xf>
    <xf numFmtId="0" fontId="0" fillId="62" borderId="49" xfId="0" applyFill="1" applyBorder="1" applyAlignment="1">
      <alignment horizontal="center" vertical="center"/>
    </xf>
    <xf numFmtId="10" fontId="0" fillId="62" borderId="53" xfId="1" applyNumberFormat="1" applyFont="1" applyFill="1" applyBorder="1" applyAlignment="1">
      <alignment horizontal="center" vertical="center"/>
    </xf>
    <xf numFmtId="10" fontId="0" fillId="62" borderId="52" xfId="1" applyNumberFormat="1" applyFont="1" applyFill="1" applyBorder="1" applyAlignment="1">
      <alignment horizontal="center" vertical="center"/>
    </xf>
    <xf numFmtId="10" fontId="0" fillId="71" borderId="45" xfId="1" applyNumberFormat="1" applyFont="1" applyFill="1" applyBorder="1" applyAlignment="1">
      <alignment horizontal="center" vertical="center"/>
    </xf>
    <xf numFmtId="10" fontId="0" fillId="71" borderId="46" xfId="1" applyNumberFormat="1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vertical="center" wrapText="1"/>
    </xf>
    <xf numFmtId="0" fontId="13" fillId="63" borderId="24" xfId="0" applyFont="1" applyFill="1" applyBorder="1" applyAlignment="1">
      <alignment horizontal="center" vertical="center" wrapText="1"/>
    </xf>
    <xf numFmtId="0" fontId="13" fillId="63" borderId="25" xfId="0" applyFont="1" applyFill="1" applyBorder="1" applyAlignment="1">
      <alignment horizontal="center" vertical="center" wrapText="1"/>
    </xf>
    <xf numFmtId="0" fontId="13" fillId="63" borderId="36" xfId="0" applyFont="1" applyFill="1" applyBorder="1" applyAlignment="1">
      <alignment horizontal="center" vertical="center"/>
    </xf>
    <xf numFmtId="9" fontId="0" fillId="55" borderId="46" xfId="1" applyFont="1" applyFill="1" applyBorder="1" applyAlignment="1">
      <alignment horizontal="center" vertical="center"/>
    </xf>
    <xf numFmtId="169" fontId="0" fillId="55" borderId="23" xfId="0" applyNumberFormat="1" applyFill="1" applyBorder="1" applyAlignment="1">
      <alignment horizontal="center" vertical="center"/>
    </xf>
    <xf numFmtId="169" fontId="0" fillId="55" borderId="10" xfId="0" applyNumberFormat="1" applyFill="1" applyBorder="1" applyAlignment="1">
      <alignment horizontal="center" vertical="center"/>
    </xf>
    <xf numFmtId="169" fontId="0" fillId="55" borderId="49" xfId="0" applyNumberFormat="1" applyFill="1" applyBorder="1" applyAlignment="1">
      <alignment horizontal="center" vertical="center"/>
    </xf>
    <xf numFmtId="169" fontId="0" fillId="55" borderId="40" xfId="0" applyNumberFormat="1" applyFill="1" applyBorder="1" applyAlignment="1">
      <alignment horizontal="center" vertical="center"/>
    </xf>
    <xf numFmtId="9" fontId="0" fillId="69" borderId="46" xfId="1" applyFont="1" applyFill="1" applyBorder="1" applyAlignment="1">
      <alignment horizontal="center" vertical="center"/>
    </xf>
    <xf numFmtId="9" fontId="0" fillId="69" borderId="47" xfId="1" applyFont="1" applyFill="1" applyBorder="1" applyAlignment="1">
      <alignment horizontal="center" vertical="center"/>
    </xf>
    <xf numFmtId="9" fontId="0" fillId="71" borderId="46" xfId="1" applyFont="1" applyFill="1" applyBorder="1" applyAlignment="1">
      <alignment horizontal="center" vertical="center"/>
    </xf>
    <xf numFmtId="9" fontId="0" fillId="70" borderId="46" xfId="1" applyFont="1" applyFill="1" applyBorder="1" applyAlignment="1">
      <alignment horizontal="center" vertical="center"/>
    </xf>
    <xf numFmtId="0" fontId="47" fillId="63" borderId="27" xfId="0" applyFont="1" applyFill="1" applyBorder="1" applyAlignment="1">
      <alignment vertical="center" wrapText="1"/>
    </xf>
    <xf numFmtId="0" fontId="47" fillId="63" borderId="24" xfId="0" applyFont="1" applyFill="1" applyBorder="1" applyAlignment="1">
      <alignment vertical="center" wrapText="1"/>
    </xf>
    <xf numFmtId="0" fontId="47" fillId="63" borderId="25" xfId="0" applyFont="1" applyFill="1" applyBorder="1" applyAlignment="1">
      <alignment vertical="center" wrapText="1"/>
    </xf>
    <xf numFmtId="169" fontId="0" fillId="55" borderId="38" xfId="0" applyNumberFormat="1" applyFill="1" applyBorder="1" applyAlignment="1">
      <alignment horizontal="center" vertical="center"/>
    </xf>
    <xf numFmtId="0" fontId="0" fillId="59" borderId="72" xfId="0" applyFill="1" applyBorder="1" applyAlignment="1">
      <alignment horizontal="center" vertical="center" wrapText="1"/>
    </xf>
    <xf numFmtId="9" fontId="0" fillId="70" borderId="68" xfId="1" applyFont="1" applyFill="1" applyBorder="1" applyAlignment="1">
      <alignment horizontal="center" vertical="center"/>
    </xf>
    <xf numFmtId="169" fontId="0" fillId="55" borderId="74" xfId="0" applyNumberFormat="1" applyFill="1" applyBorder="1" applyAlignment="1">
      <alignment horizontal="center" vertical="center"/>
    </xf>
    <xf numFmtId="169" fontId="0" fillId="55" borderId="12" xfId="0" applyNumberFormat="1" applyFill="1" applyBorder="1" applyAlignment="1">
      <alignment horizontal="center" vertical="center"/>
    </xf>
    <xf numFmtId="9" fontId="0" fillId="70" borderId="45" xfId="1" applyFont="1" applyFill="1" applyBorder="1" applyAlignment="1">
      <alignment horizontal="center" vertical="center"/>
    </xf>
    <xf numFmtId="169" fontId="0" fillId="55" borderId="36" xfId="0" applyNumberFormat="1" applyFill="1" applyBorder="1" applyAlignment="1">
      <alignment horizontal="center" vertical="center"/>
    </xf>
    <xf numFmtId="169" fontId="0" fillId="55" borderId="37" xfId="0" applyNumberFormat="1" applyFill="1" applyBorder="1" applyAlignment="1">
      <alignment horizontal="center" vertical="center"/>
    </xf>
    <xf numFmtId="169" fontId="0" fillId="55" borderId="66" xfId="0" applyNumberFormat="1" applyFill="1" applyBorder="1" applyAlignment="1">
      <alignment horizontal="center" vertical="center"/>
    </xf>
    <xf numFmtId="0" fontId="0" fillId="64" borderId="72" xfId="0" applyFill="1" applyBorder="1" applyAlignment="1">
      <alignment horizontal="center" vertical="center" wrapText="1"/>
    </xf>
    <xf numFmtId="0" fontId="0" fillId="64" borderId="73" xfId="0" applyFill="1" applyBorder="1" applyAlignment="1">
      <alignment horizontal="center" vertical="center" wrapText="1"/>
    </xf>
    <xf numFmtId="0" fontId="0" fillId="64" borderId="76" xfId="0" applyFill="1" applyBorder="1" applyAlignment="1">
      <alignment horizontal="center" vertical="center" wrapText="1"/>
    </xf>
    <xf numFmtId="0" fontId="0" fillId="64" borderId="82" xfId="0" applyFill="1" applyBorder="1" applyAlignment="1">
      <alignment horizontal="center" vertical="center" wrapText="1"/>
    </xf>
    <xf numFmtId="169" fontId="0" fillId="55" borderId="65" xfId="0" applyNumberFormat="1" applyFill="1" applyBorder="1" applyAlignment="1">
      <alignment horizontal="center" vertical="center"/>
    </xf>
    <xf numFmtId="9" fontId="0" fillId="55" borderId="45" xfId="1" applyFont="1" applyFill="1" applyBorder="1" applyAlignment="1">
      <alignment horizontal="center" vertical="center"/>
    </xf>
    <xf numFmtId="0" fontId="0" fillId="60" borderId="80" xfId="0" applyFill="1" applyBorder="1" applyAlignment="1">
      <alignment horizontal="center" vertical="center" wrapText="1"/>
    </xf>
    <xf numFmtId="0" fontId="0" fillId="60" borderId="81" xfId="0" applyFill="1" applyBorder="1" applyAlignment="1">
      <alignment horizontal="center" vertical="center" wrapText="1"/>
    </xf>
    <xf numFmtId="0" fontId="0" fillId="61" borderId="72" xfId="0" applyFill="1" applyBorder="1" applyAlignment="1">
      <alignment horizontal="center" vertical="center" wrapText="1"/>
    </xf>
    <xf numFmtId="0" fontId="0" fillId="60" borderId="56" xfId="0" applyFill="1" applyBorder="1" applyAlignment="1">
      <alignment horizontal="center" vertical="center" wrapText="1"/>
    </xf>
    <xf numFmtId="0" fontId="0" fillId="60" borderId="57" xfId="0" applyFill="1" applyBorder="1" applyAlignment="1">
      <alignment horizontal="center" vertical="center" wrapText="1"/>
    </xf>
    <xf numFmtId="0" fontId="0" fillId="60" borderId="55" xfId="0" applyFill="1" applyBorder="1" applyAlignment="1">
      <alignment horizontal="center" vertical="center" wrapText="1"/>
    </xf>
    <xf numFmtId="0" fontId="0" fillId="59" borderId="76" xfId="0" applyFill="1" applyBorder="1" applyAlignment="1">
      <alignment horizontal="center" vertical="center" wrapText="1"/>
    </xf>
    <xf numFmtId="0" fontId="0" fillId="59" borderId="70" xfId="0" applyFill="1" applyBorder="1" applyAlignment="1">
      <alignment horizontal="center" vertical="center" wrapText="1"/>
    </xf>
    <xf numFmtId="0" fontId="0" fillId="59" borderId="82" xfId="0" applyFill="1" applyBorder="1" applyAlignment="1">
      <alignment horizontal="center" vertical="center" wrapText="1"/>
    </xf>
    <xf numFmtId="171" fontId="47" fillId="63" borderId="28" xfId="0" applyNumberFormat="1" applyFont="1" applyFill="1" applyBorder="1" applyAlignment="1">
      <alignment horizontal="center" vertical="top" wrapText="1"/>
    </xf>
    <xf numFmtId="171" fontId="47" fillId="63" borderId="26" xfId="0" applyNumberFormat="1" applyFont="1" applyFill="1" applyBorder="1" applyAlignment="1">
      <alignment horizontal="center" vertical="top" wrapText="1"/>
    </xf>
    <xf numFmtId="171" fontId="47" fillId="63" borderId="29" xfId="0" applyNumberFormat="1" applyFont="1" applyFill="1" applyBorder="1" applyAlignment="1">
      <alignment horizontal="center" vertical="top" wrapText="1"/>
    </xf>
    <xf numFmtId="0" fontId="0" fillId="61" borderId="71" xfId="0" applyFill="1" applyBorder="1" applyAlignment="1">
      <alignment horizontal="center" vertical="center" wrapText="1"/>
    </xf>
    <xf numFmtId="9" fontId="0" fillId="71" borderId="67" xfId="1" applyFont="1" applyFill="1" applyBorder="1" applyAlignment="1">
      <alignment horizontal="center" vertical="center"/>
    </xf>
    <xf numFmtId="0" fontId="18" fillId="59" borderId="30" xfId="0" applyFont="1" applyFill="1" applyBorder="1" applyAlignment="1">
      <alignment horizontal="center" vertical="center"/>
    </xf>
    <xf numFmtId="0" fontId="18" fillId="59" borderId="31" xfId="0" applyFont="1" applyFill="1" applyBorder="1" applyAlignment="1">
      <alignment horizontal="center" vertical="center"/>
    </xf>
    <xf numFmtId="0" fontId="18" fillId="59" borderId="32" xfId="0" applyFont="1" applyFill="1" applyBorder="1" applyAlignment="1">
      <alignment horizontal="center" vertical="center"/>
    </xf>
    <xf numFmtId="0" fontId="0" fillId="59" borderId="71" xfId="0" applyFill="1" applyBorder="1" applyAlignment="1">
      <alignment horizontal="center" vertical="center" wrapText="1"/>
    </xf>
    <xf numFmtId="9" fontId="0" fillId="69" borderId="67" xfId="1" applyFont="1" applyFill="1" applyBorder="1" applyAlignment="1">
      <alignment horizontal="center" vertical="center"/>
    </xf>
    <xf numFmtId="0" fontId="18" fillId="61" borderId="55" xfId="0" applyFont="1" applyFill="1" applyBorder="1" applyAlignment="1">
      <alignment horizontal="center" vertical="center"/>
    </xf>
    <xf numFmtId="0" fontId="18" fillId="61" borderId="56" xfId="0" applyFont="1" applyFill="1" applyBorder="1" applyAlignment="1">
      <alignment horizontal="center" vertical="center"/>
    </xf>
    <xf numFmtId="0" fontId="18" fillId="61" borderId="57" xfId="0" applyFont="1" applyFill="1" applyBorder="1" applyAlignment="1">
      <alignment horizontal="center" vertical="center"/>
    </xf>
    <xf numFmtId="0" fontId="0" fillId="61" borderId="73" xfId="0" applyFill="1" applyBorder="1" applyAlignment="1">
      <alignment horizontal="center" vertical="center" wrapText="1"/>
    </xf>
    <xf numFmtId="0" fontId="18" fillId="60" borderId="27" xfId="0" applyFont="1" applyFill="1" applyBorder="1" applyAlignment="1">
      <alignment horizontal="center" vertical="center"/>
    </xf>
    <xf numFmtId="0" fontId="18" fillId="60" borderId="69" xfId="0" applyFont="1" applyFill="1" applyBorder="1" applyAlignment="1">
      <alignment horizontal="center" vertical="center"/>
    </xf>
    <xf numFmtId="0" fontId="18" fillId="60" borderId="28" xfId="0" applyFont="1" applyFill="1" applyBorder="1" applyAlignment="1">
      <alignment horizontal="center" vertical="center"/>
    </xf>
    <xf numFmtId="0" fontId="18" fillId="64" borderId="55" xfId="0" applyFont="1" applyFill="1" applyBorder="1" applyAlignment="1">
      <alignment horizontal="center" vertical="center"/>
    </xf>
    <xf numFmtId="0" fontId="18" fillId="64" borderId="56" xfId="0" applyFont="1" applyFill="1" applyBorder="1" applyAlignment="1">
      <alignment horizontal="center" vertical="center"/>
    </xf>
    <xf numFmtId="0" fontId="18" fillId="64" borderId="57" xfId="0" applyFont="1" applyFill="1" applyBorder="1" applyAlignment="1">
      <alignment horizontal="center" vertical="center"/>
    </xf>
    <xf numFmtId="0" fontId="0" fillId="61" borderId="76" xfId="0" applyFill="1" applyBorder="1" applyAlignment="1">
      <alignment horizontal="center" vertical="center" wrapText="1"/>
    </xf>
    <xf numFmtId="0" fontId="0" fillId="61" borderId="82" xfId="0" applyFill="1" applyBorder="1" applyAlignment="1">
      <alignment horizontal="center" vertical="center" wrapText="1"/>
    </xf>
    <xf numFmtId="9" fontId="0" fillId="55" borderId="47" xfId="1" applyFont="1" applyFill="1" applyBorder="1" applyAlignment="1">
      <alignment horizontal="center" vertical="center"/>
    </xf>
    <xf numFmtId="169" fontId="0" fillId="55" borderId="39" xfId="0" applyNumberFormat="1" applyFill="1" applyBorder="1" applyAlignment="1">
      <alignment horizontal="center" vertical="center"/>
    </xf>
    <xf numFmtId="9" fontId="46" fillId="71" borderId="46" xfId="1" applyFont="1" applyFill="1" applyBorder="1" applyAlignment="1">
      <alignment horizontal="center" vertical="center"/>
    </xf>
    <xf numFmtId="0" fontId="16" fillId="55" borderId="65" xfId="0" applyFont="1" applyFill="1" applyBorder="1" applyAlignment="1">
      <alignment horizontal="center" vertical="center"/>
    </xf>
    <xf numFmtId="0" fontId="16" fillId="55" borderId="13" xfId="0" applyFont="1" applyFill="1" applyBorder="1" applyAlignment="1">
      <alignment horizontal="center" vertical="center"/>
    </xf>
    <xf numFmtId="0" fontId="16" fillId="55" borderId="12" xfId="0" applyFont="1" applyFill="1" applyBorder="1" applyAlignment="1">
      <alignment horizontal="center" vertical="center"/>
    </xf>
    <xf numFmtId="0" fontId="16" fillId="55" borderId="66" xfId="0" applyFont="1" applyFill="1" applyBorder="1" applyAlignment="1">
      <alignment horizontal="left" vertical="center"/>
    </xf>
    <xf numFmtId="0" fontId="16" fillId="55" borderId="44" xfId="0" applyFont="1" applyFill="1" applyBorder="1" applyAlignment="1">
      <alignment horizontal="left" vertical="center"/>
    </xf>
    <xf numFmtId="0" fontId="16" fillId="55" borderId="50" xfId="0" applyFont="1" applyFill="1" applyBorder="1" applyAlignment="1">
      <alignment horizontal="left" vertical="center"/>
    </xf>
    <xf numFmtId="14" fontId="16" fillId="55" borderId="65" xfId="0" applyNumberFormat="1" applyFont="1" applyFill="1" applyBorder="1" applyAlignment="1">
      <alignment horizontal="center" vertical="center"/>
    </xf>
    <xf numFmtId="14" fontId="16" fillId="55" borderId="13" xfId="0" applyNumberFormat="1" applyFont="1" applyFill="1" applyBorder="1" applyAlignment="1">
      <alignment horizontal="center" vertical="center"/>
    </xf>
    <xf numFmtId="14" fontId="16" fillId="55" borderId="12" xfId="0" applyNumberFormat="1" applyFont="1" applyFill="1" applyBorder="1" applyAlignment="1">
      <alignment horizontal="center" vertical="center"/>
    </xf>
    <xf numFmtId="167" fontId="47" fillId="63" borderId="27" xfId="0" applyNumberFormat="1" applyFont="1" applyFill="1" applyBorder="1" applyAlignment="1">
      <alignment horizontal="center"/>
    </xf>
    <xf numFmtId="167" fontId="47" fillId="63" borderId="24" xfId="0" applyNumberFormat="1" applyFont="1" applyFill="1" applyBorder="1" applyAlignment="1">
      <alignment horizontal="center"/>
    </xf>
    <xf numFmtId="167" fontId="47" fillId="63" borderId="25" xfId="0" applyNumberFormat="1" applyFont="1" applyFill="1" applyBorder="1" applyAlignment="1">
      <alignment horizontal="center"/>
    </xf>
    <xf numFmtId="171" fontId="13" fillId="63" borderId="28" xfId="0" applyNumberFormat="1" applyFont="1" applyFill="1" applyBorder="1" applyAlignment="1">
      <alignment horizontal="center"/>
    </xf>
    <xf numFmtId="171" fontId="13" fillId="63" borderId="26" xfId="0" applyNumberFormat="1" applyFont="1" applyFill="1" applyBorder="1" applyAlignment="1">
      <alignment horizontal="center"/>
    </xf>
    <xf numFmtId="171" fontId="13" fillId="63" borderId="29" xfId="0" applyNumberFormat="1" applyFont="1" applyFill="1" applyBorder="1" applyAlignment="1">
      <alignment horizontal="center"/>
    </xf>
    <xf numFmtId="0" fontId="16" fillId="55" borderId="42" xfId="0" applyFont="1" applyFill="1" applyBorder="1" applyAlignment="1">
      <alignment horizontal="center" vertical="center"/>
    </xf>
    <xf numFmtId="14" fontId="16" fillId="55" borderId="4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69" borderId="60" xfId="1" applyFont="1" applyFill="1" applyBorder="1" applyAlignment="1">
      <alignment horizontal="center" vertical="center"/>
    </xf>
    <xf numFmtId="9" fontId="0" fillId="69" borderId="61" xfId="1" applyFont="1" applyFill="1" applyBorder="1" applyAlignment="1">
      <alignment horizontal="center" vertical="center"/>
    </xf>
    <xf numFmtId="9" fontId="0" fillId="69" borderId="68" xfId="1" applyFont="1" applyFill="1" applyBorder="1" applyAlignment="1">
      <alignment horizontal="center" vertical="center"/>
    </xf>
    <xf numFmtId="0" fontId="16" fillId="55" borderId="43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16" fillId="5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55" borderId="83" xfId="0" applyFont="1" applyFill="1" applyBorder="1" applyAlignment="1">
      <alignment horizontal="left" vertical="center"/>
    </xf>
    <xf numFmtId="0" fontId="16" fillId="55" borderId="58" xfId="0" applyFont="1" applyFill="1" applyBorder="1" applyAlignment="1">
      <alignment horizontal="center" vertical="center"/>
    </xf>
    <xf numFmtId="14" fontId="16" fillId="55" borderId="5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9" fontId="0" fillId="0" borderId="67" xfId="1" applyFont="1" applyFill="1" applyBorder="1" applyAlignment="1">
      <alignment horizontal="center" vertical="center"/>
    </xf>
    <xf numFmtId="9" fontId="0" fillId="0" borderId="61" xfId="1" applyFont="1" applyFill="1" applyBorder="1" applyAlignment="1">
      <alignment horizontal="center" vertical="center"/>
    </xf>
    <xf numFmtId="9" fontId="0" fillId="0" borderId="59" xfId="1" applyFont="1" applyFill="1" applyBorder="1" applyAlignment="1">
      <alignment horizontal="center" vertical="center"/>
    </xf>
    <xf numFmtId="0" fontId="16" fillId="55" borderId="38" xfId="0" applyFont="1" applyFill="1" applyBorder="1" applyAlignment="1">
      <alignment horizontal="left" vertical="center"/>
    </xf>
    <xf numFmtId="14" fontId="16" fillId="55" borderId="10" xfId="0" applyNumberFormat="1" applyFont="1" applyFill="1" applyBorder="1" applyAlignment="1">
      <alignment horizontal="center" vertical="center"/>
    </xf>
    <xf numFmtId="0" fontId="0" fillId="68" borderId="12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9" fontId="0" fillId="0" borderId="68" xfId="1" applyFont="1" applyFill="1" applyBorder="1" applyAlignment="1">
      <alignment horizontal="center" vertical="center"/>
    </xf>
    <xf numFmtId="9" fontId="0" fillId="0" borderId="46" xfId="1" applyFont="1" applyFill="1" applyBorder="1" applyAlignment="1">
      <alignment horizontal="center" vertical="center"/>
    </xf>
    <xf numFmtId="0" fontId="0" fillId="68" borderId="62" xfId="0" applyFill="1" applyBorder="1" applyAlignment="1">
      <alignment horizontal="center" vertical="center"/>
    </xf>
    <xf numFmtId="0" fontId="0" fillId="68" borderId="63" xfId="0" applyFill="1" applyBorder="1" applyAlignment="1">
      <alignment horizontal="center" vertical="center"/>
    </xf>
    <xf numFmtId="0" fontId="0" fillId="68" borderId="54" xfId="0" applyFill="1" applyBorder="1" applyAlignment="1">
      <alignment horizontal="center" vertical="center"/>
    </xf>
    <xf numFmtId="0" fontId="53" fillId="59" borderId="27" xfId="0" applyFont="1" applyFill="1" applyBorder="1" applyAlignment="1">
      <alignment horizontal="center" vertical="center"/>
    </xf>
    <xf numFmtId="0" fontId="53" fillId="59" borderId="24" xfId="0" applyFont="1" applyFill="1" applyBorder="1" applyAlignment="1">
      <alignment horizontal="center" vertical="center"/>
    </xf>
    <xf numFmtId="0" fontId="53" fillId="59" borderId="25" xfId="0" applyFont="1" applyFill="1" applyBorder="1" applyAlignment="1">
      <alignment horizontal="center" vertical="center"/>
    </xf>
    <xf numFmtId="171" fontId="52" fillId="59" borderId="28" xfId="0" applyNumberFormat="1" applyFont="1" applyFill="1" applyBorder="1" applyAlignment="1">
      <alignment horizontal="center" vertical="top"/>
    </xf>
    <xf numFmtId="171" fontId="52" fillId="59" borderId="26" xfId="0" applyNumberFormat="1" applyFont="1" applyFill="1" applyBorder="1" applyAlignment="1">
      <alignment horizontal="center" vertical="top"/>
    </xf>
    <xf numFmtId="171" fontId="52" fillId="59" borderId="29" xfId="0" applyNumberFormat="1" applyFont="1" applyFill="1" applyBorder="1" applyAlignment="1">
      <alignment horizontal="center" vertical="top"/>
    </xf>
    <xf numFmtId="0" fontId="0" fillId="68" borderId="37" xfId="0" applyFill="1" applyBorder="1" applyAlignment="1">
      <alignment horizontal="center" vertical="center"/>
    </xf>
    <xf numFmtId="0" fontId="0" fillId="68" borderId="6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68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2" fillId="59" borderId="69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center" vertical="center"/>
    </xf>
    <xf numFmtId="0" fontId="52" fillId="59" borderId="70" xfId="0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9" fontId="0" fillId="0" borderId="47" xfId="1" applyFont="1" applyFill="1" applyBorder="1" applyAlignment="1">
      <alignment horizontal="center" vertical="center"/>
    </xf>
    <xf numFmtId="0" fontId="53" fillId="61" borderId="27" xfId="0" applyFont="1" applyFill="1" applyBorder="1" applyAlignment="1">
      <alignment horizontal="center" vertical="center"/>
    </xf>
    <xf numFmtId="0" fontId="53" fillId="61" borderId="24" xfId="0" applyFont="1" applyFill="1" applyBorder="1" applyAlignment="1">
      <alignment horizontal="center" vertical="center"/>
    </xf>
    <xf numFmtId="0" fontId="53" fillId="61" borderId="25" xfId="0" applyFont="1" applyFill="1" applyBorder="1" applyAlignment="1">
      <alignment horizontal="center" vertical="center"/>
    </xf>
    <xf numFmtId="0" fontId="52" fillId="61" borderId="69" xfId="0" applyFont="1" applyFill="1" applyBorder="1" applyAlignment="1">
      <alignment horizontal="center" vertical="center"/>
    </xf>
    <xf numFmtId="0" fontId="52" fillId="61" borderId="0" xfId="0" applyFont="1" applyFill="1" applyBorder="1" applyAlignment="1">
      <alignment horizontal="center" vertical="center"/>
    </xf>
    <xf numFmtId="0" fontId="52" fillId="61" borderId="70" xfId="0" applyFont="1" applyFill="1" applyBorder="1" applyAlignment="1">
      <alignment horizontal="center" vertical="center"/>
    </xf>
    <xf numFmtId="171" fontId="52" fillId="61" borderId="28" xfId="0" applyNumberFormat="1" applyFont="1" applyFill="1" applyBorder="1" applyAlignment="1">
      <alignment horizontal="center" vertical="center"/>
    </xf>
    <xf numFmtId="171" fontId="52" fillId="61" borderId="26" xfId="0" applyNumberFormat="1" applyFont="1" applyFill="1" applyBorder="1" applyAlignment="1">
      <alignment horizontal="center" vertical="center"/>
    </xf>
    <xf numFmtId="171" fontId="52" fillId="61" borderId="29" xfId="0" applyNumberFormat="1" applyFont="1" applyFill="1" applyBorder="1" applyAlignment="1">
      <alignment horizontal="center" vertical="center"/>
    </xf>
    <xf numFmtId="0" fontId="16" fillId="57" borderId="62" xfId="0" applyFont="1" applyFill="1" applyBorder="1" applyAlignment="1">
      <alignment horizontal="center" vertical="center"/>
    </xf>
    <xf numFmtId="0" fontId="16" fillId="57" borderId="63" xfId="0" applyFont="1" applyFill="1" applyBorder="1" applyAlignment="1">
      <alignment horizontal="center" vertical="center"/>
    </xf>
    <xf numFmtId="0" fontId="16" fillId="57" borderId="64" xfId="0" applyFont="1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Bueno" xfId="7" builtinId="26" customBuiltin="1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0"/>
  <tableStyles count="0" defaultTableStyle="TableStyleMedium9" defaultPivotStyle="PivotStyleLight16"/>
  <colors>
    <mruColors>
      <color rgb="FFFF3300"/>
      <color rgb="FFF4F7FA"/>
      <color rgb="FF7AF735"/>
      <color rgb="FFD5E9F7"/>
      <color rgb="FF9966FF"/>
      <color rgb="FF6699FF"/>
      <color rgb="FF6666FF"/>
      <color rgb="FF9900FF"/>
      <color rgb="FFCC00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K35"/>
  <sheetViews>
    <sheetView showGridLines="0" tabSelected="1" zoomScaleNormal="100" workbookViewId="0">
      <selection activeCell="C17" sqref="C17"/>
    </sheetView>
  </sheetViews>
  <sheetFormatPr baseColWidth="10" defaultColWidth="11.42578125" defaultRowHeight="15"/>
  <cols>
    <col min="1" max="1" width="42.5703125" style="26" customWidth="1"/>
    <col min="2" max="2" width="15.85546875" style="26" customWidth="1"/>
    <col min="3" max="3" width="19.28515625" style="26" customWidth="1"/>
    <col min="4" max="5" width="15.5703125" style="26" customWidth="1"/>
    <col min="6" max="6" width="18.140625" style="26" customWidth="1"/>
    <col min="7" max="7" width="14.28515625" style="26" customWidth="1"/>
    <col min="8" max="8" width="11.42578125" style="26"/>
    <col min="9" max="9" width="13" style="26" customWidth="1"/>
    <col min="10" max="11" width="11.42578125" style="26"/>
    <col min="12" max="12" width="95" style="26" customWidth="1"/>
    <col min="13" max="16384" width="11.42578125" style="26"/>
  </cols>
  <sheetData>
    <row r="1" spans="2:11" ht="28.5" customHeight="1" thickBot="1"/>
    <row r="2" spans="2:11" ht="27" customHeight="1">
      <c r="B2" s="262" t="s">
        <v>212</v>
      </c>
      <c r="C2" s="263"/>
      <c r="D2" s="263"/>
      <c r="E2" s="263"/>
      <c r="F2" s="263"/>
      <c r="G2" s="263"/>
      <c r="H2" s="263"/>
      <c r="I2" s="264"/>
    </row>
    <row r="3" spans="2:11" ht="27" customHeight="1" thickBot="1">
      <c r="B3" s="265">
        <v>43689</v>
      </c>
      <c r="C3" s="266"/>
      <c r="D3" s="266"/>
      <c r="E3" s="266"/>
      <c r="F3" s="266"/>
      <c r="G3" s="266"/>
      <c r="H3" s="266"/>
      <c r="I3" s="267"/>
    </row>
    <row r="4" spans="2:11" ht="15.75" thickBot="1">
      <c r="B4" s="268"/>
      <c r="C4" s="268"/>
      <c r="D4" s="268"/>
      <c r="E4" s="268"/>
      <c r="F4" s="268"/>
      <c r="G4" s="268"/>
      <c r="H4" s="268"/>
      <c r="I4" s="268"/>
    </row>
    <row r="5" spans="2:11" ht="30.75" thickBot="1">
      <c r="B5" s="29" t="s">
        <v>77</v>
      </c>
      <c r="C5" s="30" t="s">
        <v>76</v>
      </c>
      <c r="D5" s="31" t="s">
        <v>4</v>
      </c>
      <c r="E5" s="31" t="s">
        <v>3</v>
      </c>
      <c r="F5" s="31" t="s">
        <v>94</v>
      </c>
      <c r="G5" s="31" t="s">
        <v>95</v>
      </c>
      <c r="H5" s="32" t="s">
        <v>96</v>
      </c>
      <c r="I5" s="132" t="s">
        <v>97</v>
      </c>
      <c r="J5" s="27"/>
      <c r="K5" s="27"/>
    </row>
    <row r="6" spans="2:11">
      <c r="B6" s="256" t="s">
        <v>83</v>
      </c>
      <c r="C6" s="213" t="s">
        <v>34</v>
      </c>
      <c r="D6" s="208">
        <f>SUM('Cuota Artesanal'!E7+'Cuota Artesanal'!E8)</f>
        <v>1326</v>
      </c>
      <c r="E6" s="208">
        <f>'Cuota Artesanal'!F7+'Cuota Artesanal'!F8</f>
        <v>0</v>
      </c>
      <c r="F6" s="208">
        <f>SUM('Cuota Artesanal'!M7:M8)</f>
        <v>1326</v>
      </c>
      <c r="G6" s="208">
        <f>'Cuota Artesanal'!N7</f>
        <v>1.0940000000000001</v>
      </c>
      <c r="H6" s="233">
        <f>F6-G6</f>
        <v>1324.9059999999999</v>
      </c>
      <c r="I6" s="239">
        <f>G6/F6</f>
        <v>8.2503770739064859E-4</v>
      </c>
      <c r="J6" s="27"/>
      <c r="K6" s="27"/>
    </row>
    <row r="7" spans="2:11">
      <c r="B7" s="257"/>
      <c r="C7" s="214" t="s">
        <v>35</v>
      </c>
      <c r="D7" s="209">
        <f>SUM('Cuota Artesanal'!E10+'Cuota Artesanal'!E11)</f>
        <v>1326</v>
      </c>
      <c r="E7" s="209">
        <f>SUM('Cuota Artesanal'!F10+'Cuota Artesanal'!F11)</f>
        <v>0</v>
      </c>
      <c r="F7" s="137">
        <f>SUM('Cuota Artesanal'!M10:M11)</f>
        <v>1326</v>
      </c>
      <c r="G7" s="209">
        <f>'Cuota Artesanal'!N10</f>
        <v>32.582000000000001</v>
      </c>
      <c r="H7" s="234">
        <f t="shared" ref="H7:H26" si="0">F7-G7</f>
        <v>1293.4179999999999</v>
      </c>
      <c r="I7" s="240">
        <f t="shared" ref="I7:I26" si="1">G7/F7</f>
        <v>2.4571644042232277E-2</v>
      </c>
      <c r="J7" s="27"/>
      <c r="K7" s="27"/>
    </row>
    <row r="8" spans="2:11">
      <c r="B8" s="257"/>
      <c r="C8" s="214" t="s">
        <v>81</v>
      </c>
      <c r="D8" s="209">
        <f>'Cuota Artesanal'!E13</f>
        <v>150</v>
      </c>
      <c r="E8" s="209">
        <f>'Cuota Artesanal'!F13</f>
        <v>0</v>
      </c>
      <c r="F8" s="137">
        <f>'Cuota Artesanal'!M13</f>
        <v>150</v>
      </c>
      <c r="G8" s="209">
        <f>'Cuota Artesanal'!N13</f>
        <v>3.359</v>
      </c>
      <c r="H8" s="234">
        <f t="shared" si="0"/>
        <v>146.64099999999999</v>
      </c>
      <c r="I8" s="240">
        <f t="shared" si="1"/>
        <v>2.2393333333333335E-2</v>
      </c>
      <c r="J8" s="27"/>
      <c r="K8" s="27"/>
    </row>
    <row r="9" spans="2:11">
      <c r="B9" s="257"/>
      <c r="C9" s="214" t="s">
        <v>36</v>
      </c>
      <c r="D9" s="209">
        <f>SUM('Cuota Artesanal'!E15+'Cuota Artesanal'!E16)</f>
        <v>3531</v>
      </c>
      <c r="E9" s="137">
        <f>SUM('Cuota Artesanal'!F15+'Cuota Artesanal'!F16)</f>
        <v>0</v>
      </c>
      <c r="F9" s="137">
        <f>'Cuota Artesanal'!M15</f>
        <v>3531</v>
      </c>
      <c r="G9" s="209">
        <f>'Cuota Artesanal'!N15</f>
        <v>3217.8240000000001</v>
      </c>
      <c r="H9" s="234">
        <f t="shared" si="0"/>
        <v>313.17599999999993</v>
      </c>
      <c r="I9" s="240">
        <f t="shared" si="1"/>
        <v>0.91130671197960922</v>
      </c>
      <c r="J9" s="27"/>
      <c r="K9" s="27"/>
    </row>
    <row r="10" spans="2:11">
      <c r="B10" s="257"/>
      <c r="C10" s="214" t="s">
        <v>73</v>
      </c>
      <c r="D10" s="209">
        <f>SUM('Cuota Artesanal'!E18+'Cuota Artesanal'!E19+'Cuota Artesanal'!E20+'Cuota Artesanal'!E21+'Cuota Artesanal'!E22+'Cuota Artesanal'!E23)</f>
        <v>8241.0010000000002</v>
      </c>
      <c r="E10" s="209">
        <f>SUM('Cuota Artesanal'!F18+'Cuota Artesanal'!F19+'Cuota Artesanal'!F20+'Cuota Artesanal'!F21+'Cuota Artesanal'!F22+'Cuota Artesanal'!F23)</f>
        <v>-2200</v>
      </c>
      <c r="F10" s="137">
        <f>SUM('Cuota Artesanal'!M18+'Cuota Artesanal'!M20+'Cuota Artesanal'!M22)</f>
        <v>6041.0010000000002</v>
      </c>
      <c r="G10" s="209">
        <f>SUM('Cuota Artesanal'!N18+'Cuota Artesanal'!N20+'Cuota Artesanal'!N22)</f>
        <v>3397.9239999999995</v>
      </c>
      <c r="H10" s="234">
        <f t="shared" si="0"/>
        <v>2643.0770000000007</v>
      </c>
      <c r="I10" s="240">
        <f t="shared" si="1"/>
        <v>0.5624769802223174</v>
      </c>
      <c r="J10" s="27"/>
      <c r="K10" s="27"/>
    </row>
    <row r="11" spans="2:11">
      <c r="B11" s="257"/>
      <c r="C11" s="214" t="s">
        <v>44</v>
      </c>
      <c r="D11" s="209">
        <f>SUM('Cuota Artesanal'!E25+'Cuota Artesanal'!E26+'Cuota Artesanal'!E27+'Cuota Artesanal'!E28+'Cuota Artesanal'!E29+'Cuota Artesanal'!E30+'Cuota Artesanal'!E31+'Cuota Artesanal'!E32+'Cuota Artesanal'!E33+'Cuota Artesanal'!E34)</f>
        <v>3780.0000000000005</v>
      </c>
      <c r="E11" s="209">
        <f>SUM('Cuota Artesanal'!F25+'Cuota Artesanal'!F26+'Cuota Artesanal'!F27+'Cuota Artesanal'!F28+'Cuota Artesanal'!F29+'Cuota Artesanal'!F30+'Cuota Artesanal'!F31+'Cuota Artesanal'!F32+'Cuota Artesanal'!F33+'Cuota Artesanal'!F34)</f>
        <v>-3029</v>
      </c>
      <c r="F11" s="137">
        <f>SUM('Cuota Artesanal'!M25+'Cuota Artesanal'!M27+'Cuota Artesanal'!M29+'Cuota Artesanal'!M31+'Cuota Artesanal'!M33)</f>
        <v>751.00000000000034</v>
      </c>
      <c r="G11" s="209">
        <f>SUM('Cuota Artesanal'!N25+'Cuota Artesanal'!N27+'Cuota Artesanal'!N29+'Cuota Artesanal'!N31+'Cuota Artesanal'!N33)</f>
        <v>171.04599999999999</v>
      </c>
      <c r="H11" s="234">
        <f t="shared" si="0"/>
        <v>579.95400000000041</v>
      </c>
      <c r="I11" s="240">
        <f t="shared" si="1"/>
        <v>0.22775765645805582</v>
      </c>
      <c r="J11" s="27"/>
      <c r="K11" s="27"/>
    </row>
    <row r="12" spans="2:11">
      <c r="B12" s="257"/>
      <c r="C12" s="214" t="s">
        <v>74</v>
      </c>
      <c r="D12" s="209">
        <f>SUM('Cuota Artesanal'!E36+'Cuota Artesanal'!E37)</f>
        <v>4</v>
      </c>
      <c r="E12" s="209">
        <f>SUM('Cuota Artesanal'!F36+'Cuota Artesanal'!F37)</f>
        <v>0</v>
      </c>
      <c r="F12" s="137">
        <f>'Cuota Artesanal'!M36</f>
        <v>4</v>
      </c>
      <c r="G12" s="209">
        <f>'Cuota Artesanal'!N36</f>
        <v>9.7769999999999992</v>
      </c>
      <c r="H12" s="234">
        <f t="shared" si="0"/>
        <v>-5.7769999999999992</v>
      </c>
      <c r="I12" s="240">
        <f t="shared" si="1"/>
        <v>2.4442499999999998</v>
      </c>
      <c r="J12" s="27"/>
      <c r="K12" s="27"/>
    </row>
    <row r="13" spans="2:11">
      <c r="B13" s="257"/>
      <c r="C13" s="214" t="s">
        <v>87</v>
      </c>
      <c r="D13" s="209">
        <f>'Cuota Artesanal'!E39+'Cuota Artesanal'!E40</f>
        <v>127</v>
      </c>
      <c r="E13" s="209">
        <f>SUM('Cuota Artesanal'!F39+'Cuota Artesanal'!F40)</f>
        <v>0</v>
      </c>
      <c r="F13" s="137">
        <f>'Cuota Artesanal'!M39</f>
        <v>127</v>
      </c>
      <c r="G13" s="209">
        <f>'Cuota Artesanal'!N39</f>
        <v>130.959</v>
      </c>
      <c r="H13" s="234">
        <f t="shared" si="0"/>
        <v>-3.9590000000000032</v>
      </c>
      <c r="I13" s="240">
        <f t="shared" si="1"/>
        <v>1.0311732283464567</v>
      </c>
      <c r="J13" s="27"/>
      <c r="K13" s="27"/>
    </row>
    <row r="14" spans="2:11">
      <c r="B14" s="257"/>
      <c r="C14" s="214" t="s">
        <v>88</v>
      </c>
      <c r="D14" s="209">
        <f>SUM('Cuota Artesanal'!E42+'Cuota Artesanal'!E43)</f>
        <v>8266</v>
      </c>
      <c r="E14" s="209">
        <f>SUM('Cuota Artesanal'!F42+'Cuota Artesanal'!F43)</f>
        <v>0</v>
      </c>
      <c r="F14" s="137">
        <f>'Cuota Artesanal'!M42</f>
        <v>8266</v>
      </c>
      <c r="G14" s="209">
        <f>'Cuota Artesanal'!N42</f>
        <v>9375.7250000000004</v>
      </c>
      <c r="H14" s="234">
        <f t="shared" si="0"/>
        <v>-1109.7250000000004</v>
      </c>
      <c r="I14" s="240">
        <f t="shared" si="1"/>
        <v>1.1342517541737238</v>
      </c>
      <c r="J14" s="27"/>
      <c r="K14" s="27"/>
    </row>
    <row r="15" spans="2:11">
      <c r="B15" s="257"/>
      <c r="C15" s="214" t="s">
        <v>45</v>
      </c>
      <c r="D15" s="209">
        <f>SUM('Cuota Artesanal'!E45+'Cuota Artesanal'!E46)</f>
        <v>44</v>
      </c>
      <c r="E15" s="209">
        <f>SUM('Cuota Artesanal'!F45+'Cuota Artesanal'!F469)</f>
        <v>0</v>
      </c>
      <c r="F15" s="137">
        <f>SUM('Cuota Artesanal'!M45)</f>
        <v>44</v>
      </c>
      <c r="G15" s="209">
        <f>'Cuota Artesanal'!N45</f>
        <v>5.5309999999999997</v>
      </c>
      <c r="H15" s="234">
        <f t="shared" si="0"/>
        <v>38.469000000000001</v>
      </c>
      <c r="I15" s="240">
        <f t="shared" si="1"/>
        <v>0.12570454545454546</v>
      </c>
      <c r="J15" s="27"/>
      <c r="K15" s="27"/>
    </row>
    <row r="16" spans="2:11">
      <c r="B16" s="257"/>
      <c r="C16" s="214" t="s">
        <v>46</v>
      </c>
      <c r="D16" s="209">
        <f>'Cuota Artesanal'!E48+'Cuota Artesanal'!E49</f>
        <v>967</v>
      </c>
      <c r="E16" s="209">
        <f>SUM('Cuota Artesanal'!F48+'Cuota Artesanal'!F49)</f>
        <v>0</v>
      </c>
      <c r="F16" s="137">
        <f>'Cuota Artesanal'!M48</f>
        <v>967</v>
      </c>
      <c r="G16" s="209">
        <f>'Cuota Artesanal'!H48+'Cuota Artesanal'!H49</f>
        <v>856.42399999999998</v>
      </c>
      <c r="H16" s="234">
        <f t="shared" si="0"/>
        <v>110.57600000000002</v>
      </c>
      <c r="I16" s="240">
        <f>G16/F16</f>
        <v>0.8856504653567735</v>
      </c>
      <c r="J16" s="27"/>
      <c r="K16" s="27"/>
    </row>
    <row r="17" spans="2:11">
      <c r="B17" s="257"/>
      <c r="C17" s="214" t="s">
        <v>75</v>
      </c>
      <c r="D17" s="209">
        <f>SUM('Cuota Artesanal'!E51+'Cuota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Artesanal'!E66+'Cuota Artesanal'!E67+'Cuota Artesanal'!E68)</f>
        <v>6468.0000000000009</v>
      </c>
      <c r="E17" s="209">
        <f>SUM('Cuota Artesanal'!F51+'Cuota Artesanal'!F52+'Cuota Artesanal'!F53++'Cuota Artesanal'!F54+'Cuota Artesanal'!F55+'Cuota Artesanal'!F56+'Cuota Artesanal'!F57+'Cuota Artesanal'!F58+'Cuota Artesanal'!F59+'Cuota Artesanal'!F60+'Cuota Artesanal'!F61+'Cuota Artesanal'!F62+'Cuota Artesanal'!F63+'Cuota Artesanal'!F64+'Cuota Artesanal'!F65+'Cuota Artesanal'!F66+'Cuota Artesanal'!F67+'Cuota Artesanal'!F68)</f>
        <v>-5884.9100000000008</v>
      </c>
      <c r="F17" s="137">
        <f>SUM('Cuota Artesanal'!M51+'Cuota Artesanal'!M53+'Cuota Artesanal'!M55+'Cuota Artesanal'!M57+'Cuota Artesanal'!M59+'Cuota Artesanal'!M61+'Cuota Artesanal'!M63+'Cuota Artesanal'!M65+'Cuota Artesanal'!M67)</f>
        <v>583.09000000000026</v>
      </c>
      <c r="G17" s="209">
        <f>SUM('Cuota Artesanal'!N51+'Cuota Artesanal'!N53+'Cuota Artesanal'!N55+'Cuota Artesanal'!N57+'Cuota Artesanal'!N59+'Cuota Artesanal'!N61+'Cuota Artesanal'!N63+'Cuota Artesanal'!N65+'Cuota Artesanal'!N67)</f>
        <v>138.24700000000001</v>
      </c>
      <c r="H17" s="234">
        <f t="shared" si="0"/>
        <v>444.84300000000025</v>
      </c>
      <c r="I17" s="240">
        <f>G17/F17</f>
        <v>0.23709375911094335</v>
      </c>
      <c r="J17" s="27"/>
      <c r="K17" s="27"/>
    </row>
    <row r="18" spans="2:11">
      <c r="B18" s="257"/>
      <c r="C18" s="214" t="s">
        <v>82</v>
      </c>
      <c r="D18" s="137">
        <f>'Cuota Artesanal'!E72</f>
        <v>327</v>
      </c>
      <c r="E18" s="209">
        <f>SUM('Cuota Artesanal'!F72)</f>
        <v>0</v>
      </c>
      <c r="F18" s="137">
        <f>'Cuota Artesanal'!M72</f>
        <v>327</v>
      </c>
      <c r="G18" s="209">
        <f>'Cuota Artesanal'!N72</f>
        <v>4.085</v>
      </c>
      <c r="H18" s="234">
        <f t="shared" si="0"/>
        <v>322.91500000000002</v>
      </c>
      <c r="I18" s="240">
        <f t="shared" si="1"/>
        <v>1.2492354740061162E-2</v>
      </c>
      <c r="J18" s="27"/>
      <c r="K18" s="27"/>
    </row>
    <row r="19" spans="2:11">
      <c r="B19" s="257"/>
      <c r="C19" s="214" t="s">
        <v>93</v>
      </c>
      <c r="D19" s="137">
        <f>'Cuota Artesanal'!E74</f>
        <v>153</v>
      </c>
      <c r="E19" s="209">
        <f>SUM('Cuota Artesanal'!F74)</f>
        <v>0</v>
      </c>
      <c r="F19" s="137">
        <f>'Cuota Artesanal'!M74</f>
        <v>153</v>
      </c>
      <c r="G19" s="209">
        <f>'Cuota Artesanal'!N74</f>
        <v>39.484000000000002</v>
      </c>
      <c r="H19" s="234">
        <f t="shared" si="0"/>
        <v>113.51599999999999</v>
      </c>
      <c r="I19" s="240">
        <f t="shared" si="1"/>
        <v>0.25806535947712417</v>
      </c>
      <c r="J19" s="27"/>
      <c r="K19" s="27"/>
    </row>
    <row r="20" spans="2:11">
      <c r="B20" s="257"/>
      <c r="C20" s="214" t="s">
        <v>84</v>
      </c>
      <c r="D20" s="137">
        <v>3815</v>
      </c>
      <c r="E20" s="137">
        <v>0</v>
      </c>
      <c r="F20" s="137">
        <f t="shared" ref="F20:F26" si="2">D20+E20</f>
        <v>3815</v>
      </c>
      <c r="G20" s="209">
        <v>0</v>
      </c>
      <c r="H20" s="234">
        <f>F20-G20</f>
        <v>3815</v>
      </c>
      <c r="I20" s="240">
        <f t="shared" si="1"/>
        <v>0</v>
      </c>
      <c r="J20" s="27"/>
      <c r="K20" s="27"/>
    </row>
    <row r="21" spans="2:11">
      <c r="B21" s="257"/>
      <c r="C21" s="216" t="s">
        <v>216</v>
      </c>
      <c r="D21" s="138">
        <v>200</v>
      </c>
      <c r="E21" s="138"/>
      <c r="F21" s="138"/>
      <c r="G21" s="235"/>
      <c r="H21" s="236"/>
      <c r="I21" s="241"/>
      <c r="J21" s="27"/>
      <c r="K21" s="27"/>
    </row>
    <row r="22" spans="2:11" ht="15.75" thickBot="1">
      <c r="B22" s="258"/>
      <c r="C22" s="215" t="s">
        <v>85</v>
      </c>
      <c r="D22" s="139">
        <v>3815</v>
      </c>
      <c r="E22" s="139">
        <v>0</v>
      </c>
      <c r="F22" s="139">
        <f t="shared" si="2"/>
        <v>3815</v>
      </c>
      <c r="G22" s="237">
        <f>'Consumo Humano'!D8</f>
        <v>3230.7889999999998</v>
      </c>
      <c r="H22" s="238">
        <f t="shared" si="0"/>
        <v>584.21100000000024</v>
      </c>
      <c r="I22" s="242">
        <f t="shared" si="1"/>
        <v>0.84686474442988202</v>
      </c>
      <c r="J22" s="27"/>
      <c r="K22" s="27"/>
    </row>
    <row r="23" spans="2:11">
      <c r="B23" s="259" t="s">
        <v>78</v>
      </c>
      <c r="C23" s="213" t="s">
        <v>63</v>
      </c>
      <c r="D23" s="136">
        <f>SUM('Cuota Industrial'!E6:E25)</f>
        <v>53236.006999999998</v>
      </c>
      <c r="E23" s="136">
        <f>SUM('Cuota Industrial'!F6:F25)</f>
        <v>-38245.083000000006</v>
      </c>
      <c r="F23" s="136">
        <f>D23+E23</f>
        <v>14990.923999999992</v>
      </c>
      <c r="G23" s="208">
        <f>SUM('Cuota Industrial'!H6:H25)</f>
        <v>1815.048</v>
      </c>
      <c r="H23" s="233">
        <f t="shared" si="0"/>
        <v>13175.875999999991</v>
      </c>
      <c r="I23" s="239">
        <f t="shared" si="1"/>
        <v>0.12107645932965846</v>
      </c>
      <c r="J23" s="27"/>
      <c r="K23" s="27"/>
    </row>
    <row r="24" spans="2:11">
      <c r="B24" s="260"/>
      <c r="C24" s="214" t="s">
        <v>79</v>
      </c>
      <c r="D24" s="137">
        <f>SUM('Cuota Industrial'!E26:E57)</f>
        <v>11235.004000000001</v>
      </c>
      <c r="E24" s="137">
        <f>SUM('Cuota Industrial'!F26:F57)</f>
        <v>-10531.447</v>
      </c>
      <c r="F24" s="137">
        <f t="shared" si="2"/>
        <v>703.5570000000007</v>
      </c>
      <c r="G24" s="209">
        <f>SUM('Cuota Industrial'!H26:H57)</f>
        <v>0</v>
      </c>
      <c r="H24" s="234">
        <f t="shared" si="0"/>
        <v>703.5570000000007</v>
      </c>
      <c r="I24" s="240">
        <f t="shared" si="1"/>
        <v>0</v>
      </c>
      <c r="J24" s="27"/>
      <c r="K24" s="27"/>
    </row>
    <row r="25" spans="2:11">
      <c r="B25" s="260"/>
      <c r="C25" s="214" t="s">
        <v>80</v>
      </c>
      <c r="D25" s="137">
        <f>SUM('Cuota Industrial'!E58:E91)</f>
        <v>241000.024</v>
      </c>
      <c r="E25" s="137">
        <f>SUM('Cuota Industrial'!F58:F91)</f>
        <v>86248.110000000015</v>
      </c>
      <c r="F25" s="137">
        <f t="shared" si="2"/>
        <v>327248.13400000002</v>
      </c>
      <c r="G25" s="209">
        <f>SUM('Cuota Industrial'!H58:H91)</f>
        <v>318419.14599999995</v>
      </c>
      <c r="H25" s="234">
        <f t="shared" si="0"/>
        <v>8828.9880000000703</v>
      </c>
      <c r="I25" s="240">
        <f t="shared" si="1"/>
        <v>0.97302050926285777</v>
      </c>
      <c r="J25" s="27"/>
      <c r="K25" s="27"/>
    </row>
    <row r="26" spans="2:11" ht="15.75" thickBot="1">
      <c r="B26" s="261"/>
      <c r="C26" s="215" t="s">
        <v>86</v>
      </c>
      <c r="D26" s="139">
        <f>SUM('Cuota Industrial'!E92:E123)</f>
        <v>33560.999000000003</v>
      </c>
      <c r="E26" s="139">
        <f>SUM('Cuota Industrial'!F92:F123)</f>
        <v>-26598.67</v>
      </c>
      <c r="F26" s="139">
        <f t="shared" si="2"/>
        <v>6962.3290000000052</v>
      </c>
      <c r="G26" s="237">
        <f>SUM('Cuota Industrial'!H92:H123)</f>
        <v>6140.3809999999994</v>
      </c>
      <c r="H26" s="238">
        <f t="shared" si="0"/>
        <v>821.94800000000578</v>
      </c>
      <c r="I26" s="242">
        <f t="shared" si="1"/>
        <v>0.88194352780513463</v>
      </c>
      <c r="J26" s="27"/>
      <c r="K26" s="27"/>
    </row>
    <row r="27" spans="2:11" hidden="1">
      <c r="B27" s="27"/>
      <c r="C27" s="27"/>
      <c r="D27" s="28">
        <f>SUM(D6:D26)</f>
        <v>381572.03500000003</v>
      </c>
      <c r="E27" s="27">
        <f>SUM(E6:E26)</f>
        <v>-240.99999999998545</v>
      </c>
      <c r="F27" s="27"/>
      <c r="G27" s="27"/>
      <c r="H27" s="27"/>
      <c r="I27" s="49">
        <v>1</v>
      </c>
      <c r="J27" s="27"/>
      <c r="K27" s="27"/>
    </row>
    <row r="28" spans="2:11">
      <c r="B28" s="27"/>
      <c r="C28" s="27"/>
      <c r="D28" s="27"/>
      <c r="E28" s="28">
        <f>SUM(E6:E26)</f>
        <v>-240.99999999998545</v>
      </c>
      <c r="F28" s="27"/>
      <c r="G28" s="27"/>
      <c r="H28" s="27"/>
      <c r="I28" s="27"/>
      <c r="J28" s="27"/>
      <c r="K28" s="27"/>
    </row>
    <row r="29" spans="2:11">
      <c r="B29" s="141" t="s">
        <v>220</v>
      </c>
      <c r="C29" s="27"/>
      <c r="D29" s="28"/>
      <c r="E29" s="27"/>
      <c r="F29" s="27"/>
      <c r="G29" s="27"/>
      <c r="H29" s="27"/>
      <c r="I29" s="27"/>
      <c r="J29" s="27"/>
      <c r="K29" s="27"/>
    </row>
    <row r="35" ht="63" customHeight="1"/>
  </sheetData>
  <mergeCells count="5">
    <mergeCell ref="B6:B22"/>
    <mergeCell ref="B23:B26"/>
    <mergeCell ref="B2:I2"/>
    <mergeCell ref="B3:I3"/>
    <mergeCell ref="B4:I4"/>
  </mergeCells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Q85"/>
  <sheetViews>
    <sheetView topLeftCell="B49" zoomScale="90" zoomScaleNormal="90" workbookViewId="0">
      <selection activeCell="H74" activeCellId="14" sqref="H7 H10 H13 H15 H18:H22 H25:H33 H36 H39 H42 H45 H53 H55 H67 H72 H74"/>
    </sheetView>
  </sheetViews>
  <sheetFormatPr baseColWidth="10" defaultColWidth="11.42578125" defaultRowHeight="15"/>
  <cols>
    <col min="1" max="1" width="11.42578125" style="33"/>
    <col min="2" max="2" width="30.28515625" style="33" customWidth="1"/>
    <col min="3" max="3" width="32.7109375" style="33" customWidth="1"/>
    <col min="4" max="5" width="11.42578125" style="33"/>
    <col min="6" max="6" width="25" style="33" customWidth="1"/>
    <col min="7" max="9" width="11.42578125" style="33"/>
    <col min="10" max="10" width="17" style="33" customWidth="1"/>
    <col min="11" max="11" width="13.140625" style="33" customWidth="1"/>
    <col min="12" max="12" width="14.85546875" style="33" customWidth="1"/>
    <col min="13" max="13" width="12.85546875" style="33" customWidth="1"/>
    <col min="14" max="15" width="11.42578125" style="33"/>
    <col min="16" max="16" width="16.5703125" style="33" customWidth="1"/>
    <col min="17" max="17" width="16" style="33" bestFit="1" customWidth="1"/>
    <col min="18" max="18" width="36.85546875" style="33" customWidth="1"/>
    <col min="19" max="16384" width="11.42578125" style="33"/>
  </cols>
  <sheetData>
    <row r="1" spans="2:17" ht="15.75" thickBot="1"/>
    <row r="2" spans="2:17" ht="26.25" customHeight="1">
      <c r="B2" s="302" t="s">
        <v>219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4"/>
    </row>
    <row r="3" spans="2:17" ht="24" customHeight="1" thickBot="1">
      <c r="B3" s="265">
        <f>Resumen!B3</f>
        <v>43689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7"/>
    </row>
    <row r="4" spans="2:17" ht="42" customHeight="1" thickBot="1"/>
    <row r="5" spans="2:17" ht="16.5" customHeight="1">
      <c r="B5" s="281" t="s">
        <v>32</v>
      </c>
      <c r="C5" s="279" t="s">
        <v>37</v>
      </c>
      <c r="D5" s="288" t="s">
        <v>89</v>
      </c>
      <c r="E5" s="289"/>
      <c r="F5" s="289"/>
      <c r="G5" s="289"/>
      <c r="H5" s="289"/>
      <c r="I5" s="289"/>
      <c r="J5" s="290"/>
      <c r="K5" s="305" t="s">
        <v>70</v>
      </c>
      <c r="L5" s="289"/>
      <c r="M5" s="289"/>
      <c r="N5" s="289"/>
      <c r="O5" s="289"/>
      <c r="P5" s="290"/>
      <c r="Q5" s="291" t="s">
        <v>92</v>
      </c>
    </row>
    <row r="6" spans="2:17" ht="47.25">
      <c r="B6" s="282"/>
      <c r="C6" s="280"/>
      <c r="D6" s="106" t="s">
        <v>6</v>
      </c>
      <c r="E6" s="105" t="s">
        <v>4</v>
      </c>
      <c r="F6" s="105" t="s">
        <v>3</v>
      </c>
      <c r="G6" s="105" t="s">
        <v>2</v>
      </c>
      <c r="H6" s="105" t="s">
        <v>1</v>
      </c>
      <c r="I6" s="105" t="s">
        <v>0</v>
      </c>
      <c r="J6" s="108" t="s">
        <v>5</v>
      </c>
      <c r="K6" s="111" t="s">
        <v>4</v>
      </c>
      <c r="L6" s="105" t="s">
        <v>3</v>
      </c>
      <c r="M6" s="105" t="s">
        <v>2</v>
      </c>
      <c r="N6" s="105" t="s">
        <v>1</v>
      </c>
      <c r="O6" s="105" t="s">
        <v>0</v>
      </c>
      <c r="P6" s="108" t="s">
        <v>5</v>
      </c>
      <c r="Q6" s="292"/>
    </row>
    <row r="7" spans="2:17" ht="15" customHeight="1">
      <c r="B7" s="283" t="s">
        <v>62</v>
      </c>
      <c r="C7" s="270" t="s">
        <v>33</v>
      </c>
      <c r="D7" s="107" t="s">
        <v>7</v>
      </c>
      <c r="E7" s="201">
        <v>1260</v>
      </c>
      <c r="F7" s="76"/>
      <c r="G7" s="76">
        <f>E7+F7</f>
        <v>1260</v>
      </c>
      <c r="H7" s="53">
        <v>1.0940000000000001</v>
      </c>
      <c r="I7" s="76">
        <f>G7-H7</f>
        <v>1258.9059999999999</v>
      </c>
      <c r="J7" s="21">
        <f>H7/G7</f>
        <v>8.6825396825396836E-4</v>
      </c>
      <c r="K7" s="276">
        <f>E7+E8</f>
        <v>1326</v>
      </c>
      <c r="L7" s="275">
        <f>F7+F8</f>
        <v>0</v>
      </c>
      <c r="M7" s="275">
        <f>K7+L7</f>
        <v>1326</v>
      </c>
      <c r="N7" s="275">
        <f>H7+H8</f>
        <v>1.0940000000000001</v>
      </c>
      <c r="O7" s="275">
        <f>M7-N7</f>
        <v>1324.9059999999999</v>
      </c>
      <c r="P7" s="273">
        <f>N7/M7</f>
        <v>8.2503770739064859E-4</v>
      </c>
      <c r="Q7" s="109" t="s">
        <v>154</v>
      </c>
    </row>
    <row r="8" spans="2:17" ht="15" customHeight="1" thickBot="1">
      <c r="B8" s="284"/>
      <c r="C8" s="286"/>
      <c r="D8" s="12" t="s">
        <v>8</v>
      </c>
      <c r="E8" s="200">
        <v>66</v>
      </c>
      <c r="F8" s="77"/>
      <c r="G8" s="77">
        <f>E8+F8+I7</f>
        <v>1324.9059999999999</v>
      </c>
      <c r="H8" s="143"/>
      <c r="I8" s="77">
        <f t="shared" ref="I8:I68" si="0">G8-H8</f>
        <v>1324.9059999999999</v>
      </c>
      <c r="J8" s="19">
        <f>H8/G8</f>
        <v>0</v>
      </c>
      <c r="K8" s="277"/>
      <c r="L8" s="287"/>
      <c r="M8" s="287"/>
      <c r="N8" s="287"/>
      <c r="O8" s="287"/>
      <c r="P8" s="278"/>
      <c r="Q8" s="110" t="s">
        <v>154</v>
      </c>
    </row>
    <row r="9" spans="2:17" ht="15.95" customHeight="1" thickBot="1">
      <c r="B9" s="34"/>
      <c r="C9" s="35"/>
      <c r="D9" s="36"/>
      <c r="E9" s="36"/>
      <c r="F9" s="36"/>
      <c r="G9" s="36"/>
      <c r="H9" s="36"/>
      <c r="I9" s="36"/>
      <c r="J9" s="37"/>
      <c r="K9" s="36"/>
      <c r="P9" s="38"/>
      <c r="Q9" s="52"/>
    </row>
    <row r="10" spans="2:17">
      <c r="B10" s="285" t="s">
        <v>61</v>
      </c>
      <c r="C10" s="269" t="s">
        <v>38</v>
      </c>
      <c r="D10" s="6" t="s">
        <v>7</v>
      </c>
      <c r="E10" s="199">
        <v>1260</v>
      </c>
      <c r="F10" s="5"/>
      <c r="G10" s="5">
        <f>E10+F10</f>
        <v>1260</v>
      </c>
      <c r="H10" s="252">
        <v>32.582000000000001</v>
      </c>
      <c r="I10" s="5">
        <f>G10-H10</f>
        <v>1227.4179999999999</v>
      </c>
      <c r="J10" s="18">
        <f>H10/G10</f>
        <v>2.5858730158730161E-2</v>
      </c>
      <c r="K10" s="293">
        <f>E10+E11</f>
        <v>1326</v>
      </c>
      <c r="L10" s="274">
        <f>F10+F11</f>
        <v>0</v>
      </c>
      <c r="M10" s="274">
        <f>K10+L10</f>
        <v>1326</v>
      </c>
      <c r="N10" s="274">
        <f>H10+H11</f>
        <v>32.582000000000001</v>
      </c>
      <c r="O10" s="274">
        <f>M10-N10</f>
        <v>1293.4179999999999</v>
      </c>
      <c r="P10" s="294">
        <f>N10/M10</f>
        <v>2.4571644042232277E-2</v>
      </c>
      <c r="Q10" s="112" t="s">
        <v>154</v>
      </c>
    </row>
    <row r="11" spans="2:17" ht="15.75" thickBot="1">
      <c r="B11" s="284"/>
      <c r="C11" s="286"/>
      <c r="D11" s="2" t="s">
        <v>8</v>
      </c>
      <c r="E11" s="200">
        <v>66</v>
      </c>
      <c r="F11" s="77"/>
      <c r="G11" s="77">
        <f>E11+F11+I10</f>
        <v>1293.4179999999999</v>
      </c>
      <c r="H11" s="143"/>
      <c r="I11" s="77">
        <f>G11-H11</f>
        <v>1293.4179999999999</v>
      </c>
      <c r="J11" s="19">
        <f>H11/G11</f>
        <v>0</v>
      </c>
      <c r="K11" s="277"/>
      <c r="L11" s="287"/>
      <c r="M11" s="287"/>
      <c r="N11" s="287"/>
      <c r="O11" s="287"/>
      <c r="P11" s="278"/>
      <c r="Q11" s="82" t="s">
        <v>154</v>
      </c>
    </row>
    <row r="12" spans="2:17" ht="15.95" customHeight="1" thickBot="1">
      <c r="B12" s="34"/>
      <c r="C12" s="35"/>
      <c r="D12" s="36"/>
      <c r="E12" s="36"/>
      <c r="F12" s="36"/>
      <c r="G12" s="36"/>
      <c r="H12" s="36"/>
      <c r="I12" s="36"/>
      <c r="J12" s="37"/>
      <c r="K12" s="36"/>
      <c r="P12" s="38"/>
      <c r="Q12" s="52"/>
    </row>
    <row r="13" spans="2:17" ht="15.75" thickBot="1">
      <c r="B13" s="7" t="s">
        <v>63</v>
      </c>
      <c r="C13" s="15" t="s">
        <v>64</v>
      </c>
      <c r="D13" s="10" t="s">
        <v>65</v>
      </c>
      <c r="E13" s="8">
        <v>150</v>
      </c>
      <c r="F13" s="9"/>
      <c r="G13" s="9">
        <f>E13+F13</f>
        <v>150</v>
      </c>
      <c r="H13" s="253">
        <v>3.359</v>
      </c>
      <c r="I13" s="9">
        <f>G13-H13</f>
        <v>146.64099999999999</v>
      </c>
      <c r="J13" s="20">
        <f>H13/G13</f>
        <v>2.2393333333333335E-2</v>
      </c>
      <c r="K13" s="23">
        <f>E13</f>
        <v>150</v>
      </c>
      <c r="L13" s="24">
        <f>F13</f>
        <v>0</v>
      </c>
      <c r="M13" s="24">
        <f>K13+L13</f>
        <v>150</v>
      </c>
      <c r="N13" s="24">
        <f>H13</f>
        <v>3.359</v>
      </c>
      <c r="O13" s="24">
        <f>M13-N13</f>
        <v>146.64099999999999</v>
      </c>
      <c r="P13" s="25">
        <f>N13/M13</f>
        <v>2.2393333333333335E-2</v>
      </c>
      <c r="Q13" s="61" t="s">
        <v>154</v>
      </c>
    </row>
    <row r="14" spans="2:17" ht="33.950000000000003" customHeight="1" thickBot="1">
      <c r="B14" s="34"/>
      <c r="C14" s="35"/>
      <c r="D14" s="36"/>
      <c r="E14" s="36"/>
      <c r="F14" s="36"/>
      <c r="G14" s="36"/>
      <c r="H14" s="36"/>
      <c r="I14" s="36"/>
      <c r="J14" s="37"/>
      <c r="K14" s="36"/>
      <c r="P14" s="38"/>
      <c r="Q14" s="52"/>
    </row>
    <row r="15" spans="2:17" ht="15.75" thickBot="1">
      <c r="B15" s="285" t="s">
        <v>69</v>
      </c>
      <c r="C15" s="269" t="s">
        <v>38</v>
      </c>
      <c r="D15" s="6" t="s">
        <v>246</v>
      </c>
      <c r="E15" s="199">
        <v>3531</v>
      </c>
      <c r="F15" s="115"/>
      <c r="G15" s="5">
        <f>E15+F15</f>
        <v>3531</v>
      </c>
      <c r="H15" s="252">
        <v>3217.8240000000001</v>
      </c>
      <c r="I15" s="5">
        <f>G15-H15</f>
        <v>313.17599999999993</v>
      </c>
      <c r="J15" s="18">
        <f>H15/G15</f>
        <v>0.91130671197960922</v>
      </c>
      <c r="K15" s="293">
        <f>E15+E16</f>
        <v>3531</v>
      </c>
      <c r="L15" s="274">
        <f>F15+F16</f>
        <v>0</v>
      </c>
      <c r="M15" s="274">
        <f>K15+L15</f>
        <v>3531</v>
      </c>
      <c r="N15" s="274">
        <f>H15+H16</f>
        <v>3217.8240000000001</v>
      </c>
      <c r="O15" s="274">
        <f>M15-N15</f>
        <v>313.17599999999993</v>
      </c>
      <c r="P15" s="294">
        <f>N15/M15</f>
        <v>0.91130671197960922</v>
      </c>
      <c r="Q15" s="197" t="s">
        <v>154</v>
      </c>
    </row>
    <row r="16" spans="2:17" ht="15.75" thickBot="1">
      <c r="B16" s="284"/>
      <c r="C16" s="286"/>
      <c r="D16" s="2"/>
      <c r="E16" s="200">
        <v>0</v>
      </c>
      <c r="F16" s="116"/>
      <c r="G16" s="77"/>
      <c r="H16" s="175"/>
      <c r="I16" s="77"/>
      <c r="J16" s="19"/>
      <c r="K16" s="277"/>
      <c r="L16" s="287"/>
      <c r="M16" s="287"/>
      <c r="N16" s="287"/>
      <c r="O16" s="287"/>
      <c r="P16" s="278"/>
      <c r="Q16" s="82" t="s">
        <v>154</v>
      </c>
    </row>
    <row r="17" spans="2:17" ht="33.950000000000003" customHeight="1" thickBot="1">
      <c r="B17" s="39"/>
      <c r="C17" s="35"/>
      <c r="D17" s="36"/>
      <c r="E17" s="36"/>
      <c r="F17" s="36"/>
      <c r="G17" s="36"/>
      <c r="H17" s="36"/>
      <c r="I17" s="36"/>
      <c r="J17" s="37"/>
      <c r="K17" s="36"/>
      <c r="P17" s="38"/>
      <c r="Q17" s="52"/>
    </row>
    <row r="18" spans="2:17">
      <c r="B18" s="285" t="s">
        <v>60</v>
      </c>
      <c r="C18" s="269" t="s">
        <v>39</v>
      </c>
      <c r="D18" s="6" t="s">
        <v>185</v>
      </c>
      <c r="E18" s="126">
        <v>1154.201</v>
      </c>
      <c r="F18" s="5"/>
      <c r="G18" s="5">
        <f>E18+F18</f>
        <v>1154.201</v>
      </c>
      <c r="H18" s="252">
        <v>68.831999999999994</v>
      </c>
      <c r="I18" s="5">
        <f t="shared" si="0"/>
        <v>1085.3690000000001</v>
      </c>
      <c r="J18" s="18">
        <f t="shared" ref="J18:J23" si="1">H18/G18</f>
        <v>5.9636059923704791E-2</v>
      </c>
      <c r="K18" s="293">
        <f>E18+E19</f>
        <v>1214.941</v>
      </c>
      <c r="L18" s="274">
        <f>F18+F19</f>
        <v>0</v>
      </c>
      <c r="M18" s="274">
        <f>K18+L18</f>
        <v>1214.941</v>
      </c>
      <c r="N18" s="274">
        <f>H18+H19</f>
        <v>68.831999999999994</v>
      </c>
      <c r="O18" s="274">
        <f>M18-N18</f>
        <v>1146.1089999999999</v>
      </c>
      <c r="P18" s="294">
        <f>N18/M18</f>
        <v>5.6654602980720871E-2</v>
      </c>
      <c r="Q18" s="112" t="s">
        <v>154</v>
      </c>
    </row>
    <row r="19" spans="2:17">
      <c r="B19" s="283"/>
      <c r="C19" s="270"/>
      <c r="D19" s="1" t="s">
        <v>186</v>
      </c>
      <c r="E19" s="127">
        <v>60.74</v>
      </c>
      <c r="F19" s="76"/>
      <c r="G19" s="76">
        <f>E19+F19+I18</f>
        <v>1146.1090000000002</v>
      </c>
      <c r="H19" s="53"/>
      <c r="I19" s="76">
        <f t="shared" si="0"/>
        <v>1146.1090000000002</v>
      </c>
      <c r="J19" s="21">
        <f t="shared" si="1"/>
        <v>0</v>
      </c>
      <c r="K19" s="276"/>
      <c r="L19" s="275"/>
      <c r="M19" s="275"/>
      <c r="N19" s="275"/>
      <c r="O19" s="275"/>
      <c r="P19" s="273"/>
      <c r="Q19" s="81" t="s">
        <v>154</v>
      </c>
    </row>
    <row r="20" spans="2:17">
      <c r="B20" s="283"/>
      <c r="C20" s="270" t="s">
        <v>40</v>
      </c>
      <c r="D20" s="1" t="s">
        <v>185</v>
      </c>
      <c r="E20" s="127">
        <v>5303.6490000000003</v>
      </c>
      <c r="F20" s="117">
        <f>-2200</f>
        <v>-2200</v>
      </c>
      <c r="G20" s="76">
        <f>E20+F20</f>
        <v>3103.6490000000003</v>
      </c>
      <c r="H20" s="53">
        <v>3004.7689999999998</v>
      </c>
      <c r="I20" s="76">
        <f t="shared" si="0"/>
        <v>98.880000000000564</v>
      </c>
      <c r="J20" s="21">
        <f t="shared" si="1"/>
        <v>0.96814072725362932</v>
      </c>
      <c r="K20" s="276">
        <f>E20+E21</f>
        <v>5582.7530000000006</v>
      </c>
      <c r="L20" s="275">
        <f>F20+F21</f>
        <v>-2200</v>
      </c>
      <c r="M20" s="275">
        <f>K20+L20</f>
        <v>3382.7530000000006</v>
      </c>
      <c r="N20" s="275">
        <f>H20+H21</f>
        <v>3004.7689999999998</v>
      </c>
      <c r="O20" s="275">
        <f>M20-N20</f>
        <v>377.98400000000083</v>
      </c>
      <c r="P20" s="273">
        <f>N20/M20</f>
        <v>0.88826142493998206</v>
      </c>
      <c r="Q20" s="81" t="s">
        <v>154</v>
      </c>
    </row>
    <row r="21" spans="2:17">
      <c r="B21" s="283"/>
      <c r="C21" s="270"/>
      <c r="D21" s="1" t="s">
        <v>186</v>
      </c>
      <c r="E21" s="127">
        <v>279.10399999999998</v>
      </c>
      <c r="F21" s="76"/>
      <c r="G21" s="76">
        <f>E21+F21+I20</f>
        <v>377.98400000000055</v>
      </c>
      <c r="H21" s="53"/>
      <c r="I21" s="76">
        <f t="shared" si="0"/>
        <v>377.98400000000055</v>
      </c>
      <c r="J21" s="21">
        <f t="shared" si="1"/>
        <v>0</v>
      </c>
      <c r="K21" s="276"/>
      <c r="L21" s="275"/>
      <c r="M21" s="275"/>
      <c r="N21" s="275"/>
      <c r="O21" s="275"/>
      <c r="P21" s="273"/>
      <c r="Q21" s="81" t="s">
        <v>154</v>
      </c>
    </row>
    <row r="22" spans="2:17">
      <c r="B22" s="283"/>
      <c r="C22" s="270" t="s">
        <v>41</v>
      </c>
      <c r="D22" s="1" t="s">
        <v>185</v>
      </c>
      <c r="E22" s="63">
        <v>1371.15</v>
      </c>
      <c r="F22" s="76"/>
      <c r="G22" s="76">
        <f>E22+F22</f>
        <v>1371.15</v>
      </c>
      <c r="H22" s="53">
        <v>324.32299999999998</v>
      </c>
      <c r="I22" s="76">
        <f t="shared" si="0"/>
        <v>1046.8270000000002</v>
      </c>
      <c r="J22" s="21">
        <f t="shared" si="1"/>
        <v>0.23653356671407211</v>
      </c>
      <c r="K22" s="276">
        <f>E22+E23</f>
        <v>1443.307</v>
      </c>
      <c r="L22" s="275">
        <f>F22+F23</f>
        <v>0</v>
      </c>
      <c r="M22" s="275">
        <f>K22+L22</f>
        <v>1443.307</v>
      </c>
      <c r="N22" s="275">
        <f>H22+H23</f>
        <v>324.32299999999998</v>
      </c>
      <c r="O22" s="275">
        <f>M22-N22</f>
        <v>1118.9839999999999</v>
      </c>
      <c r="P22" s="273">
        <f>N22/M22</f>
        <v>0.22470825680191392</v>
      </c>
      <c r="Q22" s="81" t="s">
        <v>154</v>
      </c>
    </row>
    <row r="23" spans="2:17" ht="15.75" thickBot="1">
      <c r="B23" s="284"/>
      <c r="C23" s="286"/>
      <c r="D23" s="2" t="s">
        <v>186</v>
      </c>
      <c r="E23" s="128">
        <v>72.156999999999996</v>
      </c>
      <c r="F23" s="77"/>
      <c r="G23" s="77">
        <f>E23+F23+I22</f>
        <v>1118.9840000000002</v>
      </c>
      <c r="H23" s="212"/>
      <c r="I23" s="77">
        <f t="shared" si="0"/>
        <v>1118.9840000000002</v>
      </c>
      <c r="J23" s="19">
        <f t="shared" si="1"/>
        <v>0</v>
      </c>
      <c r="K23" s="277"/>
      <c r="L23" s="287"/>
      <c r="M23" s="287"/>
      <c r="N23" s="287"/>
      <c r="O23" s="287"/>
      <c r="P23" s="278"/>
      <c r="Q23" s="82" t="s">
        <v>154</v>
      </c>
    </row>
    <row r="24" spans="2:17" ht="33.950000000000003" customHeight="1" thickBot="1">
      <c r="B24" s="34"/>
      <c r="C24" s="35"/>
      <c r="D24" s="36"/>
      <c r="E24" s="36"/>
      <c r="F24" s="36"/>
      <c r="G24" s="36"/>
      <c r="H24" s="36"/>
      <c r="I24" s="36"/>
      <c r="J24" s="37"/>
      <c r="K24" s="36"/>
      <c r="P24" s="38"/>
      <c r="Q24" s="52"/>
    </row>
    <row r="25" spans="2:17">
      <c r="B25" s="285" t="s">
        <v>59</v>
      </c>
      <c r="C25" s="269" t="s">
        <v>42</v>
      </c>
      <c r="D25" s="11" t="s">
        <v>7</v>
      </c>
      <c r="E25" s="5">
        <v>3017.0590000000002</v>
      </c>
      <c r="F25" s="115">
        <f>-2900</f>
        <v>-2900</v>
      </c>
      <c r="G25" s="5">
        <f>E25+F25</f>
        <v>117.0590000000002</v>
      </c>
      <c r="H25" s="252">
        <v>43.725000000000001</v>
      </c>
      <c r="I25" s="5">
        <f t="shared" si="0"/>
        <v>73.334000000000202</v>
      </c>
      <c r="J25" s="18">
        <f>H25/G25</f>
        <v>0.37352958764383709</v>
      </c>
      <c r="K25" s="293">
        <f>E25+E26</f>
        <v>3175.8520000000003</v>
      </c>
      <c r="L25" s="274">
        <f>F25+F26</f>
        <v>-2900</v>
      </c>
      <c r="M25" s="274">
        <f>K25+L25</f>
        <v>275.85200000000032</v>
      </c>
      <c r="N25" s="274">
        <f>H25+H26</f>
        <v>43.725000000000001</v>
      </c>
      <c r="O25" s="274">
        <f>M25-N25</f>
        <v>232.12700000000032</v>
      </c>
      <c r="P25" s="294">
        <f>N25/M25</f>
        <v>0.15850891057523581</v>
      </c>
      <c r="Q25" s="112" t="s">
        <v>154</v>
      </c>
    </row>
    <row r="26" spans="2:17">
      <c r="B26" s="283"/>
      <c r="C26" s="270"/>
      <c r="D26" s="107" t="s">
        <v>8</v>
      </c>
      <c r="E26" s="76">
        <v>158.79300000000001</v>
      </c>
      <c r="F26" s="76"/>
      <c r="G26" s="76">
        <f>E26+F26+I25</f>
        <v>232.12700000000021</v>
      </c>
      <c r="H26" s="53"/>
      <c r="I26" s="76">
        <f t="shared" si="0"/>
        <v>232.12700000000021</v>
      </c>
      <c r="J26" s="21">
        <f t="shared" ref="J26:J34" si="2">H26/G26</f>
        <v>0</v>
      </c>
      <c r="K26" s="276"/>
      <c r="L26" s="275"/>
      <c r="M26" s="275"/>
      <c r="N26" s="275"/>
      <c r="O26" s="275"/>
      <c r="P26" s="273"/>
      <c r="Q26" s="81" t="s">
        <v>154</v>
      </c>
    </row>
    <row r="27" spans="2:17">
      <c r="B27" s="283"/>
      <c r="C27" s="270" t="s">
        <v>210</v>
      </c>
      <c r="D27" s="107" t="s">
        <v>7</v>
      </c>
      <c r="E27" s="76">
        <v>49.655000000000001</v>
      </c>
      <c r="F27" s="76">
        <f>-50</f>
        <v>-50</v>
      </c>
      <c r="G27" s="76">
        <f>E27+F27</f>
        <v>-0.34499999999999886</v>
      </c>
      <c r="H27" s="53"/>
      <c r="I27" s="76">
        <f t="shared" si="0"/>
        <v>-0.34499999999999886</v>
      </c>
      <c r="J27" s="21">
        <f>H27/G27</f>
        <v>0</v>
      </c>
      <c r="K27" s="276">
        <f>E27+E28</f>
        <v>52.268000000000001</v>
      </c>
      <c r="L27" s="275">
        <f>F27+F28</f>
        <v>-50</v>
      </c>
      <c r="M27" s="275">
        <f>K27+L27</f>
        <v>2.2680000000000007</v>
      </c>
      <c r="N27" s="275">
        <f>H27+H28</f>
        <v>0</v>
      </c>
      <c r="O27" s="275">
        <f>M27-N27</f>
        <v>2.2680000000000007</v>
      </c>
      <c r="P27" s="273">
        <f>N27/M27</f>
        <v>0</v>
      </c>
      <c r="Q27" s="81" t="s">
        <v>154</v>
      </c>
    </row>
    <row r="28" spans="2:17">
      <c r="B28" s="283"/>
      <c r="C28" s="270"/>
      <c r="D28" s="107" t="s">
        <v>8</v>
      </c>
      <c r="E28" s="76">
        <v>2.613</v>
      </c>
      <c r="F28" s="76"/>
      <c r="G28" s="76">
        <f>E28+F28+I27</f>
        <v>2.2680000000000011</v>
      </c>
      <c r="H28" s="53"/>
      <c r="I28" s="76">
        <f t="shared" si="0"/>
        <v>2.2680000000000011</v>
      </c>
      <c r="J28" s="21">
        <f t="shared" si="2"/>
        <v>0</v>
      </c>
      <c r="K28" s="276"/>
      <c r="L28" s="275"/>
      <c r="M28" s="275"/>
      <c r="N28" s="275"/>
      <c r="O28" s="275"/>
      <c r="P28" s="273"/>
      <c r="Q28" s="81" t="s">
        <v>154</v>
      </c>
    </row>
    <row r="29" spans="2:17">
      <c r="B29" s="283"/>
      <c r="C29" s="270" t="s">
        <v>209</v>
      </c>
      <c r="D29" s="107" t="s">
        <v>7</v>
      </c>
      <c r="E29" s="76">
        <v>39.500999999999998</v>
      </c>
      <c r="F29" s="76"/>
      <c r="G29" s="76">
        <f>E29+F29</f>
        <v>39.500999999999998</v>
      </c>
      <c r="H29" s="142">
        <v>11.18</v>
      </c>
      <c r="I29" s="76">
        <f t="shared" si="0"/>
        <v>28.320999999999998</v>
      </c>
      <c r="J29" s="21">
        <f t="shared" si="2"/>
        <v>0.28303080934659886</v>
      </c>
      <c r="K29" s="276">
        <f>E29+E30</f>
        <v>41.58</v>
      </c>
      <c r="L29" s="275">
        <f>F29+F30</f>
        <v>0</v>
      </c>
      <c r="M29" s="275">
        <f>K29+L29</f>
        <v>41.58</v>
      </c>
      <c r="N29" s="275">
        <f>H29+H30</f>
        <v>11.18</v>
      </c>
      <c r="O29" s="275">
        <f>M29-N29</f>
        <v>30.4</v>
      </c>
      <c r="P29" s="273">
        <f>N29/M29</f>
        <v>0.26887926887926888</v>
      </c>
      <c r="Q29" s="81" t="s">
        <v>154</v>
      </c>
    </row>
    <row r="30" spans="2:17">
      <c r="B30" s="283"/>
      <c r="C30" s="270"/>
      <c r="D30" s="107" t="s">
        <v>8</v>
      </c>
      <c r="E30" s="117">
        <v>2.0790000000000002</v>
      </c>
      <c r="F30" s="76"/>
      <c r="G30" s="76">
        <f>E30+F30+I29</f>
        <v>30.4</v>
      </c>
      <c r="H30" s="53"/>
      <c r="I30" s="76">
        <f t="shared" si="0"/>
        <v>30.4</v>
      </c>
      <c r="J30" s="21">
        <f t="shared" si="2"/>
        <v>0</v>
      </c>
      <c r="K30" s="276"/>
      <c r="L30" s="275"/>
      <c r="M30" s="275"/>
      <c r="N30" s="275"/>
      <c r="O30" s="275"/>
      <c r="P30" s="273"/>
      <c r="Q30" s="81" t="s">
        <v>154</v>
      </c>
    </row>
    <row r="31" spans="2:17">
      <c r="B31" s="283"/>
      <c r="C31" s="270" t="s">
        <v>43</v>
      </c>
      <c r="D31" s="107" t="s">
        <v>7</v>
      </c>
      <c r="E31" s="76">
        <v>75.411000000000001</v>
      </c>
      <c r="F31" s="76">
        <f>-79</f>
        <v>-79</v>
      </c>
      <c r="G31" s="76">
        <f>E31+F31</f>
        <v>-3.5889999999999986</v>
      </c>
      <c r="H31" s="53"/>
      <c r="I31" s="76">
        <f t="shared" si="0"/>
        <v>-3.5889999999999986</v>
      </c>
      <c r="J31" s="21">
        <f t="shared" si="2"/>
        <v>0</v>
      </c>
      <c r="K31" s="276">
        <f>E31+E32</f>
        <v>79.38</v>
      </c>
      <c r="L31" s="275">
        <f>F31+F32</f>
        <v>-79</v>
      </c>
      <c r="M31" s="275">
        <f>K31+L31</f>
        <v>0.37999999999999545</v>
      </c>
      <c r="N31" s="275">
        <f>H31+H32</f>
        <v>0</v>
      </c>
      <c r="O31" s="275">
        <f>M31-N31</f>
        <v>0.37999999999999545</v>
      </c>
      <c r="P31" s="273">
        <f>N31/M31</f>
        <v>0</v>
      </c>
      <c r="Q31" s="81" t="s">
        <v>154</v>
      </c>
    </row>
    <row r="32" spans="2:17">
      <c r="B32" s="283"/>
      <c r="C32" s="270"/>
      <c r="D32" s="107" t="s">
        <v>8</v>
      </c>
      <c r="E32" s="76">
        <v>3.9689999999999999</v>
      </c>
      <c r="F32" s="76"/>
      <c r="G32" s="76">
        <f>E32+F32+I31</f>
        <v>0.38000000000000123</v>
      </c>
      <c r="H32" s="53"/>
      <c r="I32" s="76">
        <f t="shared" si="0"/>
        <v>0.38000000000000123</v>
      </c>
      <c r="J32" s="21">
        <f t="shared" si="2"/>
        <v>0</v>
      </c>
      <c r="K32" s="276"/>
      <c r="L32" s="275"/>
      <c r="M32" s="275"/>
      <c r="N32" s="275"/>
      <c r="O32" s="275"/>
      <c r="P32" s="273"/>
      <c r="Q32" s="81" t="s">
        <v>154</v>
      </c>
    </row>
    <row r="33" spans="2:17">
      <c r="B33" s="283"/>
      <c r="C33" s="295" t="s">
        <v>41</v>
      </c>
      <c r="D33" s="107" t="s">
        <v>7</v>
      </c>
      <c r="E33" s="117">
        <v>409.37400000000002</v>
      </c>
      <c r="F33" s="76"/>
      <c r="G33" s="76">
        <f>E33+F33</f>
        <v>409.37400000000002</v>
      </c>
      <c r="H33" s="53">
        <v>116.14100000000001</v>
      </c>
      <c r="I33" s="76">
        <f t="shared" si="0"/>
        <v>293.233</v>
      </c>
      <c r="J33" s="21">
        <f t="shared" si="2"/>
        <v>0.28370389912402838</v>
      </c>
      <c r="K33" s="276">
        <f>E33+E34</f>
        <v>430.92</v>
      </c>
      <c r="L33" s="275">
        <f>F33+F34</f>
        <v>0</v>
      </c>
      <c r="M33" s="275">
        <f>K33+L33</f>
        <v>430.92</v>
      </c>
      <c r="N33" s="275">
        <f>H33+H34</f>
        <v>116.14100000000001</v>
      </c>
      <c r="O33" s="275">
        <f>M33-N33</f>
        <v>314.779</v>
      </c>
      <c r="P33" s="273">
        <f>N33/M33</f>
        <v>0.26951870416782697</v>
      </c>
      <c r="Q33" s="81" t="s">
        <v>154</v>
      </c>
    </row>
    <row r="34" spans="2:17" ht="15.75" thickBot="1">
      <c r="B34" s="284"/>
      <c r="C34" s="272"/>
      <c r="D34" s="12" t="s">
        <v>8</v>
      </c>
      <c r="E34" s="77">
        <v>21.545999999999999</v>
      </c>
      <c r="F34" s="77"/>
      <c r="G34" s="77">
        <f>E34+F34+I33</f>
        <v>314.779</v>
      </c>
      <c r="H34" s="246"/>
      <c r="I34" s="77">
        <f t="shared" si="0"/>
        <v>314.779</v>
      </c>
      <c r="J34" s="19">
        <f t="shared" si="2"/>
        <v>0</v>
      </c>
      <c r="K34" s="277"/>
      <c r="L34" s="287"/>
      <c r="M34" s="287"/>
      <c r="N34" s="287"/>
      <c r="O34" s="287"/>
      <c r="P34" s="278"/>
      <c r="Q34" s="82" t="s">
        <v>154</v>
      </c>
    </row>
    <row r="35" spans="2:17" ht="33.950000000000003" customHeight="1" thickBot="1">
      <c r="B35" s="34"/>
      <c r="C35" s="40"/>
      <c r="D35" s="36"/>
      <c r="E35" s="36"/>
      <c r="F35" s="36"/>
      <c r="G35" s="36"/>
      <c r="H35" s="36"/>
      <c r="I35" s="36"/>
      <c r="J35" s="37"/>
      <c r="K35" s="36"/>
      <c r="P35" s="38"/>
      <c r="Q35" s="52"/>
    </row>
    <row r="36" spans="2:17" ht="15.75" thickBot="1">
      <c r="B36" s="285" t="s">
        <v>58</v>
      </c>
      <c r="C36" s="271" t="s">
        <v>38</v>
      </c>
      <c r="D36" s="6" t="s">
        <v>7</v>
      </c>
      <c r="E36" s="199">
        <v>3</v>
      </c>
      <c r="F36" s="5"/>
      <c r="G36" s="5">
        <f>E36+F36</f>
        <v>3</v>
      </c>
      <c r="H36" s="252">
        <v>9.7769999999999992</v>
      </c>
      <c r="I36" s="5">
        <f t="shared" si="0"/>
        <v>-6.7769999999999992</v>
      </c>
      <c r="J36" s="18">
        <f>H36/G36</f>
        <v>3.2589999999999999</v>
      </c>
      <c r="K36" s="296">
        <f>E36+E37</f>
        <v>4</v>
      </c>
      <c r="L36" s="274">
        <f>F36+F37</f>
        <v>0</v>
      </c>
      <c r="M36" s="274">
        <f>K36+L36</f>
        <v>4</v>
      </c>
      <c r="N36" s="274">
        <f>H36+H37</f>
        <v>9.7769999999999992</v>
      </c>
      <c r="O36" s="274">
        <f>M36-N36</f>
        <v>-5.7769999999999992</v>
      </c>
      <c r="P36" s="298">
        <f>N36/M36</f>
        <v>2.4442499999999998</v>
      </c>
      <c r="Q36" s="197">
        <v>43624</v>
      </c>
    </row>
    <row r="37" spans="2:17" ht="15.75" thickBot="1">
      <c r="B37" s="284"/>
      <c r="C37" s="272"/>
      <c r="D37" s="2" t="s">
        <v>8</v>
      </c>
      <c r="E37" s="200">
        <v>1</v>
      </c>
      <c r="F37" s="77"/>
      <c r="G37" s="77">
        <f>E37+F37+I36</f>
        <v>-5.7769999999999992</v>
      </c>
      <c r="H37" s="140"/>
      <c r="I37" s="77">
        <f t="shared" si="0"/>
        <v>-5.7769999999999992</v>
      </c>
      <c r="J37" s="19">
        <f>H37/G37</f>
        <v>0</v>
      </c>
      <c r="K37" s="297"/>
      <c r="L37" s="287"/>
      <c r="M37" s="287"/>
      <c r="N37" s="287"/>
      <c r="O37" s="287"/>
      <c r="P37" s="299"/>
      <c r="Q37" s="60" t="s">
        <v>154</v>
      </c>
    </row>
    <row r="38" spans="2:17" ht="33.950000000000003" customHeight="1" thickBot="1">
      <c r="B38" s="34"/>
      <c r="C38" s="40"/>
      <c r="D38" s="36"/>
      <c r="E38" s="36"/>
      <c r="F38" s="36"/>
      <c r="G38" s="36"/>
      <c r="H38" s="36"/>
      <c r="I38" s="36"/>
      <c r="J38" s="37"/>
      <c r="K38" s="36"/>
      <c r="P38" s="38"/>
      <c r="Q38" s="52"/>
    </row>
    <row r="39" spans="2:17" ht="15.75" thickBot="1">
      <c r="B39" s="285" t="s">
        <v>57</v>
      </c>
      <c r="C39" s="271" t="s">
        <v>38</v>
      </c>
      <c r="D39" s="11" t="s">
        <v>7</v>
      </c>
      <c r="E39" s="199">
        <v>121</v>
      </c>
      <c r="F39" s="5"/>
      <c r="G39" s="5">
        <f>E39+F39</f>
        <v>121</v>
      </c>
      <c r="H39" s="252">
        <v>130.959</v>
      </c>
      <c r="I39" s="5">
        <f t="shared" si="0"/>
        <v>-9.9590000000000032</v>
      </c>
      <c r="J39" s="18">
        <f>H39/G39</f>
        <v>1.082305785123967</v>
      </c>
      <c r="K39" s="296">
        <f>E39+E40</f>
        <v>127</v>
      </c>
      <c r="L39" s="274">
        <f>F39+F40</f>
        <v>0</v>
      </c>
      <c r="M39" s="274">
        <f>K39+L39</f>
        <v>127</v>
      </c>
      <c r="N39" s="274">
        <f>H39+H40</f>
        <v>130.959</v>
      </c>
      <c r="O39" s="274">
        <f>M39-N39</f>
        <v>-3.9590000000000032</v>
      </c>
      <c r="P39" s="298">
        <f>N39/M39</f>
        <v>1.0311732283464567</v>
      </c>
      <c r="Q39" s="197">
        <v>43571</v>
      </c>
    </row>
    <row r="40" spans="2:17" ht="15.75" thickBot="1">
      <c r="B40" s="284"/>
      <c r="C40" s="272"/>
      <c r="D40" s="12" t="s">
        <v>8</v>
      </c>
      <c r="E40" s="200">
        <v>6</v>
      </c>
      <c r="F40" s="77"/>
      <c r="G40" s="77">
        <f>E40+F40+I39</f>
        <v>-3.9590000000000032</v>
      </c>
      <c r="H40" s="140"/>
      <c r="I40" s="77">
        <f t="shared" si="0"/>
        <v>-3.9590000000000032</v>
      </c>
      <c r="J40" s="19">
        <f>H40/G40</f>
        <v>0</v>
      </c>
      <c r="K40" s="297"/>
      <c r="L40" s="287"/>
      <c r="M40" s="287"/>
      <c r="N40" s="287"/>
      <c r="O40" s="287"/>
      <c r="P40" s="299"/>
      <c r="Q40" s="196" t="s">
        <v>154</v>
      </c>
    </row>
    <row r="41" spans="2:17" ht="33.950000000000003" customHeight="1" thickBot="1">
      <c r="B41" s="34"/>
      <c r="C41" s="40"/>
      <c r="D41" s="36"/>
      <c r="E41" s="36"/>
      <c r="F41" s="36"/>
      <c r="G41" s="36"/>
      <c r="H41" s="36"/>
      <c r="I41" s="36"/>
      <c r="J41" s="37"/>
      <c r="K41" s="36"/>
      <c r="P41" s="38"/>
      <c r="Q41" s="52"/>
    </row>
    <row r="42" spans="2:17">
      <c r="B42" s="285" t="s">
        <v>68</v>
      </c>
      <c r="C42" s="271" t="s">
        <v>38</v>
      </c>
      <c r="D42" s="6" t="s">
        <v>7</v>
      </c>
      <c r="E42" s="199">
        <v>7853</v>
      </c>
      <c r="F42" s="101"/>
      <c r="G42" s="5">
        <f>E42+F42</f>
        <v>7853</v>
      </c>
      <c r="H42" s="252">
        <v>9375.7250000000004</v>
      </c>
      <c r="I42" s="5">
        <f>G42-H42</f>
        <v>-1522.7250000000004</v>
      </c>
      <c r="J42" s="18">
        <f>H42/G42</f>
        <v>1.1939036037183242</v>
      </c>
      <c r="K42" s="293">
        <f>E42+E43</f>
        <v>8266</v>
      </c>
      <c r="L42" s="274">
        <f>F42+F43</f>
        <v>0</v>
      </c>
      <c r="M42" s="274">
        <f>K42+L42</f>
        <v>8266</v>
      </c>
      <c r="N42" s="274">
        <f>H42+H43</f>
        <v>9375.7250000000004</v>
      </c>
      <c r="O42" s="274">
        <f>M42-N42</f>
        <v>-1109.7250000000004</v>
      </c>
      <c r="P42" s="300">
        <f>N42/M42</f>
        <v>1.1342517541737238</v>
      </c>
      <c r="Q42" s="146">
        <v>43473</v>
      </c>
    </row>
    <row r="43" spans="2:17">
      <c r="B43" s="283"/>
      <c r="C43" s="295"/>
      <c r="D43" s="1" t="s">
        <v>8</v>
      </c>
      <c r="E43" s="201">
        <v>413</v>
      </c>
      <c r="F43" s="103"/>
      <c r="G43" s="76">
        <f>E43+F43+I42</f>
        <v>-1109.7250000000004</v>
      </c>
      <c r="H43" s="103"/>
      <c r="I43" s="76">
        <f t="shared" si="0"/>
        <v>-1109.7250000000004</v>
      </c>
      <c r="J43" s="21">
        <f>H43/G43</f>
        <v>0</v>
      </c>
      <c r="K43" s="276"/>
      <c r="L43" s="275"/>
      <c r="M43" s="275"/>
      <c r="N43" s="275"/>
      <c r="O43" s="275"/>
      <c r="P43" s="301"/>
      <c r="Q43" s="147">
        <v>43479</v>
      </c>
    </row>
    <row r="44" spans="2:17" ht="33.950000000000003" customHeight="1" thickBot="1">
      <c r="B44" s="34"/>
      <c r="C44" s="40"/>
      <c r="D44" s="36"/>
      <c r="E44" s="36"/>
      <c r="F44" s="36"/>
      <c r="G44" s="36"/>
      <c r="H44" s="36"/>
      <c r="I44" s="36"/>
      <c r="J44" s="37"/>
      <c r="K44" s="36"/>
      <c r="P44" s="38"/>
      <c r="Q44" s="52"/>
    </row>
    <row r="45" spans="2:17">
      <c r="B45" s="285" t="s">
        <v>56</v>
      </c>
      <c r="C45" s="271" t="s">
        <v>38</v>
      </c>
      <c r="D45" s="6" t="s">
        <v>7</v>
      </c>
      <c r="E45" s="199">
        <v>42</v>
      </c>
      <c r="F45" s="5"/>
      <c r="G45" s="5">
        <f>E45+F45</f>
        <v>42</v>
      </c>
      <c r="H45" s="250">
        <v>5.5309999999999997</v>
      </c>
      <c r="I45" s="5">
        <f t="shared" si="0"/>
        <v>36.469000000000001</v>
      </c>
      <c r="J45" s="18">
        <f>H45/G45</f>
        <v>0.13169047619047619</v>
      </c>
      <c r="K45" s="296">
        <f>E45+E46</f>
        <v>44</v>
      </c>
      <c r="L45" s="274">
        <f>F45+F46</f>
        <v>0</v>
      </c>
      <c r="M45" s="274">
        <f>K45+L45</f>
        <v>44</v>
      </c>
      <c r="N45" s="274">
        <f>H45+H46</f>
        <v>5.5309999999999997</v>
      </c>
      <c r="O45" s="274">
        <f>M45-N45</f>
        <v>38.469000000000001</v>
      </c>
      <c r="P45" s="298">
        <f>N45/M45</f>
        <v>0.12570454545454546</v>
      </c>
      <c r="Q45" s="59" t="s">
        <v>154</v>
      </c>
    </row>
    <row r="46" spans="2:17" ht="15.75" thickBot="1">
      <c r="B46" s="284"/>
      <c r="C46" s="272"/>
      <c r="D46" s="2" t="s">
        <v>8</v>
      </c>
      <c r="E46" s="200">
        <v>2</v>
      </c>
      <c r="F46" s="77"/>
      <c r="G46" s="77">
        <f>E46+F46+I45</f>
        <v>38.469000000000001</v>
      </c>
      <c r="H46" s="212"/>
      <c r="I46" s="77">
        <f t="shared" si="0"/>
        <v>38.469000000000001</v>
      </c>
      <c r="J46" s="19">
        <f>H46/G46</f>
        <v>0</v>
      </c>
      <c r="K46" s="297"/>
      <c r="L46" s="287"/>
      <c r="M46" s="287"/>
      <c r="N46" s="287"/>
      <c r="O46" s="287"/>
      <c r="P46" s="299"/>
      <c r="Q46" s="60" t="s">
        <v>154</v>
      </c>
    </row>
    <row r="47" spans="2:17" ht="33.950000000000003" customHeight="1" thickBot="1">
      <c r="B47" s="34"/>
      <c r="C47" s="40"/>
      <c r="D47" s="36"/>
      <c r="E47" s="36"/>
      <c r="F47" s="36"/>
      <c r="G47" s="36"/>
      <c r="H47" s="36"/>
      <c r="I47" s="36"/>
      <c r="J47" s="37"/>
      <c r="K47" s="36"/>
      <c r="P47" s="38"/>
      <c r="Q47" s="52"/>
    </row>
    <row r="48" spans="2:17" ht="15.75" thickBot="1">
      <c r="B48" s="285" t="s">
        <v>55</v>
      </c>
      <c r="C48" s="271" t="s">
        <v>38</v>
      </c>
      <c r="D48" s="6" t="s">
        <v>7</v>
      </c>
      <c r="E48" s="199">
        <v>919</v>
      </c>
      <c r="F48" s="5"/>
      <c r="G48" s="5">
        <f>E48+F48</f>
        <v>919</v>
      </c>
      <c r="H48" s="245">
        <v>856.42399999999998</v>
      </c>
      <c r="I48" s="5">
        <f t="shared" si="0"/>
        <v>62.576000000000022</v>
      </c>
      <c r="J48" s="18">
        <f>H48/G48</f>
        <v>0.93190859630032641</v>
      </c>
      <c r="K48" s="296">
        <f>E48+E49</f>
        <v>967</v>
      </c>
      <c r="L48" s="274">
        <f>F48+F49</f>
        <v>0</v>
      </c>
      <c r="M48" s="274">
        <f>K48+L48</f>
        <v>967</v>
      </c>
      <c r="N48" s="274">
        <f>H48+H49</f>
        <v>856.42399999999998</v>
      </c>
      <c r="O48" s="274">
        <f>M48-N48</f>
        <v>110.57600000000002</v>
      </c>
      <c r="P48" s="298">
        <f>N48/M48</f>
        <v>0.8856504653567735</v>
      </c>
      <c r="Q48" s="197">
        <v>43557</v>
      </c>
    </row>
    <row r="49" spans="2:17" ht="15.75" thickBot="1">
      <c r="B49" s="284"/>
      <c r="C49" s="272"/>
      <c r="D49" s="2" t="s">
        <v>8</v>
      </c>
      <c r="E49" s="200">
        <v>48</v>
      </c>
      <c r="F49" s="77"/>
      <c r="G49" s="77">
        <f>E49+F49+I48</f>
        <v>110.57600000000002</v>
      </c>
      <c r="H49" s="178"/>
      <c r="I49" s="77">
        <f t="shared" si="0"/>
        <v>110.57600000000002</v>
      </c>
      <c r="J49" s="19">
        <f>H49/G49</f>
        <v>0</v>
      </c>
      <c r="K49" s="297"/>
      <c r="L49" s="287"/>
      <c r="M49" s="287"/>
      <c r="N49" s="287"/>
      <c r="O49" s="287"/>
      <c r="P49" s="299"/>
      <c r="Q49" s="196" t="s">
        <v>154</v>
      </c>
    </row>
    <row r="50" spans="2:17" ht="33.950000000000003" customHeight="1" thickBot="1">
      <c r="B50" s="34"/>
      <c r="C50" s="40"/>
      <c r="D50" s="36"/>
      <c r="E50" s="36"/>
      <c r="F50" s="36"/>
      <c r="G50" s="36"/>
      <c r="H50" s="36"/>
      <c r="I50" s="36"/>
      <c r="J50" s="37"/>
      <c r="K50" s="36"/>
      <c r="P50" s="38"/>
      <c r="Q50" s="52"/>
    </row>
    <row r="51" spans="2:17">
      <c r="B51" s="285" t="s">
        <v>54</v>
      </c>
      <c r="C51" s="269" t="s">
        <v>47</v>
      </c>
      <c r="D51" s="6" t="s">
        <v>7</v>
      </c>
      <c r="E51" s="101">
        <v>94.058999999999997</v>
      </c>
      <c r="F51" s="101">
        <f>-98</f>
        <v>-98</v>
      </c>
      <c r="G51" s="5">
        <f>E51+F51</f>
        <v>-3.9410000000000025</v>
      </c>
      <c r="H51" s="245"/>
      <c r="I51" s="5">
        <f t="shared" ref="I51:I56" si="3">G51-H51</f>
        <v>-3.9410000000000025</v>
      </c>
      <c r="J51" s="18">
        <f>H51/G51</f>
        <v>0</v>
      </c>
      <c r="K51" s="293">
        <f>E51+E52</f>
        <v>99.003</v>
      </c>
      <c r="L51" s="274">
        <f>F51+F52</f>
        <v>-98</v>
      </c>
      <c r="M51" s="274">
        <f>K51+L51</f>
        <v>1.0030000000000001</v>
      </c>
      <c r="N51" s="274">
        <f>H51+H52</f>
        <v>0</v>
      </c>
      <c r="O51" s="274">
        <f>M51-N51</f>
        <v>1.0030000000000001</v>
      </c>
      <c r="P51" s="294">
        <f>N51/M51</f>
        <v>0</v>
      </c>
      <c r="Q51" s="147">
        <v>43581</v>
      </c>
    </row>
    <row r="52" spans="2:17">
      <c r="B52" s="283"/>
      <c r="C52" s="270"/>
      <c r="D52" s="1" t="s">
        <v>8</v>
      </c>
      <c r="E52" s="103">
        <v>4.944</v>
      </c>
      <c r="F52" s="103"/>
      <c r="G52" s="76">
        <f>E52+F52+I51</f>
        <v>1.0029999999999974</v>
      </c>
      <c r="H52" s="243"/>
      <c r="I52" s="76">
        <f t="shared" si="3"/>
        <v>1.0029999999999974</v>
      </c>
      <c r="J52" s="21">
        <f>H52/G52</f>
        <v>0</v>
      </c>
      <c r="K52" s="276"/>
      <c r="L52" s="275"/>
      <c r="M52" s="275"/>
      <c r="N52" s="275"/>
      <c r="O52" s="275"/>
      <c r="P52" s="273"/>
      <c r="Q52" s="81" t="s">
        <v>154</v>
      </c>
    </row>
    <row r="53" spans="2:17">
      <c r="B53" s="283"/>
      <c r="C53" s="270" t="s">
        <v>48</v>
      </c>
      <c r="D53" s="1" t="s">
        <v>7</v>
      </c>
      <c r="E53" s="103">
        <v>444.37200000000001</v>
      </c>
      <c r="F53" s="103">
        <f>-413.779</f>
        <v>-413.779</v>
      </c>
      <c r="G53" s="76">
        <f>E53+F53</f>
        <v>30.593000000000018</v>
      </c>
      <c r="H53" s="249">
        <v>55.59</v>
      </c>
      <c r="I53" s="76">
        <f t="shared" si="3"/>
        <v>-24.996999999999986</v>
      </c>
      <c r="J53" s="21">
        <f t="shared" ref="J53:J68" si="4">H53/G53</f>
        <v>1.8170823390971782</v>
      </c>
      <c r="K53" s="276">
        <f>E53+E54</f>
        <v>467.73</v>
      </c>
      <c r="L53" s="275">
        <f>F53+F54</f>
        <v>-413.779</v>
      </c>
      <c r="M53" s="275">
        <f>K53+L53</f>
        <v>53.951000000000022</v>
      </c>
      <c r="N53" s="275">
        <f>H53+H54</f>
        <v>55.59</v>
      </c>
      <c r="O53" s="275">
        <f>M53-N53</f>
        <v>-1.6389999999999816</v>
      </c>
      <c r="P53" s="301">
        <f>N53/M53</f>
        <v>1.030379418361105</v>
      </c>
      <c r="Q53" s="147">
        <v>43525</v>
      </c>
    </row>
    <row r="54" spans="2:17">
      <c r="B54" s="283"/>
      <c r="C54" s="270"/>
      <c r="D54" s="1" t="s">
        <v>8</v>
      </c>
      <c r="E54" s="103">
        <v>23.358000000000001</v>
      </c>
      <c r="F54" s="103"/>
      <c r="G54" s="76">
        <v>0</v>
      </c>
      <c r="H54" s="243"/>
      <c r="I54" s="76">
        <f t="shared" si="3"/>
        <v>0</v>
      </c>
      <c r="J54" s="21">
        <v>0</v>
      </c>
      <c r="K54" s="276"/>
      <c r="L54" s="275"/>
      <c r="M54" s="275"/>
      <c r="N54" s="275"/>
      <c r="O54" s="275"/>
      <c r="P54" s="301"/>
      <c r="Q54" s="147">
        <v>43525</v>
      </c>
    </row>
    <row r="55" spans="2:17">
      <c r="B55" s="283"/>
      <c r="C55" s="270" t="s">
        <v>49</v>
      </c>
      <c r="D55" s="1" t="s">
        <v>7</v>
      </c>
      <c r="E55" s="103">
        <v>2712.7730000000001</v>
      </c>
      <c r="F55" s="103">
        <f>-2710</f>
        <v>-2710</v>
      </c>
      <c r="G55" s="76">
        <f>E55+F55</f>
        <v>2.7730000000001382</v>
      </c>
      <c r="H55" s="142">
        <v>66.307000000000002</v>
      </c>
      <c r="I55" s="76">
        <f t="shared" si="3"/>
        <v>-63.533999999999864</v>
      </c>
      <c r="J55" s="21">
        <f t="shared" si="4"/>
        <v>23.911648034618356</v>
      </c>
      <c r="K55" s="276">
        <f>E55+E56</f>
        <v>2855.3650000000002</v>
      </c>
      <c r="L55" s="275">
        <f>F55+F56</f>
        <v>-2710</v>
      </c>
      <c r="M55" s="275">
        <f>K55+L55</f>
        <v>145.36500000000024</v>
      </c>
      <c r="N55" s="275">
        <f>H55+H56</f>
        <v>66.307000000000002</v>
      </c>
      <c r="O55" s="275">
        <f>M55-N55</f>
        <v>79.058000000000234</v>
      </c>
      <c r="P55" s="273">
        <f>N55/M55</f>
        <v>0.45614143707219684</v>
      </c>
      <c r="Q55" s="81" t="s">
        <v>154</v>
      </c>
    </row>
    <row r="56" spans="2:17">
      <c r="B56" s="283"/>
      <c r="C56" s="270"/>
      <c r="D56" s="1" t="s">
        <v>8</v>
      </c>
      <c r="E56" s="103">
        <v>142.59200000000001</v>
      </c>
      <c r="F56" s="103"/>
      <c r="G56" s="76">
        <f>E56+F56+I55</f>
        <v>79.058000000000149</v>
      </c>
      <c r="H56" s="243"/>
      <c r="I56" s="76">
        <f t="shared" si="3"/>
        <v>79.058000000000149</v>
      </c>
      <c r="J56" s="21">
        <f t="shared" si="4"/>
        <v>0</v>
      </c>
      <c r="K56" s="276"/>
      <c r="L56" s="275"/>
      <c r="M56" s="275"/>
      <c r="N56" s="275"/>
      <c r="O56" s="275"/>
      <c r="P56" s="273"/>
      <c r="Q56" s="81" t="s">
        <v>154</v>
      </c>
    </row>
    <row r="57" spans="2:17">
      <c r="B57" s="283"/>
      <c r="C57" s="270" t="s">
        <v>50</v>
      </c>
      <c r="D57" s="1" t="s">
        <v>7</v>
      </c>
      <c r="E57" s="103">
        <v>453.315</v>
      </c>
      <c r="F57" s="103">
        <f>-470</f>
        <v>-470</v>
      </c>
      <c r="G57" s="76">
        <f>E57+F57</f>
        <v>-16.685000000000002</v>
      </c>
      <c r="H57" s="243"/>
      <c r="I57" s="76">
        <f t="shared" si="0"/>
        <v>-16.685000000000002</v>
      </c>
      <c r="J57" s="21">
        <f>H57/G57</f>
        <v>0</v>
      </c>
      <c r="K57" s="276">
        <f>E57+E58</f>
        <v>477.14299999999997</v>
      </c>
      <c r="L57" s="275">
        <f>F57+F58</f>
        <v>-470</v>
      </c>
      <c r="M57" s="275">
        <f>K57+L57</f>
        <v>7.1429999999999723</v>
      </c>
      <c r="N57" s="275">
        <f>H57+H58</f>
        <v>0</v>
      </c>
      <c r="O57" s="275">
        <f>M57-N57</f>
        <v>7.1429999999999723</v>
      </c>
      <c r="P57" s="273">
        <f>((N57+L57)/K57)*-1</f>
        <v>0.98502964520070513</v>
      </c>
      <c r="Q57" s="81" t="s">
        <v>154</v>
      </c>
    </row>
    <row r="58" spans="2:17" ht="12" customHeight="1">
      <c r="B58" s="283"/>
      <c r="C58" s="270"/>
      <c r="D58" s="1" t="s">
        <v>8</v>
      </c>
      <c r="E58" s="103">
        <v>23.827999999999999</v>
      </c>
      <c r="F58" s="103"/>
      <c r="G58" s="76">
        <f>E58+F58+I57</f>
        <v>7.1429999999999971</v>
      </c>
      <c r="H58" s="243"/>
      <c r="I58" s="76">
        <f t="shared" si="0"/>
        <v>7.1429999999999971</v>
      </c>
      <c r="J58" s="21">
        <f>H58/G58</f>
        <v>0</v>
      </c>
      <c r="K58" s="276"/>
      <c r="L58" s="275"/>
      <c r="M58" s="275"/>
      <c r="N58" s="275"/>
      <c r="O58" s="275"/>
      <c r="P58" s="273"/>
      <c r="Q58" s="81" t="s">
        <v>154</v>
      </c>
    </row>
    <row r="59" spans="2:17">
      <c r="B59" s="283"/>
      <c r="C59" s="270" t="s">
        <v>51</v>
      </c>
      <c r="D59" s="1" t="s">
        <v>7</v>
      </c>
      <c r="E59" s="103">
        <v>1437.3420000000001</v>
      </c>
      <c r="F59" s="103">
        <f>-800-600</f>
        <v>-1400</v>
      </c>
      <c r="G59" s="76">
        <f>E59+F59</f>
        <v>37.342000000000098</v>
      </c>
      <c r="H59" s="243"/>
      <c r="I59" s="76">
        <f t="shared" si="0"/>
        <v>37.342000000000098</v>
      </c>
      <c r="J59" s="21">
        <f t="shared" si="4"/>
        <v>0</v>
      </c>
      <c r="K59" s="276">
        <f>E59+E60</f>
        <v>1512.893</v>
      </c>
      <c r="L59" s="275">
        <f>F59+F60</f>
        <v>-1400</v>
      </c>
      <c r="M59" s="275">
        <f>K59+L59</f>
        <v>112.89300000000003</v>
      </c>
      <c r="N59" s="275">
        <f>H59+H60</f>
        <v>0</v>
      </c>
      <c r="O59" s="275">
        <f>M59-N59</f>
        <v>112.89300000000003</v>
      </c>
      <c r="P59" s="273">
        <f>N59/M59</f>
        <v>0</v>
      </c>
      <c r="Q59" s="81" t="s">
        <v>154</v>
      </c>
    </row>
    <row r="60" spans="2:17">
      <c r="B60" s="283"/>
      <c r="C60" s="270"/>
      <c r="D60" s="1" t="s">
        <v>8</v>
      </c>
      <c r="E60" s="103">
        <v>75.551000000000002</v>
      </c>
      <c r="F60" s="103"/>
      <c r="G60" s="76">
        <f>E60+F60+I59</f>
        <v>112.8930000000001</v>
      </c>
      <c r="H60" s="243"/>
      <c r="I60" s="76">
        <f t="shared" si="0"/>
        <v>112.8930000000001</v>
      </c>
      <c r="J60" s="21">
        <f t="shared" si="4"/>
        <v>0</v>
      </c>
      <c r="K60" s="276"/>
      <c r="L60" s="275"/>
      <c r="M60" s="275"/>
      <c r="N60" s="275"/>
      <c r="O60" s="275"/>
      <c r="P60" s="273"/>
      <c r="Q60" s="81" t="s">
        <v>154</v>
      </c>
    </row>
    <row r="61" spans="2:17">
      <c r="B61" s="283"/>
      <c r="C61" s="270" t="s">
        <v>52</v>
      </c>
      <c r="D61" s="1" t="s">
        <v>7</v>
      </c>
      <c r="E61" s="103">
        <v>2.3860000000000001</v>
      </c>
      <c r="F61" s="103"/>
      <c r="G61" s="76">
        <f>E61+F61</f>
        <v>2.3860000000000001</v>
      </c>
      <c r="H61" s="243"/>
      <c r="I61" s="76">
        <f t="shared" si="0"/>
        <v>2.3860000000000001</v>
      </c>
      <c r="J61" s="21">
        <f t="shared" si="4"/>
        <v>0</v>
      </c>
      <c r="K61" s="276">
        <f>E61+E62</f>
        <v>2.5110000000000001</v>
      </c>
      <c r="L61" s="275">
        <f>F61+F62</f>
        <v>0</v>
      </c>
      <c r="M61" s="275">
        <f>K61+L61</f>
        <v>2.5110000000000001</v>
      </c>
      <c r="N61" s="275">
        <f>H61+H62</f>
        <v>0</v>
      </c>
      <c r="O61" s="275">
        <f>M61-N61</f>
        <v>2.5110000000000001</v>
      </c>
      <c r="P61" s="273">
        <f>N61/M61</f>
        <v>0</v>
      </c>
      <c r="Q61" s="81" t="s">
        <v>154</v>
      </c>
    </row>
    <row r="62" spans="2:17">
      <c r="B62" s="283"/>
      <c r="C62" s="270"/>
      <c r="D62" s="1" t="s">
        <v>8</v>
      </c>
      <c r="E62" s="103">
        <v>0.125</v>
      </c>
      <c r="F62" s="103"/>
      <c r="G62" s="76">
        <f>E62+F62+I61</f>
        <v>2.5110000000000001</v>
      </c>
      <c r="H62" s="243"/>
      <c r="I62" s="76">
        <f t="shared" si="0"/>
        <v>2.5110000000000001</v>
      </c>
      <c r="J62" s="21">
        <f t="shared" si="4"/>
        <v>0</v>
      </c>
      <c r="K62" s="276"/>
      <c r="L62" s="275"/>
      <c r="M62" s="275"/>
      <c r="N62" s="275"/>
      <c r="O62" s="275"/>
      <c r="P62" s="273"/>
      <c r="Q62" s="81" t="s">
        <v>154</v>
      </c>
    </row>
    <row r="63" spans="2:17" ht="15" customHeight="1">
      <c r="B63" s="283"/>
      <c r="C63" s="270" t="s">
        <v>53</v>
      </c>
      <c r="D63" s="1" t="s">
        <v>7</v>
      </c>
      <c r="E63" s="103">
        <v>683.07399999999996</v>
      </c>
      <c r="F63" s="103">
        <v>-713.13099999999997</v>
      </c>
      <c r="G63" s="76">
        <f>E63+F63</f>
        <v>-30.057000000000016</v>
      </c>
      <c r="H63" s="243"/>
      <c r="I63" s="76">
        <f t="shared" si="0"/>
        <v>-30.057000000000016</v>
      </c>
      <c r="J63" s="21">
        <f t="shared" si="4"/>
        <v>0</v>
      </c>
      <c r="K63" s="276">
        <f>E63+E64</f>
        <v>718.97799999999995</v>
      </c>
      <c r="L63" s="275">
        <f>F63+F64</f>
        <v>-713.13099999999997</v>
      </c>
      <c r="M63" s="275">
        <f>K63+L63</f>
        <v>5.84699999999998</v>
      </c>
      <c r="N63" s="275">
        <f>H63+H64</f>
        <v>0</v>
      </c>
      <c r="O63" s="275">
        <f>M63-N63</f>
        <v>5.84699999999998</v>
      </c>
      <c r="P63" s="273">
        <f>N63/M63</f>
        <v>0</v>
      </c>
      <c r="Q63" s="147">
        <v>43510</v>
      </c>
    </row>
    <row r="64" spans="2:17">
      <c r="B64" s="283"/>
      <c r="C64" s="270"/>
      <c r="D64" s="1" t="s">
        <v>8</v>
      </c>
      <c r="E64" s="103">
        <v>35.904000000000003</v>
      </c>
      <c r="F64" s="103"/>
      <c r="G64" s="76">
        <f>E64+F64+I63</f>
        <v>5.8469999999999871</v>
      </c>
      <c r="H64" s="243"/>
      <c r="I64" s="76">
        <f t="shared" si="0"/>
        <v>5.8469999999999871</v>
      </c>
      <c r="J64" s="21">
        <f t="shared" si="4"/>
        <v>0</v>
      </c>
      <c r="K64" s="276"/>
      <c r="L64" s="275"/>
      <c r="M64" s="275"/>
      <c r="N64" s="275"/>
      <c r="O64" s="275"/>
      <c r="P64" s="273"/>
      <c r="Q64" s="81" t="s">
        <v>154</v>
      </c>
    </row>
    <row r="65" spans="2:17">
      <c r="B65" s="283"/>
      <c r="C65" s="270" t="s">
        <v>211</v>
      </c>
      <c r="D65" s="1" t="s">
        <v>7</v>
      </c>
      <c r="E65" s="103">
        <v>91.641000000000005</v>
      </c>
      <c r="F65" s="103">
        <f>-80</f>
        <v>-80</v>
      </c>
      <c r="G65" s="76">
        <f>E65+F65</f>
        <v>11.641000000000005</v>
      </c>
      <c r="H65" s="243"/>
      <c r="I65" s="76">
        <f t="shared" si="0"/>
        <v>11.641000000000005</v>
      </c>
      <c r="J65" s="21">
        <f t="shared" si="4"/>
        <v>0</v>
      </c>
      <c r="K65" s="276">
        <f>E65+E66</f>
        <v>96.457999999999998</v>
      </c>
      <c r="L65" s="275">
        <f>F65+F66</f>
        <v>-80</v>
      </c>
      <c r="M65" s="275">
        <f>K65+L65</f>
        <v>16.457999999999998</v>
      </c>
      <c r="N65" s="275">
        <f>H65+H66</f>
        <v>0</v>
      </c>
      <c r="O65" s="275">
        <f>M65-N65</f>
        <v>16.457999999999998</v>
      </c>
      <c r="P65" s="273">
        <f>N65/M65</f>
        <v>0</v>
      </c>
      <c r="Q65" s="81" t="s">
        <v>154</v>
      </c>
    </row>
    <row r="66" spans="2:17">
      <c r="B66" s="283"/>
      <c r="C66" s="270"/>
      <c r="D66" s="1" t="s">
        <v>8</v>
      </c>
      <c r="E66" s="103">
        <v>4.8170000000000002</v>
      </c>
      <c r="F66" s="103"/>
      <c r="G66" s="76">
        <f>E66+F66+I65</f>
        <v>16.458000000000006</v>
      </c>
      <c r="H66" s="243"/>
      <c r="I66" s="76">
        <f t="shared" si="0"/>
        <v>16.458000000000006</v>
      </c>
      <c r="J66" s="21">
        <f t="shared" si="4"/>
        <v>0</v>
      </c>
      <c r="K66" s="276"/>
      <c r="L66" s="275"/>
      <c r="M66" s="275"/>
      <c r="N66" s="275"/>
      <c r="O66" s="275"/>
      <c r="P66" s="273"/>
      <c r="Q66" s="81" t="s">
        <v>154</v>
      </c>
    </row>
    <row r="67" spans="2:17">
      <c r="B67" s="283"/>
      <c r="C67" s="270" t="s">
        <v>41</v>
      </c>
      <c r="D67" s="1" t="s">
        <v>7</v>
      </c>
      <c r="E67" s="103">
        <v>226.03800000000001</v>
      </c>
      <c r="F67" s="103"/>
      <c r="G67" s="76">
        <f>E67+F67</f>
        <v>226.03800000000001</v>
      </c>
      <c r="H67" s="249">
        <v>16.350000000000001</v>
      </c>
      <c r="I67" s="76">
        <f t="shared" si="0"/>
        <v>209.68800000000002</v>
      </c>
      <c r="J67" s="21">
        <f t="shared" si="4"/>
        <v>7.2332970562471802E-2</v>
      </c>
      <c r="K67" s="276">
        <f>E67+E68</f>
        <v>237.91900000000001</v>
      </c>
      <c r="L67" s="275">
        <f>F67+F68</f>
        <v>0</v>
      </c>
      <c r="M67" s="275">
        <f>K67+L67</f>
        <v>237.91900000000001</v>
      </c>
      <c r="N67" s="275">
        <f>H67+H68</f>
        <v>16.350000000000001</v>
      </c>
      <c r="O67" s="275">
        <f>M67-N67</f>
        <v>221.56900000000002</v>
      </c>
      <c r="P67" s="273">
        <f>N67/M67</f>
        <v>6.8720867185891002E-2</v>
      </c>
      <c r="Q67" s="81" t="s">
        <v>154</v>
      </c>
    </row>
    <row r="68" spans="2:17" ht="15.75" thickBot="1">
      <c r="B68" s="284"/>
      <c r="C68" s="286"/>
      <c r="D68" s="2" t="s">
        <v>8</v>
      </c>
      <c r="E68" s="102">
        <v>11.881</v>
      </c>
      <c r="F68" s="102"/>
      <c r="G68" s="77">
        <f>E68+F68+I67</f>
        <v>221.56900000000002</v>
      </c>
      <c r="H68" s="198"/>
      <c r="I68" s="77">
        <f t="shared" si="0"/>
        <v>221.56900000000002</v>
      </c>
      <c r="J68" s="19">
        <f t="shared" si="4"/>
        <v>0</v>
      </c>
      <c r="K68" s="277"/>
      <c r="L68" s="287"/>
      <c r="M68" s="287"/>
      <c r="N68" s="287"/>
      <c r="O68" s="287"/>
      <c r="P68" s="278"/>
      <c r="Q68" s="82" t="s">
        <v>154</v>
      </c>
    </row>
    <row r="69" spans="2:17" ht="33.950000000000003" customHeight="1">
      <c r="C69" s="40"/>
      <c r="D69" s="36"/>
      <c r="E69" s="36"/>
      <c r="F69" s="36"/>
      <c r="G69" s="36"/>
      <c r="H69" s="36"/>
      <c r="I69" s="36"/>
      <c r="J69" s="37"/>
      <c r="K69" s="36"/>
      <c r="P69" s="38"/>
      <c r="Q69" s="52"/>
    </row>
    <row r="70" spans="2:17" ht="12.75" customHeight="1">
      <c r="B70" s="40"/>
      <c r="E70" s="36"/>
      <c r="F70" s="36"/>
      <c r="G70" s="36"/>
      <c r="H70" s="36"/>
      <c r="I70" s="36"/>
      <c r="J70" s="37"/>
      <c r="K70" s="36"/>
      <c r="P70" s="38"/>
      <c r="Q70" s="52"/>
    </row>
    <row r="71" spans="2:17" ht="16.5" customHeight="1" thickBot="1">
      <c r="C71" s="40"/>
      <c r="D71" s="36"/>
      <c r="E71" s="36"/>
      <c r="F71" s="36"/>
      <c r="G71" s="36"/>
      <c r="H71" s="36"/>
      <c r="I71" s="36"/>
      <c r="J71" s="37"/>
      <c r="K71" s="36"/>
      <c r="P71" s="38"/>
      <c r="Q71" s="52"/>
    </row>
    <row r="72" spans="2:17" ht="15.75" thickBot="1">
      <c r="B72" s="13" t="s">
        <v>67</v>
      </c>
      <c r="C72" s="16" t="s">
        <v>66</v>
      </c>
      <c r="D72" s="10" t="s">
        <v>65</v>
      </c>
      <c r="E72" s="8">
        <v>327</v>
      </c>
      <c r="F72" s="9"/>
      <c r="G72" s="9">
        <f>E72+F72</f>
        <v>327</v>
      </c>
      <c r="H72" s="8">
        <f>0.075+1.743+2.218+0.025+0.024</f>
        <v>4.085</v>
      </c>
      <c r="I72" s="8">
        <f>G72-H72</f>
        <v>322.91500000000002</v>
      </c>
      <c r="J72" s="22">
        <f>H72/G72</f>
        <v>1.2492354740061162E-2</v>
      </c>
      <c r="K72" s="23">
        <f>E72</f>
        <v>327</v>
      </c>
      <c r="L72" s="24">
        <f>F72</f>
        <v>0</v>
      </c>
      <c r="M72" s="24">
        <f>K72+L72</f>
        <v>327</v>
      </c>
      <c r="N72" s="24">
        <f>H72</f>
        <v>4.085</v>
      </c>
      <c r="O72" s="24">
        <f>M72-N72</f>
        <v>322.91500000000002</v>
      </c>
      <c r="P72" s="25">
        <f>N72/M72</f>
        <v>1.2492354740061162E-2</v>
      </c>
      <c r="Q72" s="61" t="s">
        <v>154</v>
      </c>
    </row>
    <row r="73" spans="2:17" ht="15.75" thickBot="1">
      <c r="C73" s="40"/>
      <c r="J73" s="41"/>
      <c r="P73" s="38"/>
      <c r="Q73" s="52"/>
    </row>
    <row r="74" spans="2:17" ht="15.75" thickBot="1">
      <c r="B74" s="13" t="s">
        <v>71</v>
      </c>
      <c r="C74" s="16" t="s">
        <v>72</v>
      </c>
      <c r="D74" s="14" t="s">
        <v>65</v>
      </c>
      <c r="E74" s="9">
        <v>153</v>
      </c>
      <c r="F74" s="9"/>
      <c r="G74" s="9">
        <f>E74+F74</f>
        <v>153</v>
      </c>
      <c r="H74" s="254">
        <f>0.215+0.058+0.651+3.574+1.069+33.917</f>
        <v>39.484000000000002</v>
      </c>
      <c r="I74" s="9">
        <f>G74-H74</f>
        <v>113.51599999999999</v>
      </c>
      <c r="J74" s="20">
        <f>H74/G74</f>
        <v>0.25806535947712417</v>
      </c>
      <c r="K74" s="23">
        <f>E74</f>
        <v>153</v>
      </c>
      <c r="L74" s="24">
        <f>F74</f>
        <v>0</v>
      </c>
      <c r="M74" s="24">
        <f>K74+L74</f>
        <v>153</v>
      </c>
      <c r="N74" s="24">
        <f>H74</f>
        <v>39.484000000000002</v>
      </c>
      <c r="O74" s="24">
        <f>M74-N74</f>
        <v>113.51599999999999</v>
      </c>
      <c r="P74" s="25">
        <f>N74/M74</f>
        <v>0.25806535947712417</v>
      </c>
      <c r="Q74" s="61" t="s">
        <v>154</v>
      </c>
    </row>
    <row r="76" spans="2:17" ht="15" customHeight="1"/>
    <row r="80" spans="2:17">
      <c r="C80" s="45"/>
    </row>
    <row r="81" spans="3:3">
      <c r="C81" s="45"/>
    </row>
    <row r="82" spans="3:3">
      <c r="C82" s="45"/>
    </row>
    <row r="83" spans="3:3">
      <c r="C83" s="45"/>
    </row>
    <row r="84" spans="3:3">
      <c r="C84" s="45"/>
    </row>
    <row r="85" spans="3:3">
      <c r="C85" s="45"/>
    </row>
  </sheetData>
  <mergeCells count="193">
    <mergeCell ref="B3:Q3"/>
    <mergeCell ref="K51:K52"/>
    <mergeCell ref="K53:K54"/>
    <mergeCell ref="M42:M43"/>
    <mergeCell ref="N42:N43"/>
    <mergeCell ref="P39:P40"/>
    <mergeCell ref="B2:Q2"/>
    <mergeCell ref="O67:O68"/>
    <mergeCell ref="P67:P68"/>
    <mergeCell ref="K5:P5"/>
    <mergeCell ref="L63:L64"/>
    <mergeCell ref="M63:M64"/>
    <mergeCell ref="N63:N64"/>
    <mergeCell ref="O63:O64"/>
    <mergeCell ref="P63:P64"/>
    <mergeCell ref="M59:M60"/>
    <mergeCell ref="N59:N60"/>
    <mergeCell ref="O59:O60"/>
    <mergeCell ref="C27:C28"/>
    <mergeCell ref="P61:P62"/>
    <mergeCell ref="O55:O56"/>
    <mergeCell ref="P55:P56"/>
    <mergeCell ref="L57:L58"/>
    <mergeCell ref="M57:M58"/>
    <mergeCell ref="P57:P58"/>
    <mergeCell ref="P48:P49"/>
    <mergeCell ref="O57:O58"/>
    <mergeCell ref="K36:K37"/>
    <mergeCell ref="L36:L37"/>
    <mergeCell ref="M36:M37"/>
    <mergeCell ref="N36:N37"/>
    <mergeCell ref="O36:O37"/>
    <mergeCell ref="P36:P37"/>
    <mergeCell ref="P53:P54"/>
    <mergeCell ref="N53:N54"/>
    <mergeCell ref="N67:N68"/>
    <mergeCell ref="K65:K66"/>
    <mergeCell ref="L65:L66"/>
    <mergeCell ref="M65:M66"/>
    <mergeCell ref="N65:N66"/>
    <mergeCell ref="K63:K64"/>
    <mergeCell ref="K67:K68"/>
    <mergeCell ref="N57:N58"/>
    <mergeCell ref="K61:K62"/>
    <mergeCell ref="L67:L68"/>
    <mergeCell ref="M67:M68"/>
    <mergeCell ref="N61:N62"/>
    <mergeCell ref="L59:L60"/>
    <mergeCell ref="K57:K58"/>
    <mergeCell ref="L61:L62"/>
    <mergeCell ref="M61:M62"/>
    <mergeCell ref="O65:O66"/>
    <mergeCell ref="P65:P66"/>
    <mergeCell ref="K45:K46"/>
    <mergeCell ref="L45:L46"/>
    <mergeCell ref="K39:K40"/>
    <mergeCell ref="P45:P46"/>
    <mergeCell ref="P42:P43"/>
    <mergeCell ref="O53:O54"/>
    <mergeCell ref="L51:L52"/>
    <mergeCell ref="M51:M52"/>
    <mergeCell ref="K42:K43"/>
    <mergeCell ref="L42:L43"/>
    <mergeCell ref="K59:K60"/>
    <mergeCell ref="N51:N52"/>
    <mergeCell ref="L55:L56"/>
    <mergeCell ref="M55:M56"/>
    <mergeCell ref="N55:N56"/>
    <mergeCell ref="K55:K56"/>
    <mergeCell ref="P59:P60"/>
    <mergeCell ref="O51:O52"/>
    <mergeCell ref="P51:P52"/>
    <mergeCell ref="L53:L54"/>
    <mergeCell ref="M53:M54"/>
    <mergeCell ref="O61:O62"/>
    <mergeCell ref="C53:C54"/>
    <mergeCell ref="C55:C56"/>
    <mergeCell ref="B42:B43"/>
    <mergeCell ref="B39:B40"/>
    <mergeCell ref="C39:C40"/>
    <mergeCell ref="C42:C43"/>
    <mergeCell ref="C51:C52"/>
    <mergeCell ref="B51:B68"/>
    <mergeCell ref="C65:C66"/>
    <mergeCell ref="C67:C68"/>
    <mergeCell ref="C63:C64"/>
    <mergeCell ref="C59:C60"/>
    <mergeCell ref="C61:C62"/>
    <mergeCell ref="C57:C58"/>
    <mergeCell ref="O15:O16"/>
    <mergeCell ref="P15:P16"/>
    <mergeCell ref="B36:B37"/>
    <mergeCell ref="K48:K49"/>
    <mergeCell ref="L48:L49"/>
    <mergeCell ref="M48:M49"/>
    <mergeCell ref="N48:N49"/>
    <mergeCell ref="O48:O49"/>
    <mergeCell ref="C45:C46"/>
    <mergeCell ref="C48:C49"/>
    <mergeCell ref="B45:B46"/>
    <mergeCell ref="O42:O43"/>
    <mergeCell ref="L39:L40"/>
    <mergeCell ref="M39:M40"/>
    <mergeCell ref="N39:N40"/>
    <mergeCell ref="O39:O40"/>
    <mergeCell ref="N45:N46"/>
    <mergeCell ref="O45:O46"/>
    <mergeCell ref="M45:M46"/>
    <mergeCell ref="B48:B49"/>
    <mergeCell ref="L33:L34"/>
    <mergeCell ref="M33:M34"/>
    <mergeCell ref="N33:N34"/>
    <mergeCell ref="O33:O34"/>
    <mergeCell ref="B18:B23"/>
    <mergeCell ref="B25:B34"/>
    <mergeCell ref="P20:P21"/>
    <mergeCell ref="L20:L21"/>
    <mergeCell ref="K20:K21"/>
    <mergeCell ref="K22:K23"/>
    <mergeCell ref="K18:K19"/>
    <mergeCell ref="O22:O23"/>
    <mergeCell ref="P22:P23"/>
    <mergeCell ref="L18:L19"/>
    <mergeCell ref="C18:C19"/>
    <mergeCell ref="C20:C21"/>
    <mergeCell ref="O20:O21"/>
    <mergeCell ref="C22:C23"/>
    <mergeCell ref="C31:C32"/>
    <mergeCell ref="C33:C34"/>
    <mergeCell ref="M18:M19"/>
    <mergeCell ref="N18:N19"/>
    <mergeCell ref="N25:N26"/>
    <mergeCell ref="O25:O26"/>
    <mergeCell ref="P25:P26"/>
    <mergeCell ref="M20:M21"/>
    <mergeCell ref="N20:N21"/>
    <mergeCell ref="M25:M26"/>
    <mergeCell ref="Q5:Q6"/>
    <mergeCell ref="K7:K8"/>
    <mergeCell ref="L7:L8"/>
    <mergeCell ref="K15:K16"/>
    <mergeCell ref="K10:K11"/>
    <mergeCell ref="L10:L11"/>
    <mergeCell ref="K25:K26"/>
    <mergeCell ref="K29:K30"/>
    <mergeCell ref="M7:M8"/>
    <mergeCell ref="N7:N8"/>
    <mergeCell ref="O7:O8"/>
    <mergeCell ref="P7:P8"/>
    <mergeCell ref="L22:L23"/>
    <mergeCell ref="M22:M23"/>
    <mergeCell ref="N22:N23"/>
    <mergeCell ref="M15:M16"/>
    <mergeCell ref="L29:L30"/>
    <mergeCell ref="M29:M30"/>
    <mergeCell ref="O18:O19"/>
    <mergeCell ref="P18:P19"/>
    <mergeCell ref="M10:M11"/>
    <mergeCell ref="N10:N11"/>
    <mergeCell ref="O10:O11"/>
    <mergeCell ref="P10:P11"/>
    <mergeCell ref="C5:C6"/>
    <mergeCell ref="B5:B6"/>
    <mergeCell ref="B7:B8"/>
    <mergeCell ref="B10:B11"/>
    <mergeCell ref="C7:C8"/>
    <mergeCell ref="C10:C11"/>
    <mergeCell ref="C15:C16"/>
    <mergeCell ref="N15:N16"/>
    <mergeCell ref="D5:J5"/>
    <mergeCell ref="B15:B16"/>
    <mergeCell ref="L15:L16"/>
    <mergeCell ref="C25:C26"/>
    <mergeCell ref="C29:C30"/>
    <mergeCell ref="C36:C37"/>
    <mergeCell ref="P31:P32"/>
    <mergeCell ref="L25:L26"/>
    <mergeCell ref="K31:K32"/>
    <mergeCell ref="K33:K34"/>
    <mergeCell ref="L31:L32"/>
    <mergeCell ref="M31:M32"/>
    <mergeCell ref="N31:N32"/>
    <mergeCell ref="P29:P30"/>
    <mergeCell ref="O29:O30"/>
    <mergeCell ref="N29:N30"/>
    <mergeCell ref="P33:P34"/>
    <mergeCell ref="O31:O32"/>
    <mergeCell ref="K27:K28"/>
    <mergeCell ref="L27:L28"/>
    <mergeCell ref="M27:M28"/>
    <mergeCell ref="N27:N28"/>
    <mergeCell ref="O27:O28"/>
    <mergeCell ref="P27:P28"/>
  </mergeCells>
  <pageMargins left="0.7" right="0.7" top="0.75" bottom="0.75" header="0.3" footer="0.3"/>
  <pageSetup paperSize="173" orientation="portrait" r:id="rId1"/>
  <ignoredErrors>
    <ignoredError sqref="G44 G17 G24 G33 M8:M9 M75 M73 M56 G47 G50 M11:M12 M14 M16 M17 M19 M21 M23 M24 M26 M30 M32 M34:M35 M37:M38 M40:M41 M44 M46:M47 M49:M50 M52 M54 M58 M60 M64 M68:M69 M43" formula="1"/>
    <ignoredError sqref="P17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P123"/>
  <sheetViews>
    <sheetView showGridLines="0" zoomScale="90" zoomScaleNormal="90" workbookViewId="0">
      <selection activeCell="H6" sqref="H6:H121"/>
    </sheetView>
  </sheetViews>
  <sheetFormatPr baseColWidth="10" defaultColWidth="11.42578125" defaultRowHeight="15"/>
  <cols>
    <col min="1" max="1" width="6" style="45" customWidth="1"/>
    <col min="2" max="2" width="21.42578125" style="45" bestFit="1" customWidth="1"/>
    <col min="3" max="3" width="37.85546875" style="45" customWidth="1"/>
    <col min="4" max="4" width="8.7109375" style="40" bestFit="1" customWidth="1"/>
    <col min="5" max="5" width="22.5703125" style="33" customWidth="1"/>
    <col min="6" max="6" width="18.5703125" style="33" bestFit="1" customWidth="1"/>
    <col min="7" max="7" width="19.7109375" style="33" bestFit="1" customWidth="1"/>
    <col min="8" max="8" width="14.140625" style="33" bestFit="1" customWidth="1"/>
    <col min="9" max="9" width="11.85546875" style="33" bestFit="1" customWidth="1"/>
    <col min="10" max="10" width="13.85546875" style="33" bestFit="1" customWidth="1"/>
    <col min="11" max="11" width="18.42578125" style="33" customWidth="1"/>
    <col min="12" max="12" width="16.42578125" style="33" customWidth="1"/>
    <col min="13" max="13" width="14.5703125" style="33" bestFit="1" customWidth="1"/>
    <col min="14" max="14" width="12.7109375" style="33" bestFit="1" customWidth="1"/>
    <col min="15" max="15" width="12" style="33" bestFit="1" customWidth="1"/>
    <col min="16" max="16" width="13.85546875" style="33" bestFit="1" customWidth="1"/>
    <col min="17" max="16384" width="11.42578125" style="45"/>
  </cols>
  <sheetData>
    <row r="1" spans="2:16" ht="7.5" customHeight="1" thickBot="1">
      <c r="F1" s="45"/>
      <c r="G1" s="45"/>
      <c r="J1" s="45"/>
      <c r="K1" s="45"/>
      <c r="L1" s="45"/>
      <c r="M1" s="45"/>
      <c r="N1" s="45"/>
      <c r="O1" s="45"/>
      <c r="P1" s="45"/>
    </row>
    <row r="2" spans="2:16" s="114" customFormat="1" ht="33" customHeight="1">
      <c r="B2" s="315" t="s">
        <v>234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7"/>
    </row>
    <row r="3" spans="2:16" ht="21.95" customHeight="1" thickBot="1">
      <c r="B3" s="342">
        <f>Resumen!B3</f>
        <v>43689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</row>
    <row r="4" spans="2:16" ht="15.75" thickBot="1">
      <c r="F4" s="45"/>
      <c r="G4" s="45"/>
      <c r="J4" s="45"/>
      <c r="K4" s="45"/>
      <c r="L4" s="45"/>
      <c r="M4" s="45"/>
      <c r="N4" s="45"/>
      <c r="O4" s="45"/>
      <c r="P4" s="45"/>
    </row>
    <row r="5" spans="2:16" ht="62.25" customHeight="1" thickBot="1">
      <c r="B5" s="42" t="s">
        <v>28</v>
      </c>
      <c r="C5" s="125" t="s">
        <v>29</v>
      </c>
      <c r="D5" s="121" t="s">
        <v>6</v>
      </c>
      <c r="E5" s="44" t="s">
        <v>4</v>
      </c>
      <c r="F5" s="44" t="s">
        <v>3</v>
      </c>
      <c r="G5" s="44" t="s">
        <v>2</v>
      </c>
      <c r="H5" s="44" t="s">
        <v>1</v>
      </c>
      <c r="I5" s="44" t="s">
        <v>0</v>
      </c>
      <c r="J5" s="43" t="s">
        <v>5</v>
      </c>
      <c r="K5" s="118" t="s">
        <v>4</v>
      </c>
      <c r="L5" s="119" t="s">
        <v>3</v>
      </c>
      <c r="M5" s="119" t="s">
        <v>2</v>
      </c>
      <c r="N5" s="119" t="s">
        <v>1</v>
      </c>
      <c r="O5" s="119" t="s">
        <v>0</v>
      </c>
      <c r="P5" s="120" t="s">
        <v>5</v>
      </c>
    </row>
    <row r="6" spans="2:16" ht="15" customHeight="1">
      <c r="B6" s="347" t="s">
        <v>13</v>
      </c>
      <c r="C6" s="350" t="s">
        <v>9</v>
      </c>
      <c r="D6" s="122" t="s">
        <v>207</v>
      </c>
      <c r="E6" s="228">
        <v>182.93199999999999</v>
      </c>
      <c r="F6" s="101"/>
      <c r="G6" s="5">
        <f>E6+F6</f>
        <v>182.93199999999999</v>
      </c>
      <c r="H6" s="250"/>
      <c r="I6" s="126">
        <f>G6-H6</f>
        <v>182.93199999999999</v>
      </c>
      <c r="J6" s="113">
        <f>H6/G6</f>
        <v>0</v>
      </c>
      <c r="K6" s="324">
        <f>E6+E7</f>
        <v>186.666</v>
      </c>
      <c r="L6" s="325">
        <f>F6+F7</f>
        <v>0</v>
      </c>
      <c r="M6" s="325">
        <f>K6+L6</f>
        <v>186.666</v>
      </c>
      <c r="N6" s="325">
        <f>H6+H7</f>
        <v>0</v>
      </c>
      <c r="O6" s="325">
        <f>M6-N6</f>
        <v>186.666</v>
      </c>
      <c r="P6" s="332">
        <f>N6/M6</f>
        <v>0</v>
      </c>
    </row>
    <row r="7" spans="2:16" ht="15" customHeight="1">
      <c r="B7" s="348"/>
      <c r="C7" s="319"/>
      <c r="D7" s="123" t="s">
        <v>208</v>
      </c>
      <c r="E7" s="229">
        <v>3.734</v>
      </c>
      <c r="F7" s="103"/>
      <c r="G7" s="76">
        <f>E7+F7+I6</f>
        <v>186.666</v>
      </c>
      <c r="H7" s="249"/>
      <c r="I7" s="224">
        <f t="shared" ref="I7:I25" si="0">G7-H7</f>
        <v>186.666</v>
      </c>
      <c r="J7" s="17">
        <f t="shared" ref="J7:J50" si="1">H7/G7</f>
        <v>0</v>
      </c>
      <c r="K7" s="318"/>
      <c r="L7" s="308"/>
      <c r="M7" s="308"/>
      <c r="N7" s="308"/>
      <c r="O7" s="308"/>
      <c r="P7" s="306"/>
    </row>
    <row r="8" spans="2:16" ht="15" customHeight="1">
      <c r="B8" s="348"/>
      <c r="C8" s="319" t="s">
        <v>10</v>
      </c>
      <c r="D8" s="123" t="s">
        <v>207</v>
      </c>
      <c r="E8" s="229">
        <v>7750.268</v>
      </c>
      <c r="F8" s="103">
        <f>-6000.23</f>
        <v>-6000.23</v>
      </c>
      <c r="G8" s="4">
        <f>E8+F8</f>
        <v>1750.0380000000005</v>
      </c>
      <c r="H8" s="249">
        <v>45.515999999999998</v>
      </c>
      <c r="I8" s="224">
        <f t="shared" si="0"/>
        <v>1704.5220000000004</v>
      </c>
      <c r="J8" s="17">
        <f t="shared" si="1"/>
        <v>2.6008578099446976E-2</v>
      </c>
      <c r="K8" s="318">
        <f>E8+E9</f>
        <v>7908.4790000000003</v>
      </c>
      <c r="L8" s="308">
        <f>F8+F9</f>
        <v>-6000.23</v>
      </c>
      <c r="M8" s="308">
        <f>K8+L8</f>
        <v>1908.2490000000007</v>
      </c>
      <c r="N8" s="308">
        <f>H8+H9</f>
        <v>45.515999999999998</v>
      </c>
      <c r="O8" s="308">
        <f>M8-N8</f>
        <v>1862.7330000000006</v>
      </c>
      <c r="P8" s="306">
        <f>N8/M8</f>
        <v>2.3852233120520424E-2</v>
      </c>
    </row>
    <row r="9" spans="2:16" ht="15" customHeight="1">
      <c r="B9" s="348"/>
      <c r="C9" s="319"/>
      <c r="D9" s="123" t="s">
        <v>208</v>
      </c>
      <c r="E9" s="229">
        <v>158.21100000000001</v>
      </c>
      <c r="F9" s="103"/>
      <c r="G9" s="76">
        <f>E9+F9+I8</f>
        <v>1862.7330000000004</v>
      </c>
      <c r="H9" s="249"/>
      <c r="I9" s="224">
        <f t="shared" si="0"/>
        <v>1862.7330000000004</v>
      </c>
      <c r="J9" s="17">
        <f t="shared" si="1"/>
        <v>0</v>
      </c>
      <c r="K9" s="318"/>
      <c r="L9" s="308"/>
      <c r="M9" s="308"/>
      <c r="N9" s="308"/>
      <c r="O9" s="308"/>
      <c r="P9" s="306"/>
    </row>
    <row r="10" spans="2:16" ht="15" customHeight="1">
      <c r="B10" s="348"/>
      <c r="C10" s="319" t="s">
        <v>11</v>
      </c>
      <c r="D10" s="123" t="s">
        <v>207</v>
      </c>
      <c r="E10" s="229">
        <v>19820.879000000001</v>
      </c>
      <c r="F10" s="103">
        <f>3078.175+5130.289+3078.175+5643.319-5500.001-12000.002-7000.003</f>
        <v>-7570.0480000000016</v>
      </c>
      <c r="G10" s="4">
        <f>E10+F10</f>
        <v>12250.830999999998</v>
      </c>
      <c r="H10" s="249">
        <v>1769.5319999999999</v>
      </c>
      <c r="I10" s="224">
        <f t="shared" si="0"/>
        <v>10481.298999999999</v>
      </c>
      <c r="J10" s="17">
        <f t="shared" si="1"/>
        <v>0.14444179337711868</v>
      </c>
      <c r="K10" s="318">
        <f>E10+E11</f>
        <v>20225.495000000003</v>
      </c>
      <c r="L10" s="308">
        <f>F10+F11</f>
        <v>-7570.0480000000016</v>
      </c>
      <c r="M10" s="308">
        <f>K10+L10</f>
        <v>12655.447</v>
      </c>
      <c r="N10" s="308">
        <f>H10+H11</f>
        <v>1769.5319999999999</v>
      </c>
      <c r="O10" s="308">
        <f>M10-N10</f>
        <v>10885.915000000001</v>
      </c>
      <c r="P10" s="306">
        <f>N10/M10</f>
        <v>0.13982374545916867</v>
      </c>
    </row>
    <row r="11" spans="2:16" ht="15" customHeight="1">
      <c r="B11" s="348"/>
      <c r="C11" s="319"/>
      <c r="D11" s="123" t="s">
        <v>208</v>
      </c>
      <c r="E11" s="229">
        <v>404.61599999999999</v>
      </c>
      <c r="F11" s="103"/>
      <c r="G11" s="76">
        <f>E11+F11+I10</f>
        <v>10885.914999999999</v>
      </c>
      <c r="H11" s="249"/>
      <c r="I11" s="224">
        <f t="shared" si="0"/>
        <v>10885.914999999999</v>
      </c>
      <c r="J11" s="17">
        <f t="shared" si="1"/>
        <v>0</v>
      </c>
      <c r="K11" s="318"/>
      <c r="L11" s="308"/>
      <c r="M11" s="308"/>
      <c r="N11" s="308"/>
      <c r="O11" s="308"/>
      <c r="P11" s="306"/>
    </row>
    <row r="12" spans="2:16" ht="15" customHeight="1">
      <c r="B12" s="348"/>
      <c r="C12" s="319" t="s">
        <v>19</v>
      </c>
      <c r="D12" s="123" t="s">
        <v>207</v>
      </c>
      <c r="E12" s="229">
        <v>3016.5949999999998</v>
      </c>
      <c r="F12" s="104">
        <f>-3078.175</f>
        <v>-3078.1750000000002</v>
      </c>
      <c r="G12" s="4">
        <f>E12+F12</f>
        <v>-61.580000000000382</v>
      </c>
      <c r="H12" s="249"/>
      <c r="I12" s="224">
        <f>G12-H12</f>
        <v>-61.580000000000382</v>
      </c>
      <c r="J12" s="17">
        <f>H12/G12</f>
        <v>0</v>
      </c>
      <c r="K12" s="318">
        <f>E12+E13</f>
        <v>3078.1749999999997</v>
      </c>
      <c r="L12" s="308">
        <f>F12+F13</f>
        <v>-3078.1750000000002</v>
      </c>
      <c r="M12" s="308">
        <f>K12+L12</f>
        <v>0</v>
      </c>
      <c r="N12" s="308">
        <f>H12+H13</f>
        <v>0</v>
      </c>
      <c r="O12" s="308">
        <f>M12-N12</f>
        <v>0</v>
      </c>
      <c r="P12" s="313">
        <v>0</v>
      </c>
    </row>
    <row r="13" spans="2:16" ht="15" customHeight="1">
      <c r="B13" s="348"/>
      <c r="C13" s="319"/>
      <c r="D13" s="123" t="s">
        <v>208</v>
      </c>
      <c r="E13" s="229">
        <v>61.58</v>
      </c>
      <c r="F13" s="104"/>
      <c r="G13" s="76">
        <v>0</v>
      </c>
      <c r="H13" s="249"/>
      <c r="I13" s="224">
        <f>G13-H13</f>
        <v>0</v>
      </c>
      <c r="J13" s="17">
        <v>0</v>
      </c>
      <c r="K13" s="318"/>
      <c r="L13" s="308"/>
      <c r="M13" s="308"/>
      <c r="N13" s="308"/>
      <c r="O13" s="308"/>
      <c r="P13" s="313"/>
    </row>
    <row r="14" spans="2:16" ht="15" customHeight="1">
      <c r="B14" s="348"/>
      <c r="C14" s="319" t="s">
        <v>12</v>
      </c>
      <c r="D14" s="123" t="s">
        <v>207</v>
      </c>
      <c r="E14" s="229">
        <f>13574.675+2152.057</f>
        <v>15726.732</v>
      </c>
      <c r="F14" s="103">
        <f>-5130.289-3078.175-5643.319-2195+5500.001-5500+12000.002-12000+7000.003-7000</f>
        <v>-16046.776999999998</v>
      </c>
      <c r="G14" s="4">
        <f>E14+F14</f>
        <v>-320.04499999999825</v>
      </c>
      <c r="H14" s="249"/>
      <c r="I14" s="224">
        <f t="shared" si="0"/>
        <v>-320.04499999999825</v>
      </c>
      <c r="J14" s="17">
        <f t="shared" si="1"/>
        <v>0</v>
      </c>
      <c r="K14" s="318">
        <f>E14+E15</f>
        <v>16047.772999999999</v>
      </c>
      <c r="L14" s="308">
        <f>F14+F15</f>
        <v>-16046.776999999998</v>
      </c>
      <c r="M14" s="308">
        <f>K14+L14</f>
        <v>0.99600000000100408</v>
      </c>
      <c r="N14" s="308">
        <f>H14+H15</f>
        <v>0</v>
      </c>
      <c r="O14" s="308">
        <f>M14-N14</f>
        <v>0.99600000000100408</v>
      </c>
      <c r="P14" s="313">
        <f>N14/M14</f>
        <v>0</v>
      </c>
    </row>
    <row r="15" spans="2:16" ht="15" customHeight="1">
      <c r="B15" s="348"/>
      <c r="C15" s="319"/>
      <c r="D15" s="123" t="s">
        <v>208</v>
      </c>
      <c r="E15" s="229">
        <f>277.109+43.932</f>
        <v>321.041</v>
      </c>
      <c r="F15" s="103"/>
      <c r="G15" s="76">
        <f>E15+F15+I14</f>
        <v>0.99600000000174305</v>
      </c>
      <c r="H15" s="249"/>
      <c r="I15" s="224">
        <f t="shared" si="0"/>
        <v>0.99600000000174305</v>
      </c>
      <c r="J15" s="17">
        <f t="shared" si="1"/>
        <v>0</v>
      </c>
      <c r="K15" s="318"/>
      <c r="L15" s="308"/>
      <c r="M15" s="308"/>
      <c r="N15" s="308"/>
      <c r="O15" s="308"/>
      <c r="P15" s="313"/>
    </row>
    <row r="16" spans="2:16" ht="15" customHeight="1">
      <c r="B16" s="348"/>
      <c r="C16" s="319" t="s">
        <v>124</v>
      </c>
      <c r="D16" s="123" t="s">
        <v>207</v>
      </c>
      <c r="E16" s="229">
        <v>508.66699999999997</v>
      </c>
      <c r="F16" s="170">
        <f>-519.051+239.562+239.562+239.562+319.416-239.562-798.54</f>
        <v>-519.05100000000004</v>
      </c>
      <c r="G16" s="4">
        <f>E16+F16</f>
        <v>-10.384000000000071</v>
      </c>
      <c r="H16" s="249"/>
      <c r="I16" s="224">
        <f t="shared" si="0"/>
        <v>-10.384000000000071</v>
      </c>
      <c r="J16" s="17">
        <f t="shared" si="1"/>
        <v>0</v>
      </c>
      <c r="K16" s="318">
        <f>E16+E17</f>
        <v>519.05099999999993</v>
      </c>
      <c r="L16" s="308">
        <f>F16+F17</f>
        <v>-519.05100000000004</v>
      </c>
      <c r="M16" s="308">
        <f>K16+L16</f>
        <v>0</v>
      </c>
      <c r="N16" s="308">
        <f>H16+H17</f>
        <v>0</v>
      </c>
      <c r="O16" s="308">
        <f>M16-N16</f>
        <v>0</v>
      </c>
      <c r="P16" s="313">
        <v>0</v>
      </c>
    </row>
    <row r="17" spans="2:16" ht="15" customHeight="1">
      <c r="B17" s="348"/>
      <c r="C17" s="319"/>
      <c r="D17" s="123" t="s">
        <v>208</v>
      </c>
      <c r="E17" s="229">
        <v>10.384</v>
      </c>
      <c r="F17" s="103"/>
      <c r="G17" s="76">
        <v>0</v>
      </c>
      <c r="H17" s="249"/>
      <c r="I17" s="224">
        <f t="shared" si="0"/>
        <v>0</v>
      </c>
      <c r="J17" s="17">
        <v>0</v>
      </c>
      <c r="K17" s="318"/>
      <c r="L17" s="308"/>
      <c r="M17" s="308"/>
      <c r="N17" s="308"/>
      <c r="O17" s="308"/>
      <c r="P17" s="313"/>
    </row>
    <row r="18" spans="2:16" ht="15" customHeight="1">
      <c r="B18" s="348"/>
      <c r="C18" s="319" t="s">
        <v>21</v>
      </c>
      <c r="D18" s="123" t="s">
        <v>207</v>
      </c>
      <c r="E18" s="229">
        <f>2425.95</f>
        <v>2425.9499999999998</v>
      </c>
      <c r="F18" s="103">
        <f>-2475.474+6000.23-6000.23</f>
        <v>-2475.4740000000002</v>
      </c>
      <c r="G18" s="4">
        <f>E18+F18</f>
        <v>-49.524000000000342</v>
      </c>
      <c r="H18" s="249"/>
      <c r="I18" s="224">
        <f t="shared" si="0"/>
        <v>-49.524000000000342</v>
      </c>
      <c r="J18" s="17">
        <f t="shared" si="1"/>
        <v>0</v>
      </c>
      <c r="K18" s="318">
        <f>E18+E19</f>
        <v>2475.4739999999997</v>
      </c>
      <c r="L18" s="308">
        <f>F18+F19</f>
        <v>-2475.4740000000002</v>
      </c>
      <c r="M18" s="308">
        <f>K18+L18</f>
        <v>0</v>
      </c>
      <c r="N18" s="308">
        <f>H18+H19</f>
        <v>0</v>
      </c>
      <c r="O18" s="308">
        <f>M18-N18</f>
        <v>0</v>
      </c>
      <c r="P18" s="311">
        <v>0</v>
      </c>
    </row>
    <row r="19" spans="2:16" ht="15" customHeight="1">
      <c r="B19" s="348"/>
      <c r="C19" s="319"/>
      <c r="D19" s="123" t="s">
        <v>208</v>
      </c>
      <c r="E19" s="229">
        <v>49.524000000000001</v>
      </c>
      <c r="F19" s="103"/>
      <c r="G19" s="76">
        <v>0</v>
      </c>
      <c r="H19" s="249"/>
      <c r="I19" s="224">
        <f t="shared" si="0"/>
        <v>0</v>
      </c>
      <c r="J19" s="17">
        <v>0</v>
      </c>
      <c r="K19" s="318"/>
      <c r="L19" s="308"/>
      <c r="M19" s="308"/>
      <c r="N19" s="308"/>
      <c r="O19" s="308"/>
      <c r="P19" s="311"/>
    </row>
    <row r="20" spans="2:16" ht="15" customHeight="1">
      <c r="B20" s="348"/>
      <c r="C20" s="319" t="s">
        <v>16</v>
      </c>
      <c r="D20" s="123" t="s">
        <v>207</v>
      </c>
      <c r="E20" s="229">
        <v>1486.8720000000001</v>
      </c>
      <c r="F20" s="63">
        <f>-1517.226</f>
        <v>-1517.2260000000001</v>
      </c>
      <c r="G20" s="4">
        <f>E20+F20</f>
        <v>-30.354000000000042</v>
      </c>
      <c r="H20" s="249"/>
      <c r="I20" s="224">
        <f t="shared" si="0"/>
        <v>-30.354000000000042</v>
      </c>
      <c r="J20" s="17">
        <f t="shared" si="1"/>
        <v>0</v>
      </c>
      <c r="K20" s="318">
        <f>E20+E21</f>
        <v>1517.2260000000001</v>
      </c>
      <c r="L20" s="308">
        <f>F20+F21</f>
        <v>-1517.2260000000001</v>
      </c>
      <c r="M20" s="308">
        <f>K20+L20</f>
        <v>0</v>
      </c>
      <c r="N20" s="308">
        <f>H20+H21</f>
        <v>0</v>
      </c>
      <c r="O20" s="308">
        <f>M20-N20</f>
        <v>0</v>
      </c>
      <c r="P20" s="313">
        <v>0</v>
      </c>
    </row>
    <row r="21" spans="2:16" ht="15" customHeight="1">
      <c r="B21" s="348"/>
      <c r="C21" s="319"/>
      <c r="D21" s="123" t="s">
        <v>208</v>
      </c>
      <c r="E21" s="229">
        <v>30.353999999999999</v>
      </c>
      <c r="F21" s="103"/>
      <c r="G21" s="76">
        <v>0</v>
      </c>
      <c r="H21" s="249"/>
      <c r="I21" s="224">
        <f t="shared" si="0"/>
        <v>0</v>
      </c>
      <c r="J21" s="17">
        <v>0</v>
      </c>
      <c r="K21" s="318"/>
      <c r="L21" s="308"/>
      <c r="M21" s="308"/>
      <c r="N21" s="308"/>
      <c r="O21" s="308"/>
      <c r="P21" s="313"/>
    </row>
    <row r="22" spans="2:16" ht="15" customHeight="1">
      <c r="B22" s="348"/>
      <c r="C22" s="339" t="s">
        <v>230</v>
      </c>
      <c r="D22" s="123" t="s">
        <v>207</v>
      </c>
      <c r="E22" s="229">
        <v>0</v>
      </c>
      <c r="F22" s="176">
        <f>798.54+479.124-239.562-239.562-239.562-319.416</f>
        <v>239.56199999999984</v>
      </c>
      <c r="G22" s="4">
        <f>E22+F22</f>
        <v>239.56199999999984</v>
      </c>
      <c r="H22" s="249"/>
      <c r="I22" s="224">
        <f t="shared" si="0"/>
        <v>239.56199999999984</v>
      </c>
      <c r="J22" s="17">
        <f t="shared" si="1"/>
        <v>0</v>
      </c>
      <c r="K22" s="318">
        <f>E22+E23</f>
        <v>0</v>
      </c>
      <c r="L22" s="308">
        <f>F22+F23</f>
        <v>239.56199999999984</v>
      </c>
      <c r="M22" s="308">
        <f>K22+L22</f>
        <v>239.56199999999984</v>
      </c>
      <c r="N22" s="308">
        <f>H22+H23</f>
        <v>0</v>
      </c>
      <c r="O22" s="308">
        <f>M22-N22</f>
        <v>239.56199999999984</v>
      </c>
      <c r="P22" s="306">
        <f>N22/M22</f>
        <v>0</v>
      </c>
    </row>
    <row r="23" spans="2:16" ht="15" customHeight="1">
      <c r="B23" s="348"/>
      <c r="C23" s="341"/>
      <c r="D23" s="123" t="s">
        <v>208</v>
      </c>
      <c r="E23" s="229">
        <v>0</v>
      </c>
      <c r="F23" s="176"/>
      <c r="G23" s="76">
        <f>E23+F23+I22</f>
        <v>239.56199999999984</v>
      </c>
      <c r="H23" s="249"/>
      <c r="I23" s="224">
        <f t="shared" si="0"/>
        <v>239.56199999999984</v>
      </c>
      <c r="J23" s="17">
        <f t="shared" si="1"/>
        <v>0</v>
      </c>
      <c r="K23" s="318"/>
      <c r="L23" s="308"/>
      <c r="M23" s="308"/>
      <c r="N23" s="308"/>
      <c r="O23" s="308"/>
      <c r="P23" s="306"/>
    </row>
    <row r="24" spans="2:16" ht="15" customHeight="1">
      <c r="B24" s="348"/>
      <c r="C24" s="339" t="s">
        <v>15</v>
      </c>
      <c r="D24" s="123" t="s">
        <v>207</v>
      </c>
      <c r="E24" s="229">
        <v>1252.106</v>
      </c>
      <c r="F24" s="103">
        <f>-798.54-479.124</f>
        <v>-1277.664</v>
      </c>
      <c r="G24" s="4">
        <f>E24+F24</f>
        <v>-25.557999999999993</v>
      </c>
      <c r="H24" s="249"/>
      <c r="I24" s="224">
        <f t="shared" si="0"/>
        <v>-25.557999999999993</v>
      </c>
      <c r="J24" s="17">
        <f t="shared" si="1"/>
        <v>0</v>
      </c>
      <c r="K24" s="318">
        <f>E24+E25</f>
        <v>1277.6679999999999</v>
      </c>
      <c r="L24" s="308">
        <f>F24+F25</f>
        <v>-1277.664</v>
      </c>
      <c r="M24" s="308">
        <f>K24+L24</f>
        <v>3.9999999999054126E-3</v>
      </c>
      <c r="N24" s="308">
        <f>H24+H25</f>
        <v>0</v>
      </c>
      <c r="O24" s="308">
        <f>M24-N24</f>
        <v>3.9999999999054126E-3</v>
      </c>
      <c r="P24" s="313">
        <f>N24/M24</f>
        <v>0</v>
      </c>
    </row>
    <row r="25" spans="2:16" ht="15" customHeight="1" thickBot="1">
      <c r="B25" s="349"/>
      <c r="C25" s="340"/>
      <c r="D25" s="164" t="s">
        <v>208</v>
      </c>
      <c r="E25" s="230">
        <v>25.562000000000001</v>
      </c>
      <c r="F25" s="163"/>
      <c r="G25" s="165">
        <f>E25+F25+I24</f>
        <v>4.0000000000084412E-3</v>
      </c>
      <c r="H25" s="248"/>
      <c r="I25" s="225">
        <f t="shared" si="0"/>
        <v>4.0000000000084412E-3</v>
      </c>
      <c r="J25" s="166">
        <f t="shared" si="1"/>
        <v>0</v>
      </c>
      <c r="K25" s="326"/>
      <c r="L25" s="331"/>
      <c r="M25" s="331"/>
      <c r="N25" s="331"/>
      <c r="O25" s="331"/>
      <c r="P25" s="346"/>
    </row>
    <row r="26" spans="2:16" ht="15" customHeight="1">
      <c r="B26" s="356" t="s">
        <v>26</v>
      </c>
      <c r="C26" s="338" t="s">
        <v>22</v>
      </c>
      <c r="D26" s="122" t="s">
        <v>7</v>
      </c>
      <c r="E26" s="228">
        <v>894.91300000000001</v>
      </c>
      <c r="F26" s="159">
        <f>-940</f>
        <v>-940</v>
      </c>
      <c r="G26" s="5">
        <f>E26+F26</f>
        <v>-45.086999999999989</v>
      </c>
      <c r="H26" s="250"/>
      <c r="I26" s="126">
        <f>G26-H26</f>
        <v>-45.086999999999989</v>
      </c>
      <c r="J26" s="113">
        <f t="shared" si="1"/>
        <v>0</v>
      </c>
      <c r="K26" s="324">
        <f>E26+E27</f>
        <v>942.03600000000006</v>
      </c>
      <c r="L26" s="325">
        <f>F26+F27</f>
        <v>-940</v>
      </c>
      <c r="M26" s="325">
        <f>K26+L26</f>
        <v>2.0360000000000582</v>
      </c>
      <c r="N26" s="325">
        <f t="shared" ref="N26:N50" si="2">H26+H27</f>
        <v>0</v>
      </c>
      <c r="O26" s="325">
        <f>M26-N26</f>
        <v>2.0360000000000582</v>
      </c>
      <c r="P26" s="332">
        <f>N26/M26</f>
        <v>0</v>
      </c>
    </row>
    <row r="27" spans="2:16" ht="15" customHeight="1">
      <c r="B27" s="357"/>
      <c r="C27" s="336"/>
      <c r="D27" s="123" t="s">
        <v>8</v>
      </c>
      <c r="E27" s="229">
        <v>47.122999999999998</v>
      </c>
      <c r="F27" s="161"/>
      <c r="G27" s="76">
        <f>E27+F27+I26</f>
        <v>2.0360000000000085</v>
      </c>
      <c r="H27" s="249"/>
      <c r="I27" s="127">
        <f>G27-H27</f>
        <v>2.0360000000000085</v>
      </c>
      <c r="J27" s="167">
        <f t="shared" si="1"/>
        <v>0</v>
      </c>
      <c r="K27" s="318"/>
      <c r="L27" s="308"/>
      <c r="M27" s="308"/>
      <c r="N27" s="308"/>
      <c r="O27" s="308"/>
      <c r="P27" s="306"/>
    </row>
    <row r="28" spans="2:16" ht="15" customHeight="1">
      <c r="B28" s="357"/>
      <c r="C28" s="336" t="s">
        <v>9</v>
      </c>
      <c r="D28" s="123" t="s">
        <v>7</v>
      </c>
      <c r="E28" s="229">
        <v>2.76</v>
      </c>
      <c r="F28" s="161"/>
      <c r="G28" s="76">
        <f>E28+F28</f>
        <v>2.76</v>
      </c>
      <c r="H28" s="249"/>
      <c r="I28" s="127">
        <f t="shared" ref="I28:I57" si="3">G28-H28</f>
        <v>2.76</v>
      </c>
      <c r="J28" s="167">
        <f t="shared" si="1"/>
        <v>0</v>
      </c>
      <c r="K28" s="318">
        <f>E28+E29</f>
        <v>2.9049999999999998</v>
      </c>
      <c r="L28" s="308">
        <f>F28+F29</f>
        <v>0</v>
      </c>
      <c r="M28" s="308">
        <f>K28+L28</f>
        <v>2.9049999999999998</v>
      </c>
      <c r="N28" s="308">
        <f t="shared" si="2"/>
        <v>0</v>
      </c>
      <c r="O28" s="308">
        <f>M28-N28</f>
        <v>2.9049999999999998</v>
      </c>
      <c r="P28" s="306">
        <f>N28/M28</f>
        <v>0</v>
      </c>
    </row>
    <row r="29" spans="2:16" ht="15" customHeight="1">
      <c r="B29" s="357"/>
      <c r="C29" s="336"/>
      <c r="D29" s="123" t="s">
        <v>8</v>
      </c>
      <c r="E29" s="229">
        <v>0.14499999999999999</v>
      </c>
      <c r="F29" s="161"/>
      <c r="G29" s="76">
        <f>E29+F29+I28</f>
        <v>2.9049999999999998</v>
      </c>
      <c r="H29" s="249"/>
      <c r="I29" s="127">
        <f t="shared" si="3"/>
        <v>2.9049999999999998</v>
      </c>
      <c r="J29" s="167">
        <f t="shared" si="1"/>
        <v>0</v>
      </c>
      <c r="K29" s="318"/>
      <c r="L29" s="308"/>
      <c r="M29" s="308"/>
      <c r="N29" s="308"/>
      <c r="O29" s="308"/>
      <c r="P29" s="306"/>
    </row>
    <row r="30" spans="2:16" ht="15" customHeight="1">
      <c r="B30" s="357"/>
      <c r="C30" s="336" t="s">
        <v>14</v>
      </c>
      <c r="D30" s="123" t="s">
        <v>7</v>
      </c>
      <c r="E30" s="229">
        <v>40.215000000000003</v>
      </c>
      <c r="F30" s="161"/>
      <c r="G30" s="76">
        <f>E30+F30</f>
        <v>40.215000000000003</v>
      </c>
      <c r="H30" s="249"/>
      <c r="I30" s="127">
        <f t="shared" si="3"/>
        <v>40.215000000000003</v>
      </c>
      <c r="J30" s="167">
        <f t="shared" si="1"/>
        <v>0</v>
      </c>
      <c r="K30" s="318">
        <f>E30+E31</f>
        <v>42.333000000000006</v>
      </c>
      <c r="L30" s="308">
        <f>F30+F31</f>
        <v>0</v>
      </c>
      <c r="M30" s="308">
        <f>K30+L30</f>
        <v>42.333000000000006</v>
      </c>
      <c r="N30" s="308">
        <f t="shared" si="2"/>
        <v>0</v>
      </c>
      <c r="O30" s="308">
        <f>M30-N30</f>
        <v>42.333000000000006</v>
      </c>
      <c r="P30" s="306">
        <f>N30/M30</f>
        <v>0</v>
      </c>
    </row>
    <row r="31" spans="2:16" ht="15" customHeight="1">
      <c r="B31" s="357"/>
      <c r="C31" s="336"/>
      <c r="D31" s="123" t="s">
        <v>8</v>
      </c>
      <c r="E31" s="229">
        <v>2.1179999999999999</v>
      </c>
      <c r="F31" s="161"/>
      <c r="G31" s="76">
        <f>E31+F31+I30</f>
        <v>42.333000000000006</v>
      </c>
      <c r="H31" s="249"/>
      <c r="I31" s="127">
        <f t="shared" si="3"/>
        <v>42.333000000000006</v>
      </c>
      <c r="J31" s="167">
        <f t="shared" si="1"/>
        <v>0</v>
      </c>
      <c r="K31" s="318"/>
      <c r="L31" s="308"/>
      <c r="M31" s="308"/>
      <c r="N31" s="308"/>
      <c r="O31" s="308"/>
      <c r="P31" s="306"/>
    </row>
    <row r="32" spans="2:16" ht="15" customHeight="1">
      <c r="B32" s="357"/>
      <c r="C32" s="336" t="s">
        <v>15</v>
      </c>
      <c r="D32" s="123" t="s">
        <v>7</v>
      </c>
      <c r="E32" s="229">
        <f>2436.044+512.304</f>
        <v>2948.348</v>
      </c>
      <c r="F32" s="161">
        <f>-269.64-269.64-2000-400</f>
        <v>-2939.2799999999997</v>
      </c>
      <c r="G32" s="76">
        <f>E32+F32</f>
        <v>9.068000000000211</v>
      </c>
      <c r="H32" s="249"/>
      <c r="I32" s="127">
        <f t="shared" si="3"/>
        <v>9.068000000000211</v>
      </c>
      <c r="J32" s="167">
        <f t="shared" si="1"/>
        <v>0</v>
      </c>
      <c r="K32" s="318">
        <f>E32+E33</f>
        <v>3103.5969999999998</v>
      </c>
      <c r="L32" s="308">
        <f>F32+F33</f>
        <v>-2939.2799999999997</v>
      </c>
      <c r="M32" s="308">
        <f>K32+L32</f>
        <v>164.31700000000001</v>
      </c>
      <c r="N32" s="308">
        <f t="shared" si="2"/>
        <v>0</v>
      </c>
      <c r="O32" s="308">
        <f>M32-N32</f>
        <v>164.31700000000001</v>
      </c>
      <c r="P32" s="306">
        <f>N32/M32</f>
        <v>0</v>
      </c>
    </row>
    <row r="33" spans="2:16" ht="15" customHeight="1">
      <c r="B33" s="357"/>
      <c r="C33" s="336"/>
      <c r="D33" s="123" t="s">
        <v>8</v>
      </c>
      <c r="E33" s="229">
        <f>128.273+26.976</f>
        <v>155.249</v>
      </c>
      <c r="F33" s="161"/>
      <c r="G33" s="76">
        <f>E33+F33+I32</f>
        <v>164.31700000000021</v>
      </c>
      <c r="H33" s="249"/>
      <c r="I33" s="127">
        <f t="shared" si="3"/>
        <v>164.31700000000021</v>
      </c>
      <c r="J33" s="167">
        <f t="shared" si="1"/>
        <v>0</v>
      </c>
      <c r="K33" s="318"/>
      <c r="L33" s="308"/>
      <c r="M33" s="308"/>
      <c r="N33" s="308"/>
      <c r="O33" s="308"/>
      <c r="P33" s="306"/>
    </row>
    <row r="34" spans="2:16" ht="15" customHeight="1">
      <c r="B34" s="357"/>
      <c r="C34" s="336" t="s">
        <v>10</v>
      </c>
      <c r="D34" s="123" t="s">
        <v>7</v>
      </c>
      <c r="E34" s="229">
        <v>159.124</v>
      </c>
      <c r="F34" s="161"/>
      <c r="G34" s="76">
        <f>E34+F34</f>
        <v>159.124</v>
      </c>
      <c r="H34" s="249"/>
      <c r="I34" s="127">
        <f t="shared" si="3"/>
        <v>159.124</v>
      </c>
      <c r="J34" s="167">
        <f t="shared" si="1"/>
        <v>0</v>
      </c>
      <c r="K34" s="318">
        <f>E34+E35</f>
        <v>167.50299999999999</v>
      </c>
      <c r="L34" s="308">
        <f>F34+F35</f>
        <v>0</v>
      </c>
      <c r="M34" s="308">
        <f>K34+L34</f>
        <v>167.50299999999999</v>
      </c>
      <c r="N34" s="308">
        <f t="shared" si="2"/>
        <v>0</v>
      </c>
      <c r="O34" s="308">
        <f>M34-N34</f>
        <v>167.50299999999999</v>
      </c>
      <c r="P34" s="306">
        <v>0</v>
      </c>
    </row>
    <row r="35" spans="2:16" ht="15" customHeight="1">
      <c r="B35" s="357"/>
      <c r="C35" s="336"/>
      <c r="D35" s="123" t="s">
        <v>8</v>
      </c>
      <c r="E35" s="229">
        <v>8.3789999999999996</v>
      </c>
      <c r="F35" s="161"/>
      <c r="G35" s="76">
        <f>E35+F35+I34</f>
        <v>167.50299999999999</v>
      </c>
      <c r="H35" s="249"/>
      <c r="I35" s="127">
        <f t="shared" si="3"/>
        <v>167.50299999999999</v>
      </c>
      <c r="J35" s="167">
        <f t="shared" si="1"/>
        <v>0</v>
      </c>
      <c r="K35" s="318"/>
      <c r="L35" s="308"/>
      <c r="M35" s="308"/>
      <c r="N35" s="308"/>
      <c r="O35" s="308"/>
      <c r="P35" s="306"/>
    </row>
    <row r="36" spans="2:16" ht="15" customHeight="1">
      <c r="B36" s="357"/>
      <c r="C36" s="336" t="s">
        <v>16</v>
      </c>
      <c r="D36" s="123" t="s">
        <v>7</v>
      </c>
      <c r="E36" s="229">
        <f>61.795+448.267</f>
        <v>510.06200000000001</v>
      </c>
      <c r="F36" s="63">
        <f>-471.87</f>
        <v>-471.87</v>
      </c>
      <c r="G36" s="76">
        <f>E36+F36</f>
        <v>38.192000000000007</v>
      </c>
      <c r="H36" s="249"/>
      <c r="I36" s="127">
        <f t="shared" si="3"/>
        <v>38.192000000000007</v>
      </c>
      <c r="J36" s="167">
        <f t="shared" si="1"/>
        <v>0</v>
      </c>
      <c r="K36" s="318">
        <f>E36+E37</f>
        <v>536.91999999999996</v>
      </c>
      <c r="L36" s="308">
        <f>F36+F37</f>
        <v>-471.87</v>
      </c>
      <c r="M36" s="308">
        <f>K36+L36</f>
        <v>65.049999999999955</v>
      </c>
      <c r="N36" s="308">
        <f t="shared" si="2"/>
        <v>0</v>
      </c>
      <c r="O36" s="308">
        <f>M36-N36</f>
        <v>65.049999999999955</v>
      </c>
      <c r="P36" s="306">
        <f>N36/M36</f>
        <v>0</v>
      </c>
    </row>
    <row r="37" spans="2:16" ht="15" customHeight="1">
      <c r="B37" s="357"/>
      <c r="C37" s="336"/>
      <c r="D37" s="123" t="s">
        <v>8</v>
      </c>
      <c r="E37" s="229">
        <f>3.254+23.604</f>
        <v>26.858000000000001</v>
      </c>
      <c r="F37" s="161"/>
      <c r="G37" s="76">
        <f>E37+F37+I36</f>
        <v>65.050000000000011</v>
      </c>
      <c r="H37" s="249"/>
      <c r="I37" s="127">
        <f t="shared" si="3"/>
        <v>65.050000000000011</v>
      </c>
      <c r="J37" s="167">
        <f t="shared" si="1"/>
        <v>0</v>
      </c>
      <c r="K37" s="318"/>
      <c r="L37" s="308"/>
      <c r="M37" s="308"/>
      <c r="N37" s="308"/>
      <c r="O37" s="308"/>
      <c r="P37" s="306"/>
    </row>
    <row r="38" spans="2:16" ht="15" customHeight="1">
      <c r="B38" s="357"/>
      <c r="C38" s="336" t="s">
        <v>127</v>
      </c>
      <c r="D38" s="123" t="s">
        <v>7</v>
      </c>
      <c r="E38" s="229">
        <f>103.611+336.2</f>
        <v>439.81099999999998</v>
      </c>
      <c r="F38" s="161">
        <f>-50.558-67.41-101.115-134.82+67.41+101.115+134.82-109.067-302.334+50.558</f>
        <v>-411.40099999999995</v>
      </c>
      <c r="G38" s="76">
        <f>E38+F38</f>
        <v>28.410000000000025</v>
      </c>
      <c r="H38" s="249"/>
      <c r="I38" s="127">
        <f t="shared" si="3"/>
        <v>28.410000000000025</v>
      </c>
      <c r="J38" s="167">
        <f t="shared" si="1"/>
        <v>0</v>
      </c>
      <c r="K38" s="318">
        <f>E38+E39</f>
        <v>462.96999999999997</v>
      </c>
      <c r="L38" s="308">
        <f>F38+F39</f>
        <v>-411.40099999999995</v>
      </c>
      <c r="M38" s="308">
        <f>K38+L38</f>
        <v>51.569000000000017</v>
      </c>
      <c r="N38" s="308">
        <f t="shared" si="2"/>
        <v>0</v>
      </c>
      <c r="O38" s="308">
        <f>M38-N38</f>
        <v>51.569000000000017</v>
      </c>
      <c r="P38" s="306">
        <f>N38/M38</f>
        <v>0</v>
      </c>
    </row>
    <row r="39" spans="2:16" ht="15" customHeight="1">
      <c r="B39" s="357"/>
      <c r="C39" s="336"/>
      <c r="D39" s="123" t="s">
        <v>8</v>
      </c>
      <c r="E39" s="229">
        <f>5.456+17.703</f>
        <v>23.158999999999999</v>
      </c>
      <c r="F39" s="161"/>
      <c r="G39" s="76">
        <f>E39+F39+I38</f>
        <v>51.569000000000024</v>
      </c>
      <c r="H39" s="249"/>
      <c r="I39" s="127">
        <f t="shared" si="3"/>
        <v>51.569000000000024</v>
      </c>
      <c r="J39" s="167">
        <f t="shared" si="1"/>
        <v>0</v>
      </c>
      <c r="K39" s="318"/>
      <c r="L39" s="308"/>
      <c r="M39" s="308"/>
      <c r="N39" s="308"/>
      <c r="O39" s="308"/>
      <c r="P39" s="306"/>
    </row>
    <row r="40" spans="2:16" ht="15" customHeight="1">
      <c r="B40" s="357"/>
      <c r="C40" s="336" t="s">
        <v>17</v>
      </c>
      <c r="D40" s="123" t="s">
        <v>7</v>
      </c>
      <c r="E40" s="229">
        <v>10.199</v>
      </c>
      <c r="F40" s="161"/>
      <c r="G40" s="76">
        <f>E40+F40</f>
        <v>10.199</v>
      </c>
      <c r="H40" s="249"/>
      <c r="I40" s="127">
        <f t="shared" si="3"/>
        <v>10.199</v>
      </c>
      <c r="J40" s="167">
        <f t="shared" si="1"/>
        <v>0</v>
      </c>
      <c r="K40" s="318">
        <f>E40+E41</f>
        <v>10.736000000000001</v>
      </c>
      <c r="L40" s="308">
        <f>F40+F41</f>
        <v>0</v>
      </c>
      <c r="M40" s="308">
        <f>K40+L40</f>
        <v>10.736000000000001</v>
      </c>
      <c r="N40" s="308">
        <f t="shared" si="2"/>
        <v>0</v>
      </c>
      <c r="O40" s="308">
        <f>M40-N40</f>
        <v>10.736000000000001</v>
      </c>
      <c r="P40" s="306">
        <f>N40/M40</f>
        <v>0</v>
      </c>
    </row>
    <row r="41" spans="2:16" ht="15" customHeight="1">
      <c r="B41" s="357"/>
      <c r="C41" s="336"/>
      <c r="D41" s="123" t="s">
        <v>8</v>
      </c>
      <c r="E41" s="229">
        <v>0.53700000000000003</v>
      </c>
      <c r="F41" s="161"/>
      <c r="G41" s="76">
        <f>E41+F41+I40</f>
        <v>10.736000000000001</v>
      </c>
      <c r="H41" s="249"/>
      <c r="I41" s="127">
        <f t="shared" si="3"/>
        <v>10.736000000000001</v>
      </c>
      <c r="J41" s="167">
        <f t="shared" si="1"/>
        <v>0</v>
      </c>
      <c r="K41" s="318"/>
      <c r="L41" s="308"/>
      <c r="M41" s="308"/>
      <c r="N41" s="308"/>
      <c r="O41" s="308"/>
      <c r="P41" s="306"/>
    </row>
    <row r="42" spans="2:16" ht="15" customHeight="1">
      <c r="B42" s="357"/>
      <c r="C42" s="336" t="s">
        <v>18</v>
      </c>
      <c r="D42" s="123" t="s">
        <v>7</v>
      </c>
      <c r="E42" s="229">
        <v>70.665999999999997</v>
      </c>
      <c r="F42" s="161">
        <f>134.82+134.82+134.82+134.82-539.28</f>
        <v>0</v>
      </c>
      <c r="G42" s="76">
        <f>E42+F42</f>
        <v>70.665999999999997</v>
      </c>
      <c r="H42" s="249"/>
      <c r="I42" s="127">
        <f t="shared" si="3"/>
        <v>70.665999999999997</v>
      </c>
      <c r="J42" s="167">
        <f t="shared" si="1"/>
        <v>0</v>
      </c>
      <c r="K42" s="318">
        <f>E42+E43</f>
        <v>74.387</v>
      </c>
      <c r="L42" s="308">
        <f>F42+F43</f>
        <v>0</v>
      </c>
      <c r="M42" s="308">
        <f>K42+L42</f>
        <v>74.387</v>
      </c>
      <c r="N42" s="308">
        <f t="shared" si="2"/>
        <v>0</v>
      </c>
      <c r="O42" s="308">
        <f>M42-N42</f>
        <v>74.387</v>
      </c>
      <c r="P42" s="306">
        <f>N42/M42</f>
        <v>0</v>
      </c>
    </row>
    <row r="43" spans="2:16" ht="15" customHeight="1">
      <c r="B43" s="357"/>
      <c r="C43" s="336"/>
      <c r="D43" s="123" t="s">
        <v>8</v>
      </c>
      <c r="E43" s="229">
        <v>3.7210000000000001</v>
      </c>
      <c r="F43" s="161"/>
      <c r="G43" s="76">
        <f>E43+F43+I42</f>
        <v>74.387</v>
      </c>
      <c r="H43" s="249"/>
      <c r="I43" s="127">
        <f t="shared" si="3"/>
        <v>74.387</v>
      </c>
      <c r="J43" s="167">
        <f t="shared" si="1"/>
        <v>0</v>
      </c>
      <c r="K43" s="318"/>
      <c r="L43" s="308"/>
      <c r="M43" s="308"/>
      <c r="N43" s="308"/>
      <c r="O43" s="308"/>
      <c r="P43" s="306"/>
    </row>
    <row r="44" spans="2:16" ht="15" customHeight="1">
      <c r="B44" s="357"/>
      <c r="C44" s="336" t="s">
        <v>19</v>
      </c>
      <c r="D44" s="123" t="s">
        <v>7</v>
      </c>
      <c r="E44" s="229">
        <v>4.5890000000000004</v>
      </c>
      <c r="F44" s="161">
        <f>-3.831</f>
        <v>-3.831</v>
      </c>
      <c r="G44" s="76">
        <f>E44+F44</f>
        <v>0.75800000000000045</v>
      </c>
      <c r="H44" s="249"/>
      <c r="I44" s="127">
        <f t="shared" si="3"/>
        <v>0.75800000000000045</v>
      </c>
      <c r="J44" s="167">
        <f t="shared" si="1"/>
        <v>0</v>
      </c>
      <c r="K44" s="318">
        <f>E44+E45</f>
        <v>4.8310000000000004</v>
      </c>
      <c r="L44" s="308">
        <f>F44+F45</f>
        <v>-3.831</v>
      </c>
      <c r="M44" s="308">
        <f>K44+L44</f>
        <v>1.0000000000000004</v>
      </c>
      <c r="N44" s="308">
        <f t="shared" si="2"/>
        <v>0</v>
      </c>
      <c r="O44" s="308">
        <f>M44-N44</f>
        <v>1.0000000000000004</v>
      </c>
      <c r="P44" s="314">
        <f>N44/M44</f>
        <v>0</v>
      </c>
    </row>
    <row r="45" spans="2:16" ht="15" customHeight="1">
      <c r="B45" s="357"/>
      <c r="C45" s="336"/>
      <c r="D45" s="123" t="s">
        <v>8</v>
      </c>
      <c r="E45" s="229">
        <v>0.24199999999999999</v>
      </c>
      <c r="F45" s="161"/>
      <c r="G45" s="76">
        <f>E45+F45+I44</f>
        <v>1.0000000000000004</v>
      </c>
      <c r="H45" s="249"/>
      <c r="I45" s="127">
        <f t="shared" si="3"/>
        <v>1.0000000000000004</v>
      </c>
      <c r="J45" s="167">
        <f t="shared" si="1"/>
        <v>0</v>
      </c>
      <c r="K45" s="318"/>
      <c r="L45" s="308"/>
      <c r="M45" s="308"/>
      <c r="N45" s="308"/>
      <c r="O45" s="308"/>
      <c r="P45" s="314"/>
    </row>
    <row r="46" spans="2:16" ht="15" customHeight="1">
      <c r="B46" s="357"/>
      <c r="C46" s="336" t="s">
        <v>20</v>
      </c>
      <c r="D46" s="123" t="s">
        <v>7</v>
      </c>
      <c r="E46" s="229">
        <f>4654.176+240.143</f>
        <v>4894.3190000000004</v>
      </c>
      <c r="F46" s="161">
        <f>-3000-1899.248-200.752</f>
        <v>-5100</v>
      </c>
      <c r="G46" s="76">
        <f>E46+F46</f>
        <v>-205.68099999999959</v>
      </c>
      <c r="H46" s="249"/>
      <c r="I46" s="127">
        <f t="shared" si="3"/>
        <v>-205.68099999999959</v>
      </c>
      <c r="J46" s="167">
        <f t="shared" si="1"/>
        <v>0</v>
      </c>
      <c r="K46" s="318">
        <f>E46+E47</f>
        <v>5152.0350000000008</v>
      </c>
      <c r="L46" s="308">
        <f>F46+F47</f>
        <v>-5100</v>
      </c>
      <c r="M46" s="308">
        <f>K46+L46</f>
        <v>52.035000000000764</v>
      </c>
      <c r="N46" s="308">
        <f t="shared" si="2"/>
        <v>0</v>
      </c>
      <c r="O46" s="308">
        <f>M46-N46</f>
        <v>52.035000000000764</v>
      </c>
      <c r="P46" s="306">
        <f>N46/M46</f>
        <v>0</v>
      </c>
    </row>
    <row r="47" spans="2:16" ht="15" customHeight="1">
      <c r="B47" s="357"/>
      <c r="C47" s="336"/>
      <c r="D47" s="123" t="s">
        <v>8</v>
      </c>
      <c r="E47" s="229">
        <f>245.071+12.645</f>
        <v>257.71600000000001</v>
      </c>
      <c r="F47" s="161"/>
      <c r="G47" s="76">
        <f>E47+F47+I46</f>
        <v>52.035000000000423</v>
      </c>
      <c r="H47" s="249"/>
      <c r="I47" s="127">
        <f t="shared" si="3"/>
        <v>52.035000000000423</v>
      </c>
      <c r="J47" s="167">
        <f t="shared" si="1"/>
        <v>0</v>
      </c>
      <c r="K47" s="318"/>
      <c r="L47" s="308"/>
      <c r="M47" s="308"/>
      <c r="N47" s="308"/>
      <c r="O47" s="308"/>
      <c r="P47" s="306"/>
    </row>
    <row r="48" spans="2:16" ht="15" customHeight="1">
      <c r="B48" s="357"/>
      <c r="C48" s="336" t="s">
        <v>21</v>
      </c>
      <c r="D48" s="123" t="s">
        <v>7</v>
      </c>
      <c r="E48" s="229">
        <v>633.95899999999995</v>
      </c>
      <c r="F48" s="161">
        <f>-600.065</f>
        <v>-600.06500000000005</v>
      </c>
      <c r="G48" s="76">
        <f>E48+F48</f>
        <v>33.893999999999892</v>
      </c>
      <c r="H48" s="249"/>
      <c r="I48" s="127">
        <f t="shared" si="3"/>
        <v>33.893999999999892</v>
      </c>
      <c r="J48" s="167">
        <f t="shared" si="1"/>
        <v>0</v>
      </c>
      <c r="K48" s="318">
        <f>E48+E49</f>
        <v>667.34099999999989</v>
      </c>
      <c r="L48" s="308">
        <f>F48+F49</f>
        <v>-600.06500000000005</v>
      </c>
      <c r="M48" s="308">
        <f>K48+L48</f>
        <v>67.27599999999984</v>
      </c>
      <c r="N48" s="308">
        <f t="shared" si="2"/>
        <v>0</v>
      </c>
      <c r="O48" s="308">
        <f>M48-N48</f>
        <v>67.27599999999984</v>
      </c>
      <c r="P48" s="306">
        <f>N48/M48</f>
        <v>0</v>
      </c>
    </row>
    <row r="49" spans="2:16" ht="15" customHeight="1">
      <c r="B49" s="357"/>
      <c r="C49" s="336"/>
      <c r="D49" s="123" t="s">
        <v>8</v>
      </c>
      <c r="E49" s="229">
        <v>33.381999999999998</v>
      </c>
      <c r="F49" s="161"/>
      <c r="G49" s="76">
        <f>E49+F49+I48</f>
        <v>67.275999999999897</v>
      </c>
      <c r="H49" s="249"/>
      <c r="I49" s="127">
        <f t="shared" si="3"/>
        <v>67.275999999999897</v>
      </c>
      <c r="J49" s="167">
        <f t="shared" si="1"/>
        <v>0</v>
      </c>
      <c r="K49" s="318"/>
      <c r="L49" s="308"/>
      <c r="M49" s="308"/>
      <c r="N49" s="308"/>
      <c r="O49" s="308"/>
      <c r="P49" s="306"/>
    </row>
    <row r="50" spans="2:16" ht="15" customHeight="1">
      <c r="B50" s="357"/>
      <c r="C50" s="336" t="s">
        <v>91</v>
      </c>
      <c r="D50" s="123" t="s">
        <v>7</v>
      </c>
      <c r="E50" s="229">
        <v>64.037999999999997</v>
      </c>
      <c r="F50" s="161">
        <f>-65</f>
        <v>-65</v>
      </c>
      <c r="G50" s="76">
        <f>E50+F50</f>
        <v>-0.9620000000000033</v>
      </c>
      <c r="H50" s="249"/>
      <c r="I50" s="127">
        <f t="shared" si="3"/>
        <v>-0.9620000000000033</v>
      </c>
      <c r="J50" s="167">
        <f t="shared" si="1"/>
        <v>0</v>
      </c>
      <c r="K50" s="318">
        <f>E50+E51</f>
        <v>67.41</v>
      </c>
      <c r="L50" s="308">
        <f>F50+F51</f>
        <v>-65</v>
      </c>
      <c r="M50" s="308">
        <f>K50+L50</f>
        <v>2.4099999999999966</v>
      </c>
      <c r="N50" s="308">
        <f t="shared" si="2"/>
        <v>0</v>
      </c>
      <c r="O50" s="308">
        <f>M50-N50</f>
        <v>2.4099999999999966</v>
      </c>
      <c r="P50" s="306">
        <f>N50/M50</f>
        <v>0</v>
      </c>
    </row>
    <row r="51" spans="2:16" ht="15" customHeight="1">
      <c r="B51" s="357"/>
      <c r="C51" s="336"/>
      <c r="D51" s="123" t="s">
        <v>8</v>
      </c>
      <c r="E51" s="229">
        <v>3.3719999999999999</v>
      </c>
      <c r="F51" s="161"/>
      <c r="G51" s="76">
        <f>E51+F51+I50</f>
        <v>2.4099999999999966</v>
      </c>
      <c r="H51" s="249"/>
      <c r="I51" s="127">
        <f t="shared" si="3"/>
        <v>2.4099999999999966</v>
      </c>
      <c r="J51" s="167">
        <f t="shared" ref="J51:J92" si="4">H51/G51</f>
        <v>0</v>
      </c>
      <c r="K51" s="318"/>
      <c r="L51" s="308"/>
      <c r="M51" s="308"/>
      <c r="N51" s="308"/>
      <c r="O51" s="308"/>
      <c r="P51" s="306"/>
    </row>
    <row r="52" spans="2:16" ht="15" customHeight="1">
      <c r="B52" s="357"/>
      <c r="C52" s="333" t="s">
        <v>231</v>
      </c>
      <c r="D52" s="123" t="s">
        <v>7</v>
      </c>
      <c r="E52" s="229">
        <v>0</v>
      </c>
      <c r="F52" s="177">
        <f>50.558-50.558</f>
        <v>0</v>
      </c>
      <c r="G52" s="76">
        <f>E52+F52</f>
        <v>0</v>
      </c>
      <c r="H52" s="249"/>
      <c r="I52" s="127">
        <f t="shared" si="3"/>
        <v>0</v>
      </c>
      <c r="J52" s="167">
        <v>0</v>
      </c>
      <c r="K52" s="318">
        <f>E52+E53</f>
        <v>0</v>
      </c>
      <c r="L52" s="308">
        <f>F52+F53</f>
        <v>0</v>
      </c>
      <c r="M52" s="308">
        <f>K52+L52</f>
        <v>0</v>
      </c>
      <c r="N52" s="308">
        <f t="shared" ref="N52" si="5">H52+H53</f>
        <v>0</v>
      </c>
      <c r="O52" s="308">
        <f>M52-N52</f>
        <v>0</v>
      </c>
      <c r="P52" s="313">
        <v>0</v>
      </c>
    </row>
    <row r="53" spans="2:16" ht="14.25" customHeight="1">
      <c r="B53" s="357"/>
      <c r="C53" s="334"/>
      <c r="D53" s="123" t="s">
        <v>8</v>
      </c>
      <c r="E53" s="229">
        <v>0</v>
      </c>
      <c r="F53" s="177"/>
      <c r="G53" s="76">
        <f>E53+F53+I52</f>
        <v>0</v>
      </c>
      <c r="H53" s="249"/>
      <c r="I53" s="127">
        <f t="shared" si="3"/>
        <v>0</v>
      </c>
      <c r="J53" s="167">
        <v>0</v>
      </c>
      <c r="K53" s="318"/>
      <c r="L53" s="308"/>
      <c r="M53" s="308"/>
      <c r="N53" s="308"/>
      <c r="O53" s="308"/>
      <c r="P53" s="313"/>
    </row>
    <row r="54" spans="2:16" ht="14.25" customHeight="1">
      <c r="B54" s="357"/>
      <c r="C54" s="333" t="s">
        <v>232</v>
      </c>
      <c r="D54" s="123" t="s">
        <v>7</v>
      </c>
      <c r="E54" s="229">
        <v>0</v>
      </c>
      <c r="F54" s="177">
        <f>67.41+101.115+134.82-67.41-101.115-134.82</f>
        <v>0</v>
      </c>
      <c r="G54" s="76">
        <f>E54+F54</f>
        <v>0</v>
      </c>
      <c r="H54" s="249"/>
      <c r="I54" s="127">
        <f t="shared" si="3"/>
        <v>0</v>
      </c>
      <c r="J54" s="167">
        <v>0</v>
      </c>
      <c r="K54" s="318">
        <f>E54+E55</f>
        <v>0</v>
      </c>
      <c r="L54" s="308">
        <f>F54+F55</f>
        <v>0</v>
      </c>
      <c r="M54" s="308">
        <f>K54+L54</f>
        <v>0</v>
      </c>
      <c r="N54" s="308">
        <f t="shared" ref="N54" si="6">H54+H55</f>
        <v>0</v>
      </c>
      <c r="O54" s="308">
        <f>M54-N54</f>
        <v>0</v>
      </c>
      <c r="P54" s="311">
        <v>0</v>
      </c>
    </row>
    <row r="55" spans="2:16" ht="14.25" customHeight="1">
      <c r="B55" s="357"/>
      <c r="C55" s="334"/>
      <c r="D55" s="123" t="s">
        <v>8</v>
      </c>
      <c r="E55" s="229">
        <v>0</v>
      </c>
      <c r="F55" s="177"/>
      <c r="G55" s="76">
        <f>E55+F55+I54</f>
        <v>0</v>
      </c>
      <c r="H55" s="249"/>
      <c r="I55" s="127">
        <f t="shared" si="3"/>
        <v>0</v>
      </c>
      <c r="J55" s="167">
        <v>0</v>
      </c>
      <c r="K55" s="318"/>
      <c r="L55" s="308"/>
      <c r="M55" s="308"/>
      <c r="N55" s="308"/>
      <c r="O55" s="308"/>
      <c r="P55" s="311"/>
    </row>
    <row r="56" spans="2:16" ht="15" customHeight="1">
      <c r="B56" s="357"/>
      <c r="C56" s="336" t="s">
        <v>230</v>
      </c>
      <c r="D56" s="123" t="s">
        <v>7</v>
      </c>
      <c r="E56" s="229">
        <v>0</v>
      </c>
      <c r="F56" s="161">
        <f>269.64+269.64-134.82-134.82-134.82-134.82</f>
        <v>0</v>
      </c>
      <c r="G56" s="76">
        <f>E56+F56</f>
        <v>0</v>
      </c>
      <c r="H56" s="249"/>
      <c r="I56" s="127">
        <f t="shared" si="3"/>
        <v>0</v>
      </c>
      <c r="J56" s="167">
        <v>0</v>
      </c>
      <c r="K56" s="318">
        <f>E56+E57</f>
        <v>0</v>
      </c>
      <c r="L56" s="308">
        <f>F56+F57</f>
        <v>0</v>
      </c>
      <c r="M56" s="308">
        <f>K56+L56</f>
        <v>0</v>
      </c>
      <c r="N56" s="308">
        <f>H56+H57</f>
        <v>0</v>
      </c>
      <c r="O56" s="308">
        <f>M56-N56</f>
        <v>0</v>
      </c>
      <c r="P56" s="311">
        <v>0</v>
      </c>
    </row>
    <row r="57" spans="2:16" ht="15" customHeight="1" thickBot="1">
      <c r="B57" s="358"/>
      <c r="C57" s="337"/>
      <c r="D57" s="164" t="s">
        <v>8</v>
      </c>
      <c r="E57" s="230">
        <v>0</v>
      </c>
      <c r="F57" s="163"/>
      <c r="G57" s="165">
        <f>E57+F57+I56</f>
        <v>0</v>
      </c>
      <c r="H57" s="248"/>
      <c r="I57" s="226">
        <f t="shared" si="3"/>
        <v>0</v>
      </c>
      <c r="J57" s="169">
        <v>0</v>
      </c>
      <c r="K57" s="326"/>
      <c r="L57" s="331"/>
      <c r="M57" s="331"/>
      <c r="N57" s="331"/>
      <c r="O57" s="331"/>
      <c r="P57" s="351"/>
    </row>
    <row r="58" spans="2:16" ht="15" customHeight="1">
      <c r="B58" s="352" t="s">
        <v>30</v>
      </c>
      <c r="C58" s="345" t="s">
        <v>22</v>
      </c>
      <c r="D58" s="122" t="s">
        <v>7</v>
      </c>
      <c r="E58" s="228">
        <f>26213.004+2125.62</f>
        <v>28338.624</v>
      </c>
      <c r="F58" s="159">
        <f>2900+50+940+2778</f>
        <v>6668</v>
      </c>
      <c r="G58" s="5">
        <f>E58+F58</f>
        <v>35006.623999999996</v>
      </c>
      <c r="H58" s="255">
        <v>35524.97</v>
      </c>
      <c r="I58" s="126">
        <f t="shared" ref="I58:I71" si="7">G58-H58</f>
        <v>-518.34600000000501</v>
      </c>
      <c r="J58" s="113">
        <f t="shared" si="4"/>
        <v>1.0148070833679936</v>
      </c>
      <c r="K58" s="324">
        <f>E58+E59</f>
        <v>28916.963</v>
      </c>
      <c r="L58" s="325">
        <f>F58+F59</f>
        <v>6668</v>
      </c>
      <c r="M58" s="325">
        <f>K58+L58</f>
        <v>35584.963000000003</v>
      </c>
      <c r="N58" s="325">
        <f>H58+H59</f>
        <v>35524.97</v>
      </c>
      <c r="O58" s="325">
        <f>M58-N58</f>
        <v>59.993000000002212</v>
      </c>
      <c r="P58" s="323">
        <f>N58/M58</f>
        <v>0.99831409126377335</v>
      </c>
    </row>
    <row r="59" spans="2:16" ht="15" customHeight="1">
      <c r="B59" s="353"/>
      <c r="C59" s="335"/>
      <c r="D59" s="123" t="s">
        <v>8</v>
      </c>
      <c r="E59" s="229">
        <f>534.959+43.38</f>
        <v>578.33899999999994</v>
      </c>
      <c r="F59" s="161"/>
      <c r="G59" s="76">
        <f>E59+F59+I58</f>
        <v>59.992999999994936</v>
      </c>
      <c r="H59" s="249"/>
      <c r="I59" s="127">
        <f t="shared" si="7"/>
        <v>59.992999999994936</v>
      </c>
      <c r="J59" s="167">
        <f t="shared" si="4"/>
        <v>0</v>
      </c>
      <c r="K59" s="318"/>
      <c r="L59" s="308"/>
      <c r="M59" s="308"/>
      <c r="N59" s="308"/>
      <c r="O59" s="308"/>
      <c r="P59" s="314"/>
    </row>
    <row r="60" spans="2:16" ht="15" customHeight="1">
      <c r="B60" s="353"/>
      <c r="C60" s="335" t="s">
        <v>15</v>
      </c>
      <c r="D60" s="123" t="s">
        <v>7</v>
      </c>
      <c r="E60" s="229">
        <f>47446.247+1417.08</f>
        <v>48863.327000000005</v>
      </c>
      <c r="F60" s="63">
        <f>2000+5000+1300+400</f>
        <v>8700</v>
      </c>
      <c r="G60" s="76">
        <f>E60+F60</f>
        <v>57563.327000000005</v>
      </c>
      <c r="H60" s="249">
        <v>57626.453000000001</v>
      </c>
      <c r="I60" s="127">
        <f t="shared" si="7"/>
        <v>-63.125999999996566</v>
      </c>
      <c r="J60" s="167">
        <f t="shared" si="4"/>
        <v>1.0010966357104412</v>
      </c>
      <c r="K60" s="318">
        <f>E60+E61</f>
        <v>49860.538000000008</v>
      </c>
      <c r="L60" s="308">
        <f>F60+F61</f>
        <v>8700</v>
      </c>
      <c r="M60" s="308">
        <f>K60+L60</f>
        <v>58560.538000000008</v>
      </c>
      <c r="N60" s="308">
        <f>H60+H61</f>
        <v>57626.453000000001</v>
      </c>
      <c r="O60" s="308">
        <f>M60-N60</f>
        <v>934.0850000000064</v>
      </c>
      <c r="P60" s="314">
        <f>N60/M60</f>
        <v>0.98404924148750128</v>
      </c>
    </row>
    <row r="61" spans="2:16" ht="15" customHeight="1">
      <c r="B61" s="353"/>
      <c r="C61" s="335"/>
      <c r="D61" s="123" t="s">
        <v>8</v>
      </c>
      <c r="E61" s="229">
        <f>968.291+28.92</f>
        <v>997.21100000000001</v>
      </c>
      <c r="F61" s="161"/>
      <c r="G61" s="76">
        <f>E61+F61+I60</f>
        <v>934.08500000000345</v>
      </c>
      <c r="H61" s="249"/>
      <c r="I61" s="127">
        <f t="shared" si="7"/>
        <v>934.08500000000345</v>
      </c>
      <c r="J61" s="167">
        <f t="shared" si="4"/>
        <v>0</v>
      </c>
      <c r="K61" s="318"/>
      <c r="L61" s="308"/>
      <c r="M61" s="308"/>
      <c r="N61" s="308"/>
      <c r="O61" s="308"/>
      <c r="P61" s="314"/>
    </row>
    <row r="62" spans="2:16" ht="15" customHeight="1">
      <c r="B62" s="353"/>
      <c r="C62" s="335" t="s">
        <v>21</v>
      </c>
      <c r="D62" s="123" t="s">
        <v>7</v>
      </c>
      <c r="E62" s="229">
        <f>39567.141+708.54</f>
        <v>40275.681000000004</v>
      </c>
      <c r="F62" s="161">
        <f>2475.474+600.065+98+3599.263+402.732+413.779+6000.23+83.234+402.732</f>
        <v>14075.509</v>
      </c>
      <c r="G62" s="76">
        <f>E62+F62</f>
        <v>54351.19</v>
      </c>
      <c r="H62" s="63">
        <v>54776.756999999998</v>
      </c>
      <c r="I62" s="127">
        <f t="shared" si="7"/>
        <v>-425.56699999999546</v>
      </c>
      <c r="J62" s="167">
        <f t="shared" si="4"/>
        <v>1.0078299481575288</v>
      </c>
      <c r="K62" s="318">
        <f>E62+E63</f>
        <v>41097.634000000005</v>
      </c>
      <c r="L62" s="308">
        <f>F62+F63</f>
        <v>14075.509</v>
      </c>
      <c r="M62" s="308">
        <f>K62+L62</f>
        <v>55173.143000000004</v>
      </c>
      <c r="N62" s="308">
        <f>H62+H63</f>
        <v>54776.756999999998</v>
      </c>
      <c r="O62" s="308">
        <f>M62-N62</f>
        <v>396.38600000000588</v>
      </c>
      <c r="P62" s="314">
        <f>N62/M62</f>
        <v>0.99281559870533376</v>
      </c>
    </row>
    <row r="63" spans="2:16" ht="15" customHeight="1">
      <c r="B63" s="353"/>
      <c r="C63" s="335"/>
      <c r="D63" s="123" t="s">
        <v>8</v>
      </c>
      <c r="E63" s="229">
        <f>807.493+14.46</f>
        <v>821.95300000000009</v>
      </c>
      <c r="F63" s="161"/>
      <c r="G63" s="76">
        <f>E63+F63+I62</f>
        <v>396.38600000000463</v>
      </c>
      <c r="H63" s="249"/>
      <c r="I63" s="127">
        <f>G63-H63</f>
        <v>396.38600000000463</v>
      </c>
      <c r="J63" s="167">
        <f t="shared" si="4"/>
        <v>0</v>
      </c>
      <c r="K63" s="318"/>
      <c r="L63" s="308"/>
      <c r="M63" s="308"/>
      <c r="N63" s="308"/>
      <c r="O63" s="308"/>
      <c r="P63" s="314"/>
    </row>
    <row r="64" spans="2:16" ht="15" customHeight="1">
      <c r="B64" s="353"/>
      <c r="C64" s="335" t="s">
        <v>10</v>
      </c>
      <c r="D64" s="123" t="s">
        <v>7</v>
      </c>
      <c r="E64" s="229">
        <v>558.96699999999998</v>
      </c>
      <c r="F64" s="161"/>
      <c r="G64" s="76">
        <f>E64+F64</f>
        <v>558.96699999999998</v>
      </c>
      <c r="H64" s="249"/>
      <c r="I64" s="63">
        <f t="shared" si="7"/>
        <v>558.96699999999998</v>
      </c>
      <c r="J64" s="167">
        <f t="shared" si="4"/>
        <v>0</v>
      </c>
      <c r="K64" s="318">
        <f>E64+E65</f>
        <v>570.37400000000002</v>
      </c>
      <c r="L64" s="308">
        <f>F64+F65</f>
        <v>0</v>
      </c>
      <c r="M64" s="308">
        <f>K64+L64</f>
        <v>570.37400000000002</v>
      </c>
      <c r="N64" s="308">
        <f>H64+H65</f>
        <v>0</v>
      </c>
      <c r="O64" s="308">
        <f>M64-N64</f>
        <v>570.37400000000002</v>
      </c>
      <c r="P64" s="306">
        <f>N64/M64</f>
        <v>0</v>
      </c>
    </row>
    <row r="65" spans="2:16" ht="15" customHeight="1">
      <c r="B65" s="353"/>
      <c r="C65" s="335"/>
      <c r="D65" s="123" t="s">
        <v>8</v>
      </c>
      <c r="E65" s="229">
        <v>11.407</v>
      </c>
      <c r="F65" s="161"/>
      <c r="G65" s="76">
        <f>E65+F65+I64</f>
        <v>570.37400000000002</v>
      </c>
      <c r="H65" s="249"/>
      <c r="I65" s="63">
        <f>G65-H65</f>
        <v>570.37400000000002</v>
      </c>
      <c r="J65" s="167">
        <f t="shared" si="4"/>
        <v>0</v>
      </c>
      <c r="K65" s="318"/>
      <c r="L65" s="308"/>
      <c r="M65" s="308"/>
      <c r="N65" s="308"/>
      <c r="O65" s="308"/>
      <c r="P65" s="306"/>
    </row>
    <row r="66" spans="2:16" ht="15" customHeight="1">
      <c r="B66" s="353"/>
      <c r="C66" s="335" t="s">
        <v>23</v>
      </c>
      <c r="D66" s="123" t="s">
        <v>7</v>
      </c>
      <c r="E66" s="229">
        <f>12073.098+696.731</f>
        <v>12769.829</v>
      </c>
      <c r="F66" s="161">
        <f>-710.95+710.95+109.067+302.334</f>
        <v>411.40100000000001</v>
      </c>
      <c r="G66" s="76">
        <f>E66+F66</f>
        <v>13181.23</v>
      </c>
      <c r="H66" s="249">
        <v>13257.933000000001</v>
      </c>
      <c r="I66" s="127">
        <f t="shared" si="7"/>
        <v>-76.703000000001339</v>
      </c>
      <c r="J66" s="167">
        <f t="shared" si="4"/>
        <v>1.0058191079284711</v>
      </c>
      <c r="K66" s="318">
        <f>E66+E67</f>
        <v>13030.436</v>
      </c>
      <c r="L66" s="308">
        <f>F66+F67</f>
        <v>411.40100000000001</v>
      </c>
      <c r="M66" s="308">
        <f>K66+L66</f>
        <v>13441.837</v>
      </c>
      <c r="N66" s="308">
        <f>H66+H67</f>
        <v>13257.933000000001</v>
      </c>
      <c r="O66" s="308">
        <f>M66-N66</f>
        <v>183.90399999999863</v>
      </c>
      <c r="P66" s="306">
        <v>0</v>
      </c>
    </row>
    <row r="67" spans="2:16" ht="15" customHeight="1">
      <c r="B67" s="353"/>
      <c r="C67" s="335"/>
      <c r="D67" s="123" t="s">
        <v>8</v>
      </c>
      <c r="E67" s="229">
        <f>246.388+14.219</f>
        <v>260.60700000000003</v>
      </c>
      <c r="F67" s="161"/>
      <c r="G67" s="76">
        <f>E67+F67+I66</f>
        <v>183.90399999999869</v>
      </c>
      <c r="H67" s="249"/>
      <c r="I67" s="127">
        <f t="shared" si="7"/>
        <v>183.90399999999869</v>
      </c>
      <c r="J67" s="167">
        <f t="shared" si="4"/>
        <v>0</v>
      </c>
      <c r="K67" s="318"/>
      <c r="L67" s="308"/>
      <c r="M67" s="308"/>
      <c r="N67" s="308"/>
      <c r="O67" s="308"/>
      <c r="P67" s="306"/>
    </row>
    <row r="68" spans="2:16" ht="15" customHeight="1">
      <c r="B68" s="353"/>
      <c r="C68" s="335" t="s">
        <v>16</v>
      </c>
      <c r="D68" s="123" t="s">
        <v>7</v>
      </c>
      <c r="E68" s="229">
        <f>18911.287+5314.05</f>
        <v>24225.337</v>
      </c>
      <c r="F68" s="161">
        <f>80+1517.226+471.87+2500+243.528+406.472</f>
        <v>5219.0959999999995</v>
      </c>
      <c r="G68" s="76">
        <f>E68+F68</f>
        <v>29444.432999999997</v>
      </c>
      <c r="H68" s="249">
        <v>29759.476999999999</v>
      </c>
      <c r="I68" s="127">
        <f t="shared" si="7"/>
        <v>-315.04400000000169</v>
      </c>
      <c r="J68" s="167">
        <f t="shared" si="4"/>
        <v>1.0106996117058868</v>
      </c>
      <c r="K68" s="318">
        <f>E68+E69</f>
        <v>24719.732</v>
      </c>
      <c r="L68" s="308">
        <f>F68+F69</f>
        <v>5219.0959999999995</v>
      </c>
      <c r="M68" s="308">
        <f>K68+L68</f>
        <v>29938.828000000001</v>
      </c>
      <c r="N68" s="308">
        <f>H68+H69</f>
        <v>29759.476999999999</v>
      </c>
      <c r="O68" s="308">
        <f>M68-N68</f>
        <v>179.35100000000239</v>
      </c>
      <c r="P68" s="314">
        <f>N68/M68</f>
        <v>0.99400941813754362</v>
      </c>
    </row>
    <row r="69" spans="2:16" ht="15" customHeight="1">
      <c r="B69" s="353"/>
      <c r="C69" s="335"/>
      <c r="D69" s="123" t="s">
        <v>8</v>
      </c>
      <c r="E69" s="229">
        <f>385.945+108.45</f>
        <v>494.39499999999998</v>
      </c>
      <c r="F69" s="161"/>
      <c r="G69" s="76">
        <f>E69+F69+I68</f>
        <v>179.35099999999829</v>
      </c>
      <c r="H69" s="249"/>
      <c r="I69" s="127">
        <f t="shared" si="7"/>
        <v>179.35099999999829</v>
      </c>
      <c r="J69" s="167">
        <f t="shared" si="4"/>
        <v>0</v>
      </c>
      <c r="K69" s="318"/>
      <c r="L69" s="308"/>
      <c r="M69" s="308"/>
      <c r="N69" s="308"/>
      <c r="O69" s="308"/>
      <c r="P69" s="314"/>
    </row>
    <row r="70" spans="2:16" ht="15" customHeight="1">
      <c r="B70" s="353"/>
      <c r="C70" s="335" t="s">
        <v>24</v>
      </c>
      <c r="D70" s="123" t="s">
        <v>7</v>
      </c>
      <c r="E70" s="229">
        <v>2.008</v>
      </c>
      <c r="F70" s="161"/>
      <c r="G70" s="76">
        <f>E70+F70</f>
        <v>2.008</v>
      </c>
      <c r="H70" s="249"/>
      <c r="I70" s="127">
        <f t="shared" si="7"/>
        <v>2.008</v>
      </c>
      <c r="J70" s="167">
        <f t="shared" si="4"/>
        <v>0</v>
      </c>
      <c r="K70" s="318">
        <f>E70+E71</f>
        <v>2.0489999999999999</v>
      </c>
      <c r="L70" s="308">
        <f>F70+F71</f>
        <v>0</v>
      </c>
      <c r="M70" s="308">
        <f>K70+L70</f>
        <v>2.0489999999999999</v>
      </c>
      <c r="N70" s="308">
        <f>H70+H71</f>
        <v>0</v>
      </c>
      <c r="O70" s="308">
        <f>M70-N70</f>
        <v>2.0489999999999999</v>
      </c>
      <c r="P70" s="306">
        <f>N70/M70</f>
        <v>0</v>
      </c>
    </row>
    <row r="71" spans="2:16" ht="15" customHeight="1">
      <c r="B71" s="353"/>
      <c r="C71" s="335"/>
      <c r="D71" s="123" t="s">
        <v>8</v>
      </c>
      <c r="E71" s="229">
        <v>4.1000000000000002E-2</v>
      </c>
      <c r="F71" s="161"/>
      <c r="G71" s="76">
        <f>E71+F71+I70</f>
        <v>2.0489999999999999</v>
      </c>
      <c r="H71" s="249"/>
      <c r="I71" s="127">
        <f t="shared" si="7"/>
        <v>2.0489999999999999</v>
      </c>
      <c r="J71" s="167">
        <f t="shared" si="4"/>
        <v>0</v>
      </c>
      <c r="K71" s="318"/>
      <c r="L71" s="308"/>
      <c r="M71" s="308"/>
      <c r="N71" s="308"/>
      <c r="O71" s="308"/>
      <c r="P71" s="306"/>
    </row>
    <row r="72" spans="2:16" ht="15" customHeight="1">
      <c r="B72" s="353"/>
      <c r="C72" s="335" t="s">
        <v>18</v>
      </c>
      <c r="D72" s="123" t="s">
        <v>7</v>
      </c>
      <c r="E72" s="229">
        <f>9387.423+8148.21</f>
        <v>17535.633000000002</v>
      </c>
      <c r="F72" s="161">
        <f>2710+519.051+800-2169+79+239.562+798.54+539.28+1562.818+855.806+281.938</f>
        <v>6216.9950000000008</v>
      </c>
      <c r="G72" s="76">
        <f>E72+F72</f>
        <v>23752.628000000004</v>
      </c>
      <c r="H72" s="249">
        <v>23428.596000000001</v>
      </c>
      <c r="I72" s="127">
        <f t="shared" ref="I72:I123" si="8">G72-H72</f>
        <v>324.03200000000288</v>
      </c>
      <c r="J72" s="167">
        <f t="shared" si="4"/>
        <v>0.98635805688532641</v>
      </c>
      <c r="K72" s="318">
        <f>E72+E73</f>
        <v>17893.503000000001</v>
      </c>
      <c r="L72" s="308">
        <f>F72+F73</f>
        <v>6216.9950000000008</v>
      </c>
      <c r="M72" s="308">
        <f>K72+L72</f>
        <v>24110.498</v>
      </c>
      <c r="N72" s="308">
        <f>H72+H73</f>
        <v>23428.596000000001</v>
      </c>
      <c r="O72" s="308">
        <f>M72-N72</f>
        <v>681.90199999999822</v>
      </c>
      <c r="P72" s="314">
        <f>N72/M72</f>
        <v>0.97171763105017583</v>
      </c>
    </row>
    <row r="73" spans="2:16" ht="15" customHeight="1">
      <c r="B73" s="353"/>
      <c r="C73" s="335"/>
      <c r="D73" s="123" t="s">
        <v>8</v>
      </c>
      <c r="E73" s="229">
        <f>191.58+166.29</f>
        <v>357.87</v>
      </c>
      <c r="F73" s="161"/>
      <c r="G73" s="76">
        <f>E73+F73+I72</f>
        <v>681.90200000000289</v>
      </c>
      <c r="H73" s="249"/>
      <c r="I73" s="127">
        <f t="shared" si="8"/>
        <v>681.90200000000289</v>
      </c>
      <c r="J73" s="167">
        <f t="shared" si="4"/>
        <v>0</v>
      </c>
      <c r="K73" s="318"/>
      <c r="L73" s="308"/>
      <c r="M73" s="308"/>
      <c r="N73" s="308"/>
      <c r="O73" s="308"/>
      <c r="P73" s="314"/>
    </row>
    <row r="74" spans="2:16" ht="15" customHeight="1">
      <c r="B74" s="353"/>
      <c r="C74" s="335" t="s">
        <v>19</v>
      </c>
      <c r="D74" s="123" t="s">
        <v>7</v>
      </c>
      <c r="E74" s="229">
        <v>3263.6060000000002</v>
      </c>
      <c r="F74" s="223">
        <f>3.831+206.849</f>
        <v>210.67999999999998</v>
      </c>
      <c r="G74" s="76">
        <f>E74+F74</f>
        <v>3474.2860000000001</v>
      </c>
      <c r="H74" s="249">
        <v>3475.4940000000001</v>
      </c>
      <c r="I74" s="63">
        <f t="shared" si="8"/>
        <v>-1.2080000000000837</v>
      </c>
      <c r="J74" s="167">
        <f t="shared" si="4"/>
        <v>1.0003476973398275</v>
      </c>
      <c r="K74" s="318">
        <f>E74+E75</f>
        <v>3330.21</v>
      </c>
      <c r="L74" s="308">
        <f>F74+F75</f>
        <v>210.67999999999998</v>
      </c>
      <c r="M74" s="308">
        <f>K74+L74</f>
        <v>3540.89</v>
      </c>
      <c r="N74" s="308">
        <f>H74+H75</f>
        <v>3475.4940000000001</v>
      </c>
      <c r="O74" s="308">
        <f>M74-N74</f>
        <v>65.395999999999731</v>
      </c>
      <c r="P74" s="314">
        <f>N74/M74</f>
        <v>0.98153119695895674</v>
      </c>
    </row>
    <row r="75" spans="2:16" ht="15" customHeight="1">
      <c r="B75" s="353"/>
      <c r="C75" s="335"/>
      <c r="D75" s="123" t="s">
        <v>8</v>
      </c>
      <c r="E75" s="229">
        <v>66.603999999999999</v>
      </c>
      <c r="F75" s="99"/>
      <c r="G75" s="76">
        <f>E75+F75+I74</f>
        <v>65.395999999999916</v>
      </c>
      <c r="H75" s="249"/>
      <c r="I75" s="63">
        <f t="shared" si="8"/>
        <v>65.395999999999916</v>
      </c>
      <c r="J75" s="167">
        <f t="shared" si="4"/>
        <v>0</v>
      </c>
      <c r="K75" s="318"/>
      <c r="L75" s="308"/>
      <c r="M75" s="308"/>
      <c r="N75" s="308"/>
      <c r="O75" s="308"/>
      <c r="P75" s="314"/>
    </row>
    <row r="76" spans="2:16" ht="15" customHeight="1">
      <c r="B76" s="353"/>
      <c r="C76" s="335" t="s">
        <v>12</v>
      </c>
      <c r="D76" s="123" t="s">
        <v>7</v>
      </c>
      <c r="E76" s="229">
        <f>43212.603+16473.555</f>
        <v>59686.158000000003</v>
      </c>
      <c r="F76" s="161">
        <f>5500+3000+3000+12000+3996.474+1761.955+180.75+180.75+7000+2200+2195+1899.248+200.752</f>
        <v>43114.929000000004</v>
      </c>
      <c r="G76" s="76">
        <f>E76+F76</f>
        <v>102801.087</v>
      </c>
      <c r="H76" s="249">
        <f>100938.935-885.07</f>
        <v>100053.86499999999</v>
      </c>
      <c r="I76" s="63">
        <f t="shared" si="8"/>
        <v>2747.2220000000088</v>
      </c>
      <c r="J76" s="167">
        <f t="shared" si="4"/>
        <v>0.97327633315783901</v>
      </c>
      <c r="K76" s="318">
        <f>E76+E77</f>
        <v>60904.243000000002</v>
      </c>
      <c r="L76" s="308">
        <f>F76+F77</f>
        <v>43114.929000000004</v>
      </c>
      <c r="M76" s="308">
        <f>K76+L76</f>
        <v>104019.17200000001</v>
      </c>
      <c r="N76" s="308">
        <f>H76+H77</f>
        <v>100053.86499999999</v>
      </c>
      <c r="O76" s="308">
        <f>M76-N76</f>
        <v>3965.3070000000153</v>
      </c>
      <c r="P76" s="314">
        <f>N76/M76</f>
        <v>0.96187907552273133</v>
      </c>
    </row>
    <row r="77" spans="2:16" ht="15" customHeight="1">
      <c r="B77" s="353"/>
      <c r="C77" s="335"/>
      <c r="D77" s="123" t="s">
        <v>8</v>
      </c>
      <c r="E77" s="229">
        <f>881.89+336.195</f>
        <v>1218.085</v>
      </c>
      <c r="F77" s="161"/>
      <c r="G77" s="76">
        <f>E77+F77+I76</f>
        <v>3965.3070000000089</v>
      </c>
      <c r="H77" s="249"/>
      <c r="I77" s="63">
        <f t="shared" si="8"/>
        <v>3965.3070000000089</v>
      </c>
      <c r="J77" s="167">
        <f t="shared" si="4"/>
        <v>0</v>
      </c>
      <c r="K77" s="318"/>
      <c r="L77" s="308"/>
      <c r="M77" s="308"/>
      <c r="N77" s="308"/>
      <c r="O77" s="308"/>
      <c r="P77" s="314"/>
    </row>
    <row r="78" spans="2:16" ht="15" customHeight="1">
      <c r="B78" s="353"/>
      <c r="C78" s="335" t="s">
        <v>25</v>
      </c>
      <c r="D78" s="123" t="s">
        <v>7</v>
      </c>
      <c r="E78" s="229">
        <v>77.491</v>
      </c>
      <c r="F78" s="161"/>
      <c r="G78" s="76">
        <f>E78+F78</f>
        <v>77.491</v>
      </c>
      <c r="H78" s="249"/>
      <c r="I78" s="127">
        <f t="shared" si="8"/>
        <v>77.491</v>
      </c>
      <c r="J78" s="167">
        <f t="shared" si="4"/>
        <v>0</v>
      </c>
      <c r="K78" s="318">
        <f>E78+E79</f>
        <v>79.072000000000003</v>
      </c>
      <c r="L78" s="308">
        <f>F78+F79</f>
        <v>0</v>
      </c>
      <c r="M78" s="308">
        <f>K78+L78</f>
        <v>79.072000000000003</v>
      </c>
      <c r="N78" s="308">
        <f>H78+H79</f>
        <v>0</v>
      </c>
      <c r="O78" s="308">
        <f>M78-N78</f>
        <v>79.072000000000003</v>
      </c>
      <c r="P78" s="306">
        <v>0</v>
      </c>
    </row>
    <row r="79" spans="2:16" ht="15" customHeight="1">
      <c r="B79" s="353"/>
      <c r="C79" s="335"/>
      <c r="D79" s="123" t="s">
        <v>8</v>
      </c>
      <c r="E79" s="229">
        <v>1.581</v>
      </c>
      <c r="F79" s="161"/>
      <c r="G79" s="76">
        <f>E79+F79+I78</f>
        <v>79.072000000000003</v>
      </c>
      <c r="H79" s="249"/>
      <c r="I79" s="127">
        <f t="shared" si="8"/>
        <v>79.072000000000003</v>
      </c>
      <c r="J79" s="167">
        <f t="shared" si="4"/>
        <v>0</v>
      </c>
      <c r="K79" s="318"/>
      <c r="L79" s="308"/>
      <c r="M79" s="308"/>
      <c r="N79" s="308"/>
      <c r="O79" s="308"/>
      <c r="P79" s="306"/>
    </row>
    <row r="80" spans="2:16" ht="15" customHeight="1">
      <c r="B80" s="353"/>
      <c r="C80" s="335" t="s">
        <v>221</v>
      </c>
      <c r="D80" s="123" t="s">
        <v>7</v>
      </c>
      <c r="E80" s="229">
        <v>40.151000000000003</v>
      </c>
      <c r="F80" s="63"/>
      <c r="G80" s="76">
        <f>E80+F80</f>
        <v>40.151000000000003</v>
      </c>
      <c r="H80" s="249">
        <v>9.1739999999999995</v>
      </c>
      <c r="I80" s="63">
        <f t="shared" si="8"/>
        <v>30.977000000000004</v>
      </c>
      <c r="J80" s="167">
        <f t="shared" si="4"/>
        <v>0.22848745983910734</v>
      </c>
      <c r="K80" s="318">
        <f>E80+E81</f>
        <v>40.970000000000006</v>
      </c>
      <c r="L80" s="308">
        <f>F80+F81</f>
        <v>0</v>
      </c>
      <c r="M80" s="308">
        <f>K80+L80</f>
        <v>40.970000000000006</v>
      </c>
      <c r="N80" s="308">
        <f>H80+H81</f>
        <v>9.1739999999999995</v>
      </c>
      <c r="O80" s="308">
        <f>M80-N80</f>
        <v>31.796000000000006</v>
      </c>
      <c r="P80" s="306">
        <f>N80/M80</f>
        <v>0.22391994142055158</v>
      </c>
    </row>
    <row r="81" spans="2:16" ht="15" customHeight="1">
      <c r="B81" s="353"/>
      <c r="C81" s="335"/>
      <c r="D81" s="123" t="s">
        <v>8</v>
      </c>
      <c r="E81" s="229">
        <v>0.81899999999999995</v>
      </c>
      <c r="F81" s="161"/>
      <c r="G81" s="76">
        <f>E81+F81+I80</f>
        <v>31.796000000000003</v>
      </c>
      <c r="H81" s="249"/>
      <c r="I81" s="63">
        <f t="shared" si="8"/>
        <v>31.796000000000003</v>
      </c>
      <c r="J81" s="167">
        <f t="shared" si="4"/>
        <v>0</v>
      </c>
      <c r="K81" s="318"/>
      <c r="L81" s="308"/>
      <c r="M81" s="308"/>
      <c r="N81" s="308"/>
      <c r="O81" s="308"/>
      <c r="P81" s="306"/>
    </row>
    <row r="82" spans="2:16" ht="15" customHeight="1">
      <c r="B82" s="353"/>
      <c r="C82" s="335" t="s">
        <v>27</v>
      </c>
      <c r="D82" s="123" t="s">
        <v>7</v>
      </c>
      <c r="E82" s="229">
        <v>354.27</v>
      </c>
      <c r="F82" s="63">
        <f>-176.2+176.2-180.75-180.75</f>
        <v>-361.5</v>
      </c>
      <c r="G82" s="76">
        <f>E82+F82</f>
        <v>-7.2300000000000182</v>
      </c>
      <c r="H82" s="249"/>
      <c r="I82" s="127">
        <f t="shared" ref="I82:I91" si="9">G82-H82</f>
        <v>-7.2300000000000182</v>
      </c>
      <c r="J82" s="167">
        <f t="shared" si="4"/>
        <v>0</v>
      </c>
      <c r="K82" s="318">
        <f>E82+E83</f>
        <v>361.5</v>
      </c>
      <c r="L82" s="308">
        <f>F82+F83</f>
        <v>-361.5</v>
      </c>
      <c r="M82" s="308">
        <f>K82+L82</f>
        <v>0</v>
      </c>
      <c r="N82" s="308">
        <f>H82+H83</f>
        <v>0</v>
      </c>
      <c r="O82" s="308">
        <f>M82-N82</f>
        <v>0</v>
      </c>
      <c r="P82" s="313">
        <v>0</v>
      </c>
    </row>
    <row r="83" spans="2:16" ht="15" customHeight="1">
      <c r="B83" s="353"/>
      <c r="C83" s="335"/>
      <c r="D83" s="123" t="s">
        <v>8</v>
      </c>
      <c r="E83" s="229">
        <v>7.23</v>
      </c>
      <c r="F83" s="161"/>
      <c r="G83" s="76">
        <v>0</v>
      </c>
      <c r="H83" s="249"/>
      <c r="I83" s="127">
        <f t="shared" si="9"/>
        <v>0</v>
      </c>
      <c r="J83" s="167">
        <v>0</v>
      </c>
      <c r="K83" s="318"/>
      <c r="L83" s="308"/>
      <c r="M83" s="308"/>
      <c r="N83" s="308"/>
      <c r="O83" s="308"/>
      <c r="P83" s="313"/>
    </row>
    <row r="84" spans="2:16" ht="15" customHeight="1">
      <c r="B84" s="353"/>
      <c r="C84" s="335" t="s">
        <v>90</v>
      </c>
      <c r="D84" s="123" t="s">
        <v>7</v>
      </c>
      <c r="E84" s="229">
        <v>11.808999999999999</v>
      </c>
      <c r="F84" s="161"/>
      <c r="G84" s="76">
        <f>E84+F84</f>
        <v>11.808999999999999</v>
      </c>
      <c r="H84" s="249"/>
      <c r="I84" s="127">
        <f t="shared" si="9"/>
        <v>11.808999999999999</v>
      </c>
      <c r="J84" s="167">
        <f t="shared" si="4"/>
        <v>0</v>
      </c>
      <c r="K84" s="318">
        <f>E84+E85</f>
        <v>12.049999999999999</v>
      </c>
      <c r="L84" s="308">
        <f>F84+F85</f>
        <v>0</v>
      </c>
      <c r="M84" s="308">
        <f>K84+L84</f>
        <v>12.049999999999999</v>
      </c>
      <c r="N84" s="308">
        <f>H84+H85</f>
        <v>0</v>
      </c>
      <c r="O84" s="308">
        <f>M84-N84</f>
        <v>12.049999999999999</v>
      </c>
      <c r="P84" s="306">
        <f>N84/M84</f>
        <v>0</v>
      </c>
    </row>
    <row r="85" spans="2:16" ht="15" customHeight="1">
      <c r="B85" s="353"/>
      <c r="C85" s="335"/>
      <c r="D85" s="123" t="s">
        <v>8</v>
      </c>
      <c r="E85" s="229">
        <v>0.24099999999999999</v>
      </c>
      <c r="F85" s="161"/>
      <c r="G85" s="76">
        <f>E85+F85+I84</f>
        <v>12.049999999999999</v>
      </c>
      <c r="H85" s="249"/>
      <c r="I85" s="127">
        <f t="shared" si="9"/>
        <v>12.049999999999999</v>
      </c>
      <c r="J85" s="167">
        <f t="shared" si="4"/>
        <v>0</v>
      </c>
      <c r="K85" s="318"/>
      <c r="L85" s="308"/>
      <c r="M85" s="308"/>
      <c r="N85" s="308"/>
      <c r="O85" s="308"/>
      <c r="P85" s="306"/>
    </row>
    <row r="86" spans="2:16" ht="15" customHeight="1">
      <c r="B86" s="353"/>
      <c r="C86" s="335" t="s">
        <v>91</v>
      </c>
      <c r="D86" s="123" t="s">
        <v>7</v>
      </c>
      <c r="E86" s="229">
        <v>177.13499999999999</v>
      </c>
      <c r="F86" s="63">
        <f>-176</f>
        <v>-176</v>
      </c>
      <c r="G86" s="76">
        <f>E86+F86</f>
        <v>1.1349999999999909</v>
      </c>
      <c r="H86" s="249"/>
      <c r="I86" s="63">
        <f t="shared" si="9"/>
        <v>1.1349999999999909</v>
      </c>
      <c r="J86" s="167">
        <f t="shared" si="4"/>
        <v>0</v>
      </c>
      <c r="K86" s="318">
        <f>E86+E87</f>
        <v>180.75</v>
      </c>
      <c r="L86" s="308">
        <f>F86+F87</f>
        <v>-176</v>
      </c>
      <c r="M86" s="308">
        <f>K86+L86</f>
        <v>4.75</v>
      </c>
      <c r="N86" s="308">
        <f>H86+H87</f>
        <v>0</v>
      </c>
      <c r="O86" s="308">
        <f>M86-N86</f>
        <v>4.75</v>
      </c>
      <c r="P86" s="306">
        <f>N86/M86</f>
        <v>0</v>
      </c>
    </row>
    <row r="87" spans="2:16" ht="15" customHeight="1">
      <c r="B87" s="353"/>
      <c r="C87" s="335"/>
      <c r="D87" s="123" t="s">
        <v>8</v>
      </c>
      <c r="E87" s="229">
        <v>3.6150000000000002</v>
      </c>
      <c r="F87" s="161"/>
      <c r="G87" s="76">
        <f>E87+F87+I86</f>
        <v>4.7499999999999911</v>
      </c>
      <c r="H87" s="249"/>
      <c r="I87" s="63">
        <f t="shared" si="9"/>
        <v>4.7499999999999911</v>
      </c>
      <c r="J87" s="167">
        <f t="shared" si="4"/>
        <v>0</v>
      </c>
      <c r="K87" s="318"/>
      <c r="L87" s="308"/>
      <c r="M87" s="308"/>
      <c r="N87" s="308"/>
      <c r="O87" s="308"/>
      <c r="P87" s="306"/>
    </row>
    <row r="88" spans="2:16" ht="15" customHeight="1">
      <c r="B88" s="353"/>
      <c r="C88" s="362" t="s">
        <v>232</v>
      </c>
      <c r="D88" s="123" t="s">
        <v>7</v>
      </c>
      <c r="E88" s="229">
        <v>0</v>
      </c>
      <c r="F88" s="177">
        <f>710.95-710.95</f>
        <v>0</v>
      </c>
      <c r="G88" s="76">
        <f>E88+F88</f>
        <v>0</v>
      </c>
      <c r="H88" s="249"/>
      <c r="I88" s="63">
        <f t="shared" si="9"/>
        <v>0</v>
      </c>
      <c r="J88" s="167">
        <v>0</v>
      </c>
      <c r="K88" s="318">
        <f>E88+E89</f>
        <v>0</v>
      </c>
      <c r="L88" s="308">
        <f>F88+F89</f>
        <v>0</v>
      </c>
      <c r="M88" s="308">
        <f>K88+L88</f>
        <v>0</v>
      </c>
      <c r="N88" s="308">
        <f>H88+H89</f>
        <v>0</v>
      </c>
      <c r="O88" s="308">
        <f>M88-N88</f>
        <v>0</v>
      </c>
      <c r="P88" s="311">
        <v>0</v>
      </c>
    </row>
    <row r="89" spans="2:16" ht="15" customHeight="1">
      <c r="B89" s="353"/>
      <c r="C89" s="363"/>
      <c r="D89" s="123" t="s">
        <v>8</v>
      </c>
      <c r="E89" s="229">
        <v>0</v>
      </c>
      <c r="F89" s="177"/>
      <c r="G89" s="76">
        <f>E89+F89+I88</f>
        <v>0</v>
      </c>
      <c r="H89" s="249"/>
      <c r="I89" s="63">
        <f t="shared" si="9"/>
        <v>0</v>
      </c>
      <c r="J89" s="167">
        <v>0</v>
      </c>
      <c r="K89" s="318"/>
      <c r="L89" s="308"/>
      <c r="M89" s="308"/>
      <c r="N89" s="308"/>
      <c r="O89" s="308"/>
      <c r="P89" s="311"/>
    </row>
    <row r="90" spans="2:16" ht="15" customHeight="1">
      <c r="B90" s="353"/>
      <c r="C90" s="335" t="s">
        <v>230</v>
      </c>
      <c r="D90" s="123" t="s">
        <v>7</v>
      </c>
      <c r="E90" s="229">
        <v>0</v>
      </c>
      <c r="F90" s="161">
        <f>2169</f>
        <v>2169</v>
      </c>
      <c r="G90" s="76">
        <f>E90+F90</f>
        <v>2169</v>
      </c>
      <c r="H90" s="249">
        <v>506.42700000000002</v>
      </c>
      <c r="I90" s="63">
        <f t="shared" si="9"/>
        <v>1662.5729999999999</v>
      </c>
      <c r="J90" s="167">
        <f t="shared" si="4"/>
        <v>0.23348409405255879</v>
      </c>
      <c r="K90" s="318">
        <f>E90+E91</f>
        <v>0</v>
      </c>
      <c r="L90" s="308">
        <f>F90+F91</f>
        <v>2169</v>
      </c>
      <c r="M90" s="308">
        <f>K90+L90</f>
        <v>2169</v>
      </c>
      <c r="N90" s="308">
        <f>H90+H91</f>
        <v>506.42700000000002</v>
      </c>
      <c r="O90" s="308">
        <f>M90-N90</f>
        <v>1662.5729999999999</v>
      </c>
      <c r="P90" s="306">
        <f>N90/M90</f>
        <v>0.23348409405255879</v>
      </c>
    </row>
    <row r="91" spans="2:16" ht="15" customHeight="1" thickBot="1">
      <c r="B91" s="354"/>
      <c r="C91" s="355"/>
      <c r="D91" s="124" t="s">
        <v>8</v>
      </c>
      <c r="E91" s="231">
        <v>0</v>
      </c>
      <c r="F91" s="160"/>
      <c r="G91" s="77">
        <f>E91+F91+I90</f>
        <v>1662.5729999999999</v>
      </c>
      <c r="H91" s="251"/>
      <c r="I91" s="128">
        <f t="shared" si="9"/>
        <v>1662.5729999999999</v>
      </c>
      <c r="J91" s="168">
        <f t="shared" si="4"/>
        <v>0</v>
      </c>
      <c r="K91" s="365"/>
      <c r="L91" s="310"/>
      <c r="M91" s="310"/>
      <c r="N91" s="310"/>
      <c r="O91" s="310"/>
      <c r="P91" s="364"/>
    </row>
    <row r="92" spans="2:16" ht="15" customHeight="1">
      <c r="B92" s="359" t="s">
        <v>31</v>
      </c>
      <c r="C92" s="330" t="s">
        <v>22</v>
      </c>
      <c r="D92" s="133" t="s">
        <v>7</v>
      </c>
      <c r="E92" s="232">
        <v>3212.8760000000002</v>
      </c>
      <c r="F92" s="162">
        <f>713.131+470+600-2778</f>
        <v>-994.86900000000014</v>
      </c>
      <c r="G92" s="4">
        <f>E92+F92</f>
        <v>2218.0070000000001</v>
      </c>
      <c r="H92" s="247">
        <v>2283.1309999999999</v>
      </c>
      <c r="I92" s="224">
        <f t="shared" si="8"/>
        <v>-65.123999999999796</v>
      </c>
      <c r="J92" s="62">
        <f t="shared" si="4"/>
        <v>1.0293614943505587</v>
      </c>
      <c r="K92" s="321">
        <f>E92+E93</f>
        <v>3278.4230000000002</v>
      </c>
      <c r="L92" s="322">
        <f>F92+F93</f>
        <v>-994.86900000000014</v>
      </c>
      <c r="M92" s="322">
        <f>K92+L92</f>
        <v>2283.5540000000001</v>
      </c>
      <c r="N92" s="322">
        <f>H92+H93</f>
        <v>2283.1309999999999</v>
      </c>
      <c r="O92" s="322">
        <f>M92-N92</f>
        <v>0.42300000000022919</v>
      </c>
      <c r="P92" s="320">
        <f>N92/M92</f>
        <v>0.99981476242733902</v>
      </c>
    </row>
    <row r="93" spans="2:16" ht="15" customHeight="1">
      <c r="B93" s="360"/>
      <c r="C93" s="327"/>
      <c r="D93" s="123" t="s">
        <v>8</v>
      </c>
      <c r="E93" s="229">
        <v>65.546999999999997</v>
      </c>
      <c r="F93" s="135"/>
      <c r="G93" s="76">
        <f>E93+F93+I92</f>
        <v>0.42300000000020077</v>
      </c>
      <c r="H93" s="249"/>
      <c r="I93" s="127">
        <f t="shared" si="8"/>
        <v>0.42300000000020077</v>
      </c>
      <c r="J93" s="62">
        <f t="shared" ref="J93:J118" si="10">H93/G93</f>
        <v>0</v>
      </c>
      <c r="K93" s="307"/>
      <c r="L93" s="308"/>
      <c r="M93" s="308"/>
      <c r="N93" s="308"/>
      <c r="O93" s="308"/>
      <c r="P93" s="314"/>
    </row>
    <row r="94" spans="2:16" ht="15" customHeight="1">
      <c r="B94" s="360"/>
      <c r="C94" s="327" t="s">
        <v>14</v>
      </c>
      <c r="D94" s="123" t="s">
        <v>7</v>
      </c>
      <c r="E94" s="229">
        <v>28.41</v>
      </c>
      <c r="F94" s="135"/>
      <c r="G94" s="4">
        <f>E94+F94</f>
        <v>28.41</v>
      </c>
      <c r="H94" s="249"/>
      <c r="I94" s="127">
        <f t="shared" si="8"/>
        <v>28.41</v>
      </c>
      <c r="J94" s="62">
        <f t="shared" si="10"/>
        <v>0</v>
      </c>
      <c r="K94" s="307">
        <f>E94+E95</f>
        <v>28.99</v>
      </c>
      <c r="L94" s="308">
        <f>F94+F95</f>
        <v>0</v>
      </c>
      <c r="M94" s="308">
        <f>K94+L94</f>
        <v>28.99</v>
      </c>
      <c r="N94" s="308">
        <f>H94+H95</f>
        <v>0</v>
      </c>
      <c r="O94" s="308">
        <f>M94-N94</f>
        <v>28.99</v>
      </c>
      <c r="P94" s="306">
        <f>N94/M94</f>
        <v>0</v>
      </c>
    </row>
    <row r="95" spans="2:16" ht="15" customHeight="1">
      <c r="B95" s="360"/>
      <c r="C95" s="327"/>
      <c r="D95" s="123" t="s">
        <v>8</v>
      </c>
      <c r="E95" s="229">
        <v>0.57999999999999996</v>
      </c>
      <c r="F95" s="135"/>
      <c r="G95" s="76">
        <f>E95+F95+I94</f>
        <v>28.99</v>
      </c>
      <c r="H95" s="249"/>
      <c r="I95" s="127">
        <f t="shared" si="8"/>
        <v>28.99</v>
      </c>
      <c r="J95" s="62">
        <f t="shared" si="10"/>
        <v>0</v>
      </c>
      <c r="K95" s="307"/>
      <c r="L95" s="308"/>
      <c r="M95" s="308"/>
      <c r="N95" s="308"/>
      <c r="O95" s="308"/>
      <c r="P95" s="306"/>
    </row>
    <row r="96" spans="2:16" ht="15" customHeight="1">
      <c r="B96" s="360"/>
      <c r="C96" s="327" t="s">
        <v>21</v>
      </c>
      <c r="D96" s="123" t="s">
        <v>7</v>
      </c>
      <c r="E96" s="229">
        <f>3753.953+789.36</f>
        <v>4543.3130000000001</v>
      </c>
      <c r="F96" s="135">
        <f>413.779-413.779-3599.263-402.732-83.234-402.732</f>
        <v>-4487.9610000000002</v>
      </c>
      <c r="G96" s="4">
        <f>E96+F96</f>
        <v>55.351999999999862</v>
      </c>
      <c r="H96" s="249">
        <v>140.953</v>
      </c>
      <c r="I96" s="127">
        <f t="shared" si="8"/>
        <v>-85.601000000000141</v>
      </c>
      <c r="J96" s="62">
        <f t="shared" si="10"/>
        <v>2.5464843185431483</v>
      </c>
      <c r="K96" s="307">
        <f>E96+E97</f>
        <v>4636.0029999999997</v>
      </c>
      <c r="L96" s="308">
        <f>F96+F97</f>
        <v>-4487.9610000000002</v>
      </c>
      <c r="M96" s="308">
        <f>K96+L96</f>
        <v>148.04199999999946</v>
      </c>
      <c r="N96" s="308">
        <f>H96+H97</f>
        <v>140.953</v>
      </c>
      <c r="O96" s="308">
        <f>M96-N96</f>
        <v>7.0889999999994586</v>
      </c>
      <c r="P96" s="314">
        <f>N96/M96</f>
        <v>0.95211494035476762</v>
      </c>
    </row>
    <row r="97" spans="2:16" ht="15" customHeight="1">
      <c r="B97" s="360"/>
      <c r="C97" s="327"/>
      <c r="D97" s="123" t="s">
        <v>8</v>
      </c>
      <c r="E97" s="229">
        <f>76.586+16.104</f>
        <v>92.69</v>
      </c>
      <c r="F97" s="135"/>
      <c r="G97" s="76">
        <f>E97+F97+I96</f>
        <v>7.0889999999998565</v>
      </c>
      <c r="H97" s="249"/>
      <c r="I97" s="127">
        <f t="shared" si="8"/>
        <v>7.0889999999998565</v>
      </c>
      <c r="J97" s="62">
        <f t="shared" si="10"/>
        <v>0</v>
      </c>
      <c r="K97" s="307"/>
      <c r="L97" s="308"/>
      <c r="M97" s="308"/>
      <c r="N97" s="308"/>
      <c r="O97" s="308"/>
      <c r="P97" s="314"/>
    </row>
    <row r="98" spans="2:16" ht="15" customHeight="1">
      <c r="B98" s="360"/>
      <c r="C98" s="327" t="s">
        <v>187</v>
      </c>
      <c r="D98" s="123" t="s">
        <v>7</v>
      </c>
      <c r="E98" s="229">
        <v>1.1180000000000001</v>
      </c>
      <c r="F98" s="135"/>
      <c r="G98" s="4">
        <f>E98+F98</f>
        <v>1.1180000000000001</v>
      </c>
      <c r="H98" s="249"/>
      <c r="I98" s="127">
        <f t="shared" si="8"/>
        <v>1.1180000000000001</v>
      </c>
      <c r="J98" s="62">
        <f t="shared" si="10"/>
        <v>0</v>
      </c>
      <c r="K98" s="307">
        <f>E98+E99</f>
        <v>1.141</v>
      </c>
      <c r="L98" s="308">
        <f>F98+F99</f>
        <v>0</v>
      </c>
      <c r="M98" s="308">
        <f>K98+L98</f>
        <v>1.141</v>
      </c>
      <c r="N98" s="308">
        <f>H98+H99</f>
        <v>0</v>
      </c>
      <c r="O98" s="308">
        <f>M98-N98</f>
        <v>1.141</v>
      </c>
      <c r="P98" s="306">
        <f>N98/M98</f>
        <v>0</v>
      </c>
    </row>
    <row r="99" spans="2:16" ht="15" customHeight="1">
      <c r="B99" s="360"/>
      <c r="C99" s="327"/>
      <c r="D99" s="123" t="s">
        <v>8</v>
      </c>
      <c r="E99" s="229">
        <v>2.3E-2</v>
      </c>
      <c r="F99" s="135"/>
      <c r="G99" s="76">
        <f>E99+F99+I98</f>
        <v>1.141</v>
      </c>
      <c r="H99" s="249"/>
      <c r="I99" s="127">
        <f t="shared" si="8"/>
        <v>1.141</v>
      </c>
      <c r="J99" s="62">
        <f t="shared" si="10"/>
        <v>0</v>
      </c>
      <c r="K99" s="307"/>
      <c r="L99" s="308"/>
      <c r="M99" s="308"/>
      <c r="N99" s="308"/>
      <c r="O99" s="308"/>
      <c r="P99" s="306"/>
    </row>
    <row r="100" spans="2:16" ht="15" customHeight="1">
      <c r="B100" s="360"/>
      <c r="C100" s="327" t="s">
        <v>15</v>
      </c>
      <c r="D100" s="123" t="s">
        <v>7</v>
      </c>
      <c r="E100" s="229">
        <v>6827.2860000000001</v>
      </c>
      <c r="F100" s="135">
        <f>-5000-1300</f>
        <v>-6300</v>
      </c>
      <c r="G100" s="4">
        <f>E100+F100</f>
        <v>527.28600000000006</v>
      </c>
      <c r="H100" s="249">
        <v>463.654</v>
      </c>
      <c r="I100" s="127">
        <f t="shared" si="8"/>
        <v>63.632000000000062</v>
      </c>
      <c r="J100" s="62">
        <f t="shared" si="10"/>
        <v>0.87932165845480426</v>
      </c>
      <c r="K100" s="307">
        <f>E100+E101</f>
        <v>6966.5720000000001</v>
      </c>
      <c r="L100" s="308">
        <f>F100+F101</f>
        <v>-6300</v>
      </c>
      <c r="M100" s="308">
        <f>K100+L100</f>
        <v>666.57200000000012</v>
      </c>
      <c r="N100" s="308">
        <f>H100+H101</f>
        <v>463.654</v>
      </c>
      <c r="O100" s="308">
        <f>M100-N100</f>
        <v>202.91800000000012</v>
      </c>
      <c r="P100" s="306">
        <f>N100/M100</f>
        <v>0.69557977232767043</v>
      </c>
    </row>
    <row r="101" spans="2:16" ht="15" customHeight="1">
      <c r="B101" s="360"/>
      <c r="C101" s="327"/>
      <c r="D101" s="123" t="s">
        <v>8</v>
      </c>
      <c r="E101" s="229">
        <v>139.286</v>
      </c>
      <c r="F101" s="135"/>
      <c r="G101" s="76">
        <f>E101+F101+I100</f>
        <v>202.91800000000006</v>
      </c>
      <c r="H101" s="249"/>
      <c r="I101" s="127">
        <f t="shared" si="8"/>
        <v>202.91800000000006</v>
      </c>
      <c r="J101" s="62">
        <f t="shared" si="10"/>
        <v>0</v>
      </c>
      <c r="K101" s="307"/>
      <c r="L101" s="308"/>
      <c r="M101" s="308"/>
      <c r="N101" s="308"/>
      <c r="O101" s="308"/>
      <c r="P101" s="306"/>
    </row>
    <row r="102" spans="2:16" ht="15" customHeight="1">
      <c r="B102" s="360"/>
      <c r="C102" s="327" t="s">
        <v>10</v>
      </c>
      <c r="D102" s="123" t="s">
        <v>7</v>
      </c>
      <c r="E102" s="229">
        <v>159.63800000000001</v>
      </c>
      <c r="F102" s="135"/>
      <c r="G102" s="4">
        <f>E102+F102</f>
        <v>159.63800000000001</v>
      </c>
      <c r="H102" s="249"/>
      <c r="I102" s="127">
        <f t="shared" si="8"/>
        <v>159.63800000000001</v>
      </c>
      <c r="J102" s="62">
        <f t="shared" si="10"/>
        <v>0</v>
      </c>
      <c r="K102" s="307">
        <f>E102+E103</f>
        <v>162.89500000000001</v>
      </c>
      <c r="L102" s="308">
        <f>F102+F103</f>
        <v>0</v>
      </c>
      <c r="M102" s="308">
        <f>K102+L102</f>
        <v>162.89500000000001</v>
      </c>
      <c r="N102" s="308">
        <f>H102+H103</f>
        <v>0</v>
      </c>
      <c r="O102" s="308">
        <f>M102-N102</f>
        <v>162.89500000000001</v>
      </c>
      <c r="P102" s="306">
        <f>N102/M102</f>
        <v>0</v>
      </c>
    </row>
    <row r="103" spans="2:16" ht="15" customHeight="1">
      <c r="B103" s="360"/>
      <c r="C103" s="327"/>
      <c r="D103" s="123" t="s">
        <v>8</v>
      </c>
      <c r="E103" s="229">
        <v>3.2570000000000001</v>
      </c>
      <c r="F103" s="135"/>
      <c r="G103" s="76">
        <f>E103+F103+I102</f>
        <v>162.89500000000001</v>
      </c>
      <c r="H103" s="249"/>
      <c r="I103" s="127">
        <f t="shared" si="8"/>
        <v>162.89500000000001</v>
      </c>
      <c r="J103" s="62">
        <f t="shared" si="10"/>
        <v>0</v>
      </c>
      <c r="K103" s="307"/>
      <c r="L103" s="308"/>
      <c r="M103" s="308"/>
      <c r="N103" s="308"/>
      <c r="O103" s="308"/>
      <c r="P103" s="306"/>
    </row>
    <row r="104" spans="2:16" ht="15" customHeight="1">
      <c r="B104" s="360"/>
      <c r="C104" s="327" t="s">
        <v>23</v>
      </c>
      <c r="D104" s="123" t="s">
        <v>7</v>
      </c>
      <c r="E104" s="229">
        <f>1494.159+592.02</f>
        <v>2086.1790000000001</v>
      </c>
      <c r="F104" s="135">
        <f>-201.366-201.366-201.366+201.366+201.366+201.366</f>
        <v>0</v>
      </c>
      <c r="G104" s="4">
        <f>E104+F104</f>
        <v>2086.1790000000001</v>
      </c>
      <c r="H104" s="249">
        <v>2105.3029999999999</v>
      </c>
      <c r="I104" s="127">
        <f t="shared" si="8"/>
        <v>-19.123999999999796</v>
      </c>
      <c r="J104" s="62">
        <f t="shared" si="10"/>
        <v>1.0091669986132541</v>
      </c>
      <c r="K104" s="307">
        <f>E104+E105</f>
        <v>2128.739</v>
      </c>
      <c r="L104" s="308">
        <f>F104+F105</f>
        <v>0</v>
      </c>
      <c r="M104" s="308">
        <f>K104+L104</f>
        <v>2128.739</v>
      </c>
      <c r="N104" s="308">
        <f>H104+H105</f>
        <v>2105.3029999999999</v>
      </c>
      <c r="O104" s="308">
        <f>M104-N104</f>
        <v>23.436000000000149</v>
      </c>
      <c r="P104" s="306">
        <v>0</v>
      </c>
    </row>
    <row r="105" spans="2:16" ht="15" customHeight="1">
      <c r="B105" s="360"/>
      <c r="C105" s="327"/>
      <c r="D105" s="123" t="s">
        <v>8</v>
      </c>
      <c r="E105" s="229">
        <f>30.482+12.078</f>
        <v>42.56</v>
      </c>
      <c r="F105" s="135"/>
      <c r="G105" s="76">
        <f>E105+F105+I104</f>
        <v>23.436000000000206</v>
      </c>
      <c r="H105" s="249"/>
      <c r="I105" s="127">
        <f t="shared" si="8"/>
        <v>23.436000000000206</v>
      </c>
      <c r="J105" s="62">
        <f t="shared" si="10"/>
        <v>0</v>
      </c>
      <c r="K105" s="307"/>
      <c r="L105" s="308"/>
      <c r="M105" s="308"/>
      <c r="N105" s="308"/>
      <c r="O105" s="308"/>
      <c r="P105" s="306"/>
    </row>
    <row r="106" spans="2:16" ht="15" customHeight="1">
      <c r="B106" s="360"/>
      <c r="C106" s="327" t="s">
        <v>16</v>
      </c>
      <c r="D106" s="123" t="s">
        <v>7</v>
      </c>
      <c r="E106" s="229">
        <f>2688.675+592.02</f>
        <v>3280.6950000000002</v>
      </c>
      <c r="F106" s="135">
        <f>-2500-243.528-406.472</f>
        <v>-3150</v>
      </c>
      <c r="G106" s="4">
        <f>E106+F106</f>
        <v>130.69500000000016</v>
      </c>
      <c r="H106" s="249"/>
      <c r="I106" s="127">
        <f t="shared" si="8"/>
        <v>130.69500000000016</v>
      </c>
      <c r="J106" s="62">
        <f t="shared" si="10"/>
        <v>0</v>
      </c>
      <c r="K106" s="307">
        <f>E106+E107</f>
        <v>3347.6260000000002</v>
      </c>
      <c r="L106" s="308">
        <f>F106+F107</f>
        <v>-3150</v>
      </c>
      <c r="M106" s="308">
        <f>K106+L106</f>
        <v>197.6260000000002</v>
      </c>
      <c r="N106" s="308">
        <f>H106+H107</f>
        <v>0</v>
      </c>
      <c r="O106" s="308">
        <f>M106-N106</f>
        <v>197.6260000000002</v>
      </c>
      <c r="P106" s="306">
        <f>N106/M106</f>
        <v>0</v>
      </c>
    </row>
    <row r="107" spans="2:16" ht="15" customHeight="1">
      <c r="B107" s="360"/>
      <c r="C107" s="327"/>
      <c r="D107" s="123" t="s">
        <v>8</v>
      </c>
      <c r="E107" s="229">
        <f>54.853+12.078</f>
        <v>66.930999999999997</v>
      </c>
      <c r="F107" s="135"/>
      <c r="G107" s="76">
        <f>E107+F107+I106</f>
        <v>197.62600000000015</v>
      </c>
      <c r="H107" s="249"/>
      <c r="I107" s="127">
        <f t="shared" si="8"/>
        <v>197.62600000000015</v>
      </c>
      <c r="J107" s="62">
        <f t="shared" si="10"/>
        <v>0</v>
      </c>
      <c r="K107" s="307"/>
      <c r="L107" s="308"/>
      <c r="M107" s="308"/>
      <c r="N107" s="308"/>
      <c r="O107" s="308"/>
      <c r="P107" s="306"/>
    </row>
    <row r="108" spans="2:16" ht="15" customHeight="1">
      <c r="B108" s="360"/>
      <c r="C108" s="327" t="s">
        <v>90</v>
      </c>
      <c r="D108" s="123" t="s">
        <v>7</v>
      </c>
      <c r="E108" s="229">
        <v>0.28000000000000003</v>
      </c>
      <c r="F108" s="135"/>
      <c r="G108" s="4">
        <f>E108+F108</f>
        <v>0.28000000000000003</v>
      </c>
      <c r="H108" s="249"/>
      <c r="I108" s="127">
        <f t="shared" si="8"/>
        <v>0.28000000000000003</v>
      </c>
      <c r="J108" s="62">
        <f t="shared" si="10"/>
        <v>0</v>
      </c>
      <c r="K108" s="307">
        <f>E108+E109</f>
        <v>0.28600000000000003</v>
      </c>
      <c r="L108" s="308">
        <f>F108+F109</f>
        <v>0</v>
      </c>
      <c r="M108" s="308">
        <f>K108+L108</f>
        <v>0.28600000000000003</v>
      </c>
      <c r="N108" s="308">
        <f>H108+H109</f>
        <v>0</v>
      </c>
      <c r="O108" s="308">
        <f>M108-N108</f>
        <v>0.28600000000000003</v>
      </c>
      <c r="P108" s="306">
        <f>N108/M108</f>
        <v>0</v>
      </c>
    </row>
    <row r="109" spans="2:16" ht="15" customHeight="1">
      <c r="B109" s="360"/>
      <c r="C109" s="327"/>
      <c r="D109" s="123" t="s">
        <v>8</v>
      </c>
      <c r="E109" s="229">
        <v>6.0000000000000001E-3</v>
      </c>
      <c r="F109" s="135"/>
      <c r="G109" s="76">
        <f>E109+F109+I108</f>
        <v>0.28600000000000003</v>
      </c>
      <c r="H109" s="249"/>
      <c r="I109" s="127">
        <f t="shared" si="8"/>
        <v>0.28600000000000003</v>
      </c>
      <c r="J109" s="62">
        <f t="shared" si="10"/>
        <v>0</v>
      </c>
      <c r="K109" s="307"/>
      <c r="L109" s="308"/>
      <c r="M109" s="308"/>
      <c r="N109" s="308"/>
      <c r="O109" s="308"/>
      <c r="P109" s="306"/>
    </row>
    <row r="110" spans="2:16" ht="15" customHeight="1">
      <c r="B110" s="360"/>
      <c r="C110" s="327" t="s">
        <v>18</v>
      </c>
      <c r="D110" s="123" t="s">
        <v>7</v>
      </c>
      <c r="E110" s="229">
        <f>1531.572+1134.705</f>
        <v>2666.277</v>
      </c>
      <c r="F110" s="135">
        <f>-855.805+251.707+302.049+302.049-1562.818-855.806-281.938</f>
        <v>-2700.5619999999999</v>
      </c>
      <c r="G110" s="4">
        <f>E110+F110</f>
        <v>-34.284999999999854</v>
      </c>
      <c r="H110" s="249"/>
      <c r="I110" s="127">
        <f>G110-H110</f>
        <v>-34.284999999999854</v>
      </c>
      <c r="J110" s="62">
        <f t="shared" si="10"/>
        <v>0</v>
      </c>
      <c r="K110" s="307">
        <f>E110+E111</f>
        <v>2720.6730000000002</v>
      </c>
      <c r="L110" s="308">
        <f>F110+F111</f>
        <v>-2700.5619999999999</v>
      </c>
      <c r="M110" s="308">
        <f>K110+L110</f>
        <v>20.111000000000331</v>
      </c>
      <c r="N110" s="308">
        <f>H110+H111</f>
        <v>0</v>
      </c>
      <c r="O110" s="308">
        <f>M110-N110</f>
        <v>20.111000000000331</v>
      </c>
      <c r="P110" s="306">
        <f>N110/M110</f>
        <v>0</v>
      </c>
    </row>
    <row r="111" spans="2:16" ht="15" customHeight="1">
      <c r="B111" s="360"/>
      <c r="C111" s="327"/>
      <c r="D111" s="123" t="s">
        <v>8</v>
      </c>
      <c r="E111" s="229">
        <f>31.246+23.15</f>
        <v>54.396000000000001</v>
      </c>
      <c r="F111" s="135"/>
      <c r="G111" s="76">
        <f>E111+F111+I110</f>
        <v>20.111000000000146</v>
      </c>
      <c r="H111" s="249"/>
      <c r="I111" s="127">
        <f t="shared" si="8"/>
        <v>20.111000000000146</v>
      </c>
      <c r="J111" s="62">
        <f t="shared" si="10"/>
        <v>0</v>
      </c>
      <c r="K111" s="307"/>
      <c r="L111" s="308"/>
      <c r="M111" s="308"/>
      <c r="N111" s="308"/>
      <c r="O111" s="308"/>
      <c r="P111" s="306"/>
    </row>
    <row r="112" spans="2:16" ht="15" customHeight="1">
      <c r="B112" s="360"/>
      <c r="C112" s="327" t="s">
        <v>19</v>
      </c>
      <c r="D112" s="123" t="s">
        <v>7</v>
      </c>
      <c r="E112" s="229">
        <v>1346.7139999999999</v>
      </c>
      <c r="F112" s="135">
        <f>-206.849</f>
        <v>-206.84899999999999</v>
      </c>
      <c r="G112" s="76">
        <f>E112+F112</f>
        <v>1139.865</v>
      </c>
      <c r="H112" s="249">
        <v>1147.3399999999999</v>
      </c>
      <c r="I112" s="127">
        <f t="shared" si="8"/>
        <v>-7.4749999999999091</v>
      </c>
      <c r="J112" s="62">
        <f t="shared" si="10"/>
        <v>1.0065577941247428</v>
      </c>
      <c r="K112" s="307">
        <f>E112+E113</f>
        <v>1374.1889999999999</v>
      </c>
      <c r="L112" s="308">
        <f>F112+F113</f>
        <v>-206.84899999999999</v>
      </c>
      <c r="M112" s="308">
        <f>K112+L112</f>
        <v>1167.3399999999999</v>
      </c>
      <c r="N112" s="308">
        <f>H112+H113</f>
        <v>1147.3399999999999</v>
      </c>
      <c r="O112" s="308">
        <f>M112-N112</f>
        <v>20</v>
      </c>
      <c r="P112" s="314">
        <f>N112/M112</f>
        <v>0.98286703102780681</v>
      </c>
    </row>
    <row r="113" spans="2:16" ht="15" customHeight="1">
      <c r="B113" s="360"/>
      <c r="C113" s="327"/>
      <c r="D113" s="123" t="s">
        <v>8</v>
      </c>
      <c r="E113" s="229">
        <v>27.475000000000001</v>
      </c>
      <c r="F113" s="135"/>
      <c r="G113" s="76">
        <f>E113+F113+I112</f>
        <v>20.000000000000092</v>
      </c>
      <c r="H113" s="249"/>
      <c r="I113" s="127">
        <f t="shared" si="8"/>
        <v>20.000000000000092</v>
      </c>
      <c r="J113" s="62">
        <f t="shared" si="10"/>
        <v>0</v>
      </c>
      <c r="K113" s="307"/>
      <c r="L113" s="308"/>
      <c r="M113" s="308"/>
      <c r="N113" s="308"/>
      <c r="O113" s="308"/>
      <c r="P113" s="314"/>
    </row>
    <row r="114" spans="2:16" ht="15" customHeight="1">
      <c r="B114" s="360"/>
      <c r="C114" s="327" t="s">
        <v>12</v>
      </c>
      <c r="D114" s="123" t="s">
        <v>7</v>
      </c>
      <c r="E114" s="229">
        <f>6856.591+1726.725</f>
        <v>8583.3160000000007</v>
      </c>
      <c r="F114" s="135">
        <f>2195-2195-3000-3996.474-1761.955+100.683</f>
        <v>-8657.7459999999992</v>
      </c>
      <c r="G114" s="76">
        <f>E114+F114</f>
        <v>-74.429999999998472</v>
      </c>
      <c r="H114" s="249"/>
      <c r="I114" s="127">
        <f t="shared" si="8"/>
        <v>-74.429999999998472</v>
      </c>
      <c r="J114" s="62">
        <f t="shared" si="10"/>
        <v>0</v>
      </c>
      <c r="K114" s="307">
        <f>E114+E115</f>
        <v>8758.43</v>
      </c>
      <c r="L114" s="308">
        <f>F114+F115</f>
        <v>-8657.7459999999992</v>
      </c>
      <c r="M114" s="308">
        <f>K114+L114</f>
        <v>100.68400000000111</v>
      </c>
      <c r="N114" s="308">
        <f>H114+H115</f>
        <v>0</v>
      </c>
      <c r="O114" s="308">
        <f>M114-N114</f>
        <v>100.68400000000111</v>
      </c>
      <c r="P114" s="306">
        <f>N114/M114</f>
        <v>0</v>
      </c>
    </row>
    <row r="115" spans="2:16" ht="15" customHeight="1">
      <c r="B115" s="360"/>
      <c r="C115" s="327"/>
      <c r="D115" s="123" t="s">
        <v>8</v>
      </c>
      <c r="E115" s="229">
        <f>139.884+35.23</f>
        <v>175.11399999999998</v>
      </c>
      <c r="F115" s="135"/>
      <c r="G115" s="76">
        <f>E115+F115+I114</f>
        <v>100.6840000000015</v>
      </c>
      <c r="H115" s="249"/>
      <c r="I115" s="127">
        <f t="shared" si="8"/>
        <v>100.6840000000015</v>
      </c>
      <c r="J115" s="62">
        <f t="shared" si="10"/>
        <v>0</v>
      </c>
      <c r="K115" s="307"/>
      <c r="L115" s="308"/>
      <c r="M115" s="308"/>
      <c r="N115" s="308"/>
      <c r="O115" s="308"/>
      <c r="P115" s="306"/>
    </row>
    <row r="116" spans="2:16" ht="15" customHeight="1">
      <c r="B116" s="360"/>
      <c r="C116" s="327" t="s">
        <v>25</v>
      </c>
      <c r="D116" s="123" t="s">
        <v>7</v>
      </c>
      <c r="E116" s="229">
        <v>55.222000000000001</v>
      </c>
      <c r="F116" s="135"/>
      <c r="G116" s="76">
        <f>E116+F116</f>
        <v>55.222000000000001</v>
      </c>
      <c r="H116" s="249"/>
      <c r="I116" s="127">
        <f t="shared" si="8"/>
        <v>55.222000000000001</v>
      </c>
      <c r="J116" s="62">
        <f t="shared" si="10"/>
        <v>0</v>
      </c>
      <c r="K116" s="307">
        <f>E116+E117</f>
        <v>56.349000000000004</v>
      </c>
      <c r="L116" s="308">
        <f>F116+F117</f>
        <v>0</v>
      </c>
      <c r="M116" s="308">
        <f>K116+L116</f>
        <v>56.349000000000004</v>
      </c>
      <c r="N116" s="308">
        <f>H116+H117</f>
        <v>0</v>
      </c>
      <c r="O116" s="308">
        <f>M116-N116</f>
        <v>56.349000000000004</v>
      </c>
      <c r="P116" s="306">
        <f>N116/M116</f>
        <v>0</v>
      </c>
    </row>
    <row r="117" spans="2:16" ht="15" customHeight="1">
      <c r="B117" s="360"/>
      <c r="C117" s="327"/>
      <c r="D117" s="123" t="s">
        <v>8</v>
      </c>
      <c r="E117" s="229">
        <v>1.127</v>
      </c>
      <c r="F117" s="135"/>
      <c r="G117" s="76">
        <f>E117+F117+I116</f>
        <v>56.349000000000004</v>
      </c>
      <c r="H117" s="249"/>
      <c r="I117" s="127">
        <f t="shared" si="8"/>
        <v>56.349000000000004</v>
      </c>
      <c r="J117" s="62">
        <f t="shared" si="10"/>
        <v>0</v>
      </c>
      <c r="K117" s="307"/>
      <c r="L117" s="308"/>
      <c r="M117" s="308"/>
      <c r="N117" s="308"/>
      <c r="O117" s="308"/>
      <c r="P117" s="306"/>
    </row>
    <row r="118" spans="2:16" ht="15" customHeight="1">
      <c r="B118" s="360"/>
      <c r="C118" s="329" t="s">
        <v>27</v>
      </c>
      <c r="D118" s="123" t="s">
        <v>7</v>
      </c>
      <c r="E118" s="229">
        <v>98.67</v>
      </c>
      <c r="F118" s="171">
        <f>-100.683</f>
        <v>-100.68300000000001</v>
      </c>
      <c r="G118" s="76">
        <f>E118+F118</f>
        <v>-2.0130000000000052</v>
      </c>
      <c r="H118" s="249"/>
      <c r="I118" s="127">
        <f t="shared" si="8"/>
        <v>-2.0130000000000052</v>
      </c>
      <c r="J118" s="62">
        <f t="shared" si="10"/>
        <v>0</v>
      </c>
      <c r="K118" s="307">
        <f>E118+E119</f>
        <v>100.68300000000001</v>
      </c>
      <c r="L118" s="308">
        <f>F118+F119</f>
        <v>-100.68300000000001</v>
      </c>
      <c r="M118" s="308">
        <f>K118+L118</f>
        <v>0</v>
      </c>
      <c r="N118" s="308">
        <f>H118+H119</f>
        <v>0</v>
      </c>
      <c r="O118" s="308">
        <f>M118-N118</f>
        <v>0</v>
      </c>
      <c r="P118" s="313">
        <v>0</v>
      </c>
    </row>
    <row r="119" spans="2:16" ht="15" customHeight="1">
      <c r="B119" s="360"/>
      <c r="C119" s="330"/>
      <c r="D119" s="123" t="s">
        <v>8</v>
      </c>
      <c r="E119" s="229">
        <v>2.0129999999999999</v>
      </c>
      <c r="F119" s="171"/>
      <c r="G119" s="76">
        <v>0</v>
      </c>
      <c r="H119" s="249"/>
      <c r="I119" s="127">
        <f t="shared" si="8"/>
        <v>0</v>
      </c>
      <c r="J119" s="62">
        <v>0</v>
      </c>
      <c r="K119" s="307"/>
      <c r="L119" s="308"/>
      <c r="M119" s="308"/>
      <c r="N119" s="308"/>
      <c r="O119" s="308"/>
      <c r="P119" s="313"/>
    </row>
    <row r="120" spans="2:16" ht="15" customHeight="1">
      <c r="B120" s="360"/>
      <c r="C120" s="329" t="s">
        <v>232</v>
      </c>
      <c r="D120" s="123" t="s">
        <v>7</v>
      </c>
      <c r="E120" s="229">
        <v>0</v>
      </c>
      <c r="F120" s="177">
        <f>201.366+201.366+201.366-201.366-201.366-201.366</f>
        <v>0</v>
      </c>
      <c r="G120" s="76">
        <f>E120+F120</f>
        <v>0</v>
      </c>
      <c r="H120" s="249"/>
      <c r="I120" s="127">
        <f t="shared" si="8"/>
        <v>0</v>
      </c>
      <c r="J120" s="62">
        <v>0</v>
      </c>
      <c r="K120" s="307">
        <f>E120+E121</f>
        <v>0</v>
      </c>
      <c r="L120" s="308">
        <f>F120+F121</f>
        <v>0</v>
      </c>
      <c r="M120" s="308">
        <f>K120+L120</f>
        <v>0</v>
      </c>
      <c r="N120" s="308">
        <f>H120+H121</f>
        <v>0</v>
      </c>
      <c r="O120" s="308">
        <f>M120-N120</f>
        <v>0</v>
      </c>
      <c r="P120" s="366">
        <v>0</v>
      </c>
    </row>
    <row r="121" spans="2:16" ht="15" customHeight="1">
      <c r="B121" s="360"/>
      <c r="C121" s="330"/>
      <c r="D121" s="123" t="s">
        <v>8</v>
      </c>
      <c r="E121" s="229">
        <v>0</v>
      </c>
      <c r="F121" s="177"/>
      <c r="G121" s="76">
        <f>E121+F121+I120</f>
        <v>0</v>
      </c>
      <c r="H121" s="249"/>
      <c r="I121" s="127">
        <f t="shared" si="8"/>
        <v>0</v>
      </c>
      <c r="J121" s="62">
        <v>0</v>
      </c>
      <c r="K121" s="307"/>
      <c r="L121" s="308"/>
      <c r="M121" s="308"/>
      <c r="N121" s="308"/>
      <c r="O121" s="308"/>
      <c r="P121" s="366"/>
    </row>
    <row r="122" spans="2:16" ht="15" customHeight="1">
      <c r="B122" s="360"/>
      <c r="C122" s="327" t="s">
        <v>230</v>
      </c>
      <c r="D122" s="123" t="s">
        <v>7</v>
      </c>
      <c r="E122" s="229">
        <v>0</v>
      </c>
      <c r="F122" s="135">
        <f>855.805-251.707-302.049-302.049</f>
        <v>0</v>
      </c>
      <c r="G122" s="76">
        <f>E122+F122</f>
        <v>0</v>
      </c>
      <c r="H122" s="243"/>
      <c r="I122" s="127">
        <f t="shared" si="8"/>
        <v>0</v>
      </c>
      <c r="J122" s="62">
        <v>0</v>
      </c>
      <c r="K122" s="307">
        <f>E122+E123</f>
        <v>0</v>
      </c>
      <c r="L122" s="308">
        <f>F122+F123</f>
        <v>0</v>
      </c>
      <c r="M122" s="308">
        <f>K122+L122</f>
        <v>0</v>
      </c>
      <c r="N122" s="308">
        <f>H122+H123</f>
        <v>0</v>
      </c>
      <c r="O122" s="308">
        <f>M122-N122</f>
        <v>0</v>
      </c>
      <c r="P122" s="311">
        <v>0</v>
      </c>
    </row>
    <row r="123" spans="2:16" ht="15" customHeight="1" thickBot="1">
      <c r="B123" s="361"/>
      <c r="C123" s="328"/>
      <c r="D123" s="124" t="s">
        <v>8</v>
      </c>
      <c r="E123" s="231">
        <v>0</v>
      </c>
      <c r="F123" s="134"/>
      <c r="G123" s="77">
        <f>E123+F123+I122</f>
        <v>0</v>
      </c>
      <c r="H123" s="246"/>
      <c r="I123" s="227">
        <f t="shared" si="8"/>
        <v>0</v>
      </c>
      <c r="J123" s="98">
        <v>0</v>
      </c>
      <c r="K123" s="309"/>
      <c r="L123" s="310"/>
      <c r="M123" s="310"/>
      <c r="N123" s="310"/>
      <c r="O123" s="310"/>
      <c r="P123" s="312"/>
    </row>
  </sheetData>
  <mergeCells count="419">
    <mergeCell ref="K118:K119"/>
    <mergeCell ref="L118:L119"/>
    <mergeCell ref="M118:M119"/>
    <mergeCell ref="N118:N119"/>
    <mergeCell ref="O118:O119"/>
    <mergeCell ref="P118:P119"/>
    <mergeCell ref="K120:K121"/>
    <mergeCell ref="L120:L121"/>
    <mergeCell ref="M120:M121"/>
    <mergeCell ref="N120:N121"/>
    <mergeCell ref="O120:O121"/>
    <mergeCell ref="P120:P121"/>
    <mergeCell ref="N54:N55"/>
    <mergeCell ref="O54:O55"/>
    <mergeCell ref="P54:P55"/>
    <mergeCell ref="K88:K89"/>
    <mergeCell ref="L88:L89"/>
    <mergeCell ref="M88:M89"/>
    <mergeCell ref="N88:N89"/>
    <mergeCell ref="O88:O89"/>
    <mergeCell ref="P88:P89"/>
    <mergeCell ref="N66:N67"/>
    <mergeCell ref="O66:O67"/>
    <mergeCell ref="L66:L67"/>
    <mergeCell ref="M66:M67"/>
    <mergeCell ref="P74:P75"/>
    <mergeCell ref="K76:K77"/>
    <mergeCell ref="L76:L77"/>
    <mergeCell ref="M76:M77"/>
    <mergeCell ref="N76:N77"/>
    <mergeCell ref="O76:O77"/>
    <mergeCell ref="P76:P77"/>
    <mergeCell ref="K74:K75"/>
    <mergeCell ref="L74:L75"/>
    <mergeCell ref="M74:M75"/>
    <mergeCell ref="N74:N75"/>
    <mergeCell ref="O22:O23"/>
    <mergeCell ref="P22:P23"/>
    <mergeCell ref="C38:C39"/>
    <mergeCell ref="P90:P91"/>
    <mergeCell ref="C76:C77"/>
    <mergeCell ref="C78:C79"/>
    <mergeCell ref="C80:C81"/>
    <mergeCell ref="C82:C83"/>
    <mergeCell ref="C84:C85"/>
    <mergeCell ref="C60:C61"/>
    <mergeCell ref="C62:C63"/>
    <mergeCell ref="M78:M79"/>
    <mergeCell ref="N78:N79"/>
    <mergeCell ref="O78:O79"/>
    <mergeCell ref="P62:P63"/>
    <mergeCell ref="K64:K65"/>
    <mergeCell ref="L64:L65"/>
    <mergeCell ref="M64:M65"/>
    <mergeCell ref="N64:N65"/>
    <mergeCell ref="C64:C65"/>
    <mergeCell ref="M44:M45"/>
    <mergeCell ref="K90:K91"/>
    <mergeCell ref="K54:K55"/>
    <mergeCell ref="L54:L55"/>
    <mergeCell ref="C108:C109"/>
    <mergeCell ref="C42:C43"/>
    <mergeCell ref="C44:C45"/>
    <mergeCell ref="C46:C47"/>
    <mergeCell ref="C48:C49"/>
    <mergeCell ref="C86:C87"/>
    <mergeCell ref="C40:C41"/>
    <mergeCell ref="B58:B91"/>
    <mergeCell ref="C90:C91"/>
    <mergeCell ref="B26:B57"/>
    <mergeCell ref="B92:B123"/>
    <mergeCell ref="C54:C55"/>
    <mergeCell ref="C88:C89"/>
    <mergeCell ref="C120:C121"/>
    <mergeCell ref="P44:P45"/>
    <mergeCell ref="P46:P47"/>
    <mergeCell ref="L32:L33"/>
    <mergeCell ref="M32:M33"/>
    <mergeCell ref="N48:N49"/>
    <mergeCell ref="O48:O49"/>
    <mergeCell ref="P48:P49"/>
    <mergeCell ref="N46:N47"/>
    <mergeCell ref="O46:O47"/>
    <mergeCell ref="P34:P35"/>
    <mergeCell ref="P42:P43"/>
    <mergeCell ref="L44:L45"/>
    <mergeCell ref="L42:L43"/>
    <mergeCell ref="M42:M43"/>
    <mergeCell ref="N42:N43"/>
    <mergeCell ref="O42:O43"/>
    <mergeCell ref="M36:M37"/>
    <mergeCell ref="N36:N37"/>
    <mergeCell ref="M46:M47"/>
    <mergeCell ref="L46:L47"/>
    <mergeCell ref="M48:M49"/>
    <mergeCell ref="O36:O37"/>
    <mergeCell ref="B3:P3"/>
    <mergeCell ref="C58:C59"/>
    <mergeCell ref="N24:N25"/>
    <mergeCell ref="O24:O25"/>
    <mergeCell ref="P24:P25"/>
    <mergeCell ref="B6:B25"/>
    <mergeCell ref="C6:C7"/>
    <mergeCell ref="C8:C9"/>
    <mergeCell ref="C10:C11"/>
    <mergeCell ref="P14:P15"/>
    <mergeCell ref="K10:K11"/>
    <mergeCell ref="L10:L11"/>
    <mergeCell ref="M10:M11"/>
    <mergeCell ref="N10:N11"/>
    <mergeCell ref="O10:O11"/>
    <mergeCell ref="M18:M19"/>
    <mergeCell ref="N18:N19"/>
    <mergeCell ref="O32:O33"/>
    <mergeCell ref="P32:P33"/>
    <mergeCell ref="N30:N31"/>
    <mergeCell ref="O30:O31"/>
    <mergeCell ref="L28:L29"/>
    <mergeCell ref="P56:P57"/>
    <mergeCell ref="N28:N29"/>
    <mergeCell ref="M14:M15"/>
    <mergeCell ref="M30:M31"/>
    <mergeCell ref="K36:K37"/>
    <mergeCell ref="L36:L37"/>
    <mergeCell ref="C18:C19"/>
    <mergeCell ref="K18:K19"/>
    <mergeCell ref="L18:L19"/>
    <mergeCell ref="C14:C15"/>
    <mergeCell ref="C28:C29"/>
    <mergeCell ref="C30:C31"/>
    <mergeCell ref="C16:C17"/>
    <mergeCell ref="C26:C27"/>
    <mergeCell ref="C32:C33"/>
    <mergeCell ref="C34:C35"/>
    <mergeCell ref="C36:C37"/>
    <mergeCell ref="C20:C21"/>
    <mergeCell ref="C24:C25"/>
    <mergeCell ref="M16:M17"/>
    <mergeCell ref="M28:M29"/>
    <mergeCell ref="L24:L25"/>
    <mergeCell ref="M24:M25"/>
    <mergeCell ref="C22:C23"/>
    <mergeCell ref="K22:K23"/>
    <mergeCell ref="K32:K33"/>
    <mergeCell ref="P20:P21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O18:O19"/>
    <mergeCell ref="P18:P19"/>
    <mergeCell ref="P10:P11"/>
    <mergeCell ref="N14:N15"/>
    <mergeCell ref="O14:O15"/>
    <mergeCell ref="N16:N17"/>
    <mergeCell ref="O16:O17"/>
    <mergeCell ref="P16:P17"/>
    <mergeCell ref="K16:K17"/>
    <mergeCell ref="L16:L17"/>
    <mergeCell ref="L14:L15"/>
    <mergeCell ref="K14:K15"/>
    <mergeCell ref="C110:C111"/>
    <mergeCell ref="C112:C113"/>
    <mergeCell ref="C94:C95"/>
    <mergeCell ref="C96:C97"/>
    <mergeCell ref="C98:C99"/>
    <mergeCell ref="C100:C101"/>
    <mergeCell ref="C102:C103"/>
    <mergeCell ref="C104:C105"/>
    <mergeCell ref="K44:K45"/>
    <mergeCell ref="K42:K43"/>
    <mergeCell ref="C52:C53"/>
    <mergeCell ref="K52:K53"/>
    <mergeCell ref="C92:C93"/>
    <mergeCell ref="C70:C71"/>
    <mergeCell ref="C72:C73"/>
    <mergeCell ref="C74:C75"/>
    <mergeCell ref="C50:C51"/>
    <mergeCell ref="C66:C67"/>
    <mergeCell ref="C68:C69"/>
    <mergeCell ref="K62:K63"/>
    <mergeCell ref="C56:C57"/>
    <mergeCell ref="K56:K57"/>
    <mergeCell ref="C106:C107"/>
    <mergeCell ref="P26:P27"/>
    <mergeCell ref="K26:K27"/>
    <mergeCell ref="L26:L27"/>
    <mergeCell ref="M26:M27"/>
    <mergeCell ref="N26:N27"/>
    <mergeCell ref="O26:O27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K28:K29"/>
    <mergeCell ref="P36:P37"/>
    <mergeCell ref="O28:O29"/>
    <mergeCell ref="P28:P29"/>
    <mergeCell ref="P30:P31"/>
    <mergeCell ref="N32:N33"/>
    <mergeCell ref="O20:O21"/>
    <mergeCell ref="K34:K35"/>
    <mergeCell ref="L34:L35"/>
    <mergeCell ref="M34:M35"/>
    <mergeCell ref="N34:N35"/>
    <mergeCell ref="O34:O35"/>
    <mergeCell ref="C122:C123"/>
    <mergeCell ref="C114:C115"/>
    <mergeCell ref="C116:C117"/>
    <mergeCell ref="C118:C119"/>
    <mergeCell ref="L22:L23"/>
    <mergeCell ref="O44:O45"/>
    <mergeCell ref="L90:L91"/>
    <mergeCell ref="M90:M91"/>
    <mergeCell ref="N90:N91"/>
    <mergeCell ref="O90:O91"/>
    <mergeCell ref="L62:L63"/>
    <mergeCell ref="M62:M63"/>
    <mergeCell ref="N62:N63"/>
    <mergeCell ref="L56:L57"/>
    <mergeCell ref="M56:M57"/>
    <mergeCell ref="N56:N57"/>
    <mergeCell ref="O56:O57"/>
    <mergeCell ref="O62:O63"/>
    <mergeCell ref="K46:K47"/>
    <mergeCell ref="N20:N21"/>
    <mergeCell ref="K30:K31"/>
    <mergeCell ref="L30:L31"/>
    <mergeCell ref="K20:K21"/>
    <mergeCell ref="L20:L21"/>
    <mergeCell ref="M20:M21"/>
    <mergeCell ref="K24:K25"/>
    <mergeCell ref="M22:M23"/>
    <mergeCell ref="N22:N23"/>
    <mergeCell ref="N44:N45"/>
    <mergeCell ref="P50:P51"/>
    <mergeCell ref="P58:P59"/>
    <mergeCell ref="K60:K61"/>
    <mergeCell ref="L60:L61"/>
    <mergeCell ref="M60:M61"/>
    <mergeCell ref="N60:N61"/>
    <mergeCell ref="O60:O61"/>
    <mergeCell ref="P60:P61"/>
    <mergeCell ref="K58:K59"/>
    <mergeCell ref="L58:L59"/>
    <mergeCell ref="M58:M59"/>
    <mergeCell ref="N58:N59"/>
    <mergeCell ref="O58:O59"/>
    <mergeCell ref="K50:K51"/>
    <mergeCell ref="L50:L51"/>
    <mergeCell ref="M50:M51"/>
    <mergeCell ref="N50:N51"/>
    <mergeCell ref="O50:O51"/>
    <mergeCell ref="L52:L53"/>
    <mergeCell ref="M52:M53"/>
    <mergeCell ref="N52:N53"/>
    <mergeCell ref="O52:O53"/>
    <mergeCell ref="P52:P53"/>
    <mergeCell ref="M54:M55"/>
    <mergeCell ref="K48:K49"/>
    <mergeCell ref="L48:L49"/>
    <mergeCell ref="O64:O65"/>
    <mergeCell ref="P64:P65"/>
    <mergeCell ref="P70:P71"/>
    <mergeCell ref="K72:K73"/>
    <mergeCell ref="L72:L73"/>
    <mergeCell ref="M72:M73"/>
    <mergeCell ref="N72:N73"/>
    <mergeCell ref="O72:O73"/>
    <mergeCell ref="P72:P73"/>
    <mergeCell ref="K70:K71"/>
    <mergeCell ref="L70:L71"/>
    <mergeCell ref="M70:M71"/>
    <mergeCell ref="N70:N71"/>
    <mergeCell ref="O70:O71"/>
    <mergeCell ref="P66:P67"/>
    <mergeCell ref="K68:K69"/>
    <mergeCell ref="L68:L69"/>
    <mergeCell ref="M68:M69"/>
    <mergeCell ref="N68:N69"/>
    <mergeCell ref="O68:O69"/>
    <mergeCell ref="P68:P69"/>
    <mergeCell ref="K66:K67"/>
    <mergeCell ref="O74:O75"/>
    <mergeCell ref="P92:P93"/>
    <mergeCell ref="K94:K95"/>
    <mergeCell ref="L94:L95"/>
    <mergeCell ref="M94:M95"/>
    <mergeCell ref="N94:N95"/>
    <mergeCell ref="O94:O95"/>
    <mergeCell ref="P94:P95"/>
    <mergeCell ref="K92:K93"/>
    <mergeCell ref="L92:L93"/>
    <mergeCell ref="M92:M93"/>
    <mergeCell ref="N92:N93"/>
    <mergeCell ref="O92:O93"/>
    <mergeCell ref="P96:P97"/>
    <mergeCell ref="K98:K99"/>
    <mergeCell ref="L98:L99"/>
    <mergeCell ref="M98:M99"/>
    <mergeCell ref="N98:N99"/>
    <mergeCell ref="O98:O99"/>
    <mergeCell ref="P98:P99"/>
    <mergeCell ref="K96:K97"/>
    <mergeCell ref="L96:L97"/>
    <mergeCell ref="M96:M97"/>
    <mergeCell ref="N96:N97"/>
    <mergeCell ref="O96:O97"/>
    <mergeCell ref="P100:P101"/>
    <mergeCell ref="K102:K103"/>
    <mergeCell ref="L102:L103"/>
    <mergeCell ref="M102:M103"/>
    <mergeCell ref="N102:N103"/>
    <mergeCell ref="O102:O103"/>
    <mergeCell ref="P102:P103"/>
    <mergeCell ref="K100:K101"/>
    <mergeCell ref="L100:L101"/>
    <mergeCell ref="M100:M101"/>
    <mergeCell ref="N100:N101"/>
    <mergeCell ref="O100:O101"/>
    <mergeCell ref="O110:O111"/>
    <mergeCell ref="P110:P111"/>
    <mergeCell ref="K108:K109"/>
    <mergeCell ref="L108:L109"/>
    <mergeCell ref="M108:M109"/>
    <mergeCell ref="N108:N109"/>
    <mergeCell ref="O108:O109"/>
    <mergeCell ref="P104:P105"/>
    <mergeCell ref="K106:K107"/>
    <mergeCell ref="L106:L107"/>
    <mergeCell ref="M106:M107"/>
    <mergeCell ref="N106:N107"/>
    <mergeCell ref="O106:O107"/>
    <mergeCell ref="P106:P107"/>
    <mergeCell ref="K104:K105"/>
    <mergeCell ref="L104:L105"/>
    <mergeCell ref="M104:M105"/>
    <mergeCell ref="N104:N105"/>
    <mergeCell ref="O104:O105"/>
    <mergeCell ref="P108:P109"/>
    <mergeCell ref="K110:K111"/>
    <mergeCell ref="L110:L111"/>
    <mergeCell ref="M110:M111"/>
    <mergeCell ref="N110:N111"/>
    <mergeCell ref="B2:P2"/>
    <mergeCell ref="K82:K83"/>
    <mergeCell ref="K84:K85"/>
    <mergeCell ref="K86:K87"/>
    <mergeCell ref="L82:L83"/>
    <mergeCell ref="L84:L85"/>
    <mergeCell ref="C12:C13"/>
    <mergeCell ref="K12:K13"/>
    <mergeCell ref="L12:L13"/>
    <mergeCell ref="M12:M13"/>
    <mergeCell ref="N12:N13"/>
    <mergeCell ref="O12:O13"/>
    <mergeCell ref="P12:P13"/>
    <mergeCell ref="M86:M87"/>
    <mergeCell ref="L86:L87"/>
    <mergeCell ref="P78:P79"/>
    <mergeCell ref="K80:K81"/>
    <mergeCell ref="L80:L81"/>
    <mergeCell ref="M80:M81"/>
    <mergeCell ref="N80:N81"/>
    <mergeCell ref="O80:O81"/>
    <mergeCell ref="P80:P81"/>
    <mergeCell ref="K78:K79"/>
    <mergeCell ref="L78:L79"/>
    <mergeCell ref="K122:K123"/>
    <mergeCell ref="L122:L123"/>
    <mergeCell ref="M122:M123"/>
    <mergeCell ref="N122:N123"/>
    <mergeCell ref="O122:O123"/>
    <mergeCell ref="P122:P123"/>
    <mergeCell ref="P82:P83"/>
    <mergeCell ref="P84:P85"/>
    <mergeCell ref="P86:P87"/>
    <mergeCell ref="O82:O83"/>
    <mergeCell ref="O84:O85"/>
    <mergeCell ref="O86:O87"/>
    <mergeCell ref="M82:M83"/>
    <mergeCell ref="M84:M85"/>
    <mergeCell ref="N82:N83"/>
    <mergeCell ref="N84:N85"/>
    <mergeCell ref="N86:N87"/>
    <mergeCell ref="P112:P113"/>
    <mergeCell ref="K114:K115"/>
    <mergeCell ref="L114:L115"/>
    <mergeCell ref="M114:M115"/>
    <mergeCell ref="N114:N115"/>
    <mergeCell ref="O114:O115"/>
    <mergeCell ref="P114:P115"/>
    <mergeCell ref="P116:P117"/>
    <mergeCell ref="K116:K117"/>
    <mergeCell ref="L116:L117"/>
    <mergeCell ref="M116:M117"/>
    <mergeCell ref="N116:N117"/>
    <mergeCell ref="O116:O117"/>
    <mergeCell ref="K112:K113"/>
    <mergeCell ref="L112:L113"/>
    <mergeCell ref="M112:M113"/>
    <mergeCell ref="N112:N113"/>
    <mergeCell ref="O112:O113"/>
  </mergeCells>
  <pageMargins left="0.7" right="0.7" top="0.75" bottom="0.75" header="0.3" footer="0.3"/>
  <pageSetup paperSize="173" orientation="portrait" r:id="rId1"/>
  <ignoredErrors>
    <ignoredError sqref="M7 M26:M49 G112:G117 G122:G123 M15 M9 M11 M17 M19 M21 M50:M5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46"/>
  <sheetViews>
    <sheetView showGridLines="0" zoomScale="90" zoomScaleNormal="90" workbookViewId="0">
      <selection activeCell="E11" sqref="E11:E13"/>
    </sheetView>
  </sheetViews>
  <sheetFormatPr baseColWidth="10" defaultColWidth="11.42578125" defaultRowHeight="15"/>
  <cols>
    <col min="1" max="1" width="22.28515625" style="26" customWidth="1"/>
    <col min="2" max="2" width="28.42578125" style="26" bestFit="1" customWidth="1"/>
    <col min="3" max="3" width="10.42578125" style="26" bestFit="1" customWidth="1"/>
    <col min="4" max="4" width="14" style="26" bestFit="1" customWidth="1"/>
    <col min="5" max="5" width="20" style="26" bestFit="1" customWidth="1"/>
    <col min="6" max="6" width="23.7109375" style="26" bestFit="1" customWidth="1"/>
    <col min="7" max="7" width="14.5703125" style="52" bestFit="1" customWidth="1"/>
    <col min="8" max="8" width="15.42578125" style="52" bestFit="1" customWidth="1"/>
    <col min="9" max="9" width="7" style="26" bestFit="1" customWidth="1"/>
    <col min="10" max="10" width="14.5703125" style="26" bestFit="1" customWidth="1"/>
    <col min="11" max="16384" width="11.42578125" style="26"/>
  </cols>
  <sheetData>
    <row r="1" spans="1:10" ht="15.75" thickBot="1">
      <c r="B1" s="46"/>
      <c r="C1" s="46"/>
      <c r="D1" s="46"/>
      <c r="E1" s="46"/>
      <c r="F1" s="46"/>
      <c r="G1" s="51"/>
      <c r="H1" s="51"/>
      <c r="I1" s="46"/>
      <c r="J1" s="46"/>
    </row>
    <row r="2" spans="1:10" ht="15.75">
      <c r="B2" s="376" t="s">
        <v>263</v>
      </c>
      <c r="C2" s="377"/>
      <c r="D2" s="377"/>
      <c r="E2" s="377"/>
      <c r="F2" s="377"/>
      <c r="G2" s="377"/>
      <c r="H2" s="377"/>
      <c r="I2" s="377"/>
      <c r="J2" s="378"/>
    </row>
    <row r="3" spans="1:10" ht="20.25" customHeight="1" thickBot="1">
      <c r="B3" s="379">
        <f>Resumen!B3</f>
        <v>43689</v>
      </c>
      <c r="C3" s="380"/>
      <c r="D3" s="380"/>
      <c r="E3" s="380"/>
      <c r="F3" s="380"/>
      <c r="G3" s="380"/>
      <c r="H3" s="380"/>
      <c r="I3" s="380"/>
      <c r="J3" s="381"/>
    </row>
    <row r="4" spans="1:10">
      <c r="A4" s="47"/>
      <c r="B4" s="48"/>
      <c r="C4" s="48"/>
      <c r="D4" s="48"/>
      <c r="E4" s="48"/>
      <c r="F4" s="48"/>
      <c r="G4" s="48"/>
      <c r="H4" s="48"/>
      <c r="I4" s="48"/>
      <c r="J4" s="48"/>
    </row>
    <row r="5" spans="1:10" ht="12" customHeight="1"/>
    <row r="6" spans="1:10" ht="13.5" customHeight="1" thickBot="1"/>
    <row r="7" spans="1:10" ht="39" customHeight="1" thickBot="1">
      <c r="B7" s="129" t="s">
        <v>204</v>
      </c>
      <c r="C7" s="130" t="s">
        <v>205</v>
      </c>
      <c r="D7" s="130" t="s">
        <v>206</v>
      </c>
      <c r="E7" s="130" t="s">
        <v>213</v>
      </c>
      <c r="F7" s="131" t="s">
        <v>258</v>
      </c>
      <c r="G7" s="202" t="s">
        <v>250</v>
      </c>
      <c r="H7" s="130" t="s">
        <v>245</v>
      </c>
      <c r="I7" s="130" t="s">
        <v>214</v>
      </c>
      <c r="J7" s="131" t="s">
        <v>215</v>
      </c>
    </row>
    <row r="8" spans="1:10">
      <c r="B8" s="390" t="s">
        <v>257</v>
      </c>
      <c r="C8" s="382">
        <v>1802</v>
      </c>
      <c r="D8" s="383">
        <v>43595</v>
      </c>
      <c r="E8" s="382">
        <v>2400</v>
      </c>
      <c r="F8" s="204" t="s">
        <v>236</v>
      </c>
      <c r="G8" s="222">
        <v>1368.32</v>
      </c>
      <c r="H8" s="384">
        <f>G8+G9+G10</f>
        <v>2400</v>
      </c>
      <c r="I8" s="384">
        <f>E8-H8</f>
        <v>0</v>
      </c>
      <c r="J8" s="387">
        <f>H8/E8</f>
        <v>1</v>
      </c>
    </row>
    <row r="9" spans="1:10">
      <c r="B9" s="371"/>
      <c r="C9" s="368"/>
      <c r="D9" s="374"/>
      <c r="E9" s="368"/>
      <c r="F9" s="205" t="s">
        <v>237</v>
      </c>
      <c r="G9" s="203">
        <v>1031.68</v>
      </c>
      <c r="H9" s="385"/>
      <c r="I9" s="385"/>
      <c r="J9" s="388"/>
    </row>
    <row r="10" spans="1:10">
      <c r="B10" s="371"/>
      <c r="C10" s="369"/>
      <c r="D10" s="375"/>
      <c r="E10" s="369"/>
      <c r="F10" s="205" t="s">
        <v>238</v>
      </c>
      <c r="G10" s="203"/>
      <c r="H10" s="386"/>
      <c r="I10" s="386"/>
      <c r="J10" s="389"/>
    </row>
    <row r="11" spans="1:10">
      <c r="B11" s="371"/>
      <c r="C11" s="367">
        <v>2009</v>
      </c>
      <c r="D11" s="373">
        <v>43613</v>
      </c>
      <c r="E11" s="367">
        <v>2000</v>
      </c>
      <c r="F11" s="204" t="s">
        <v>236</v>
      </c>
      <c r="G11" s="203">
        <v>1336.9549999999999</v>
      </c>
      <c r="H11" s="391">
        <f>G11+G12+G13</f>
        <v>2000</v>
      </c>
      <c r="I11" s="391">
        <f>E11-H11</f>
        <v>0</v>
      </c>
      <c r="J11" s="351">
        <f>H11/E11</f>
        <v>1</v>
      </c>
    </row>
    <row r="12" spans="1:10">
      <c r="B12" s="371"/>
      <c r="C12" s="368"/>
      <c r="D12" s="374"/>
      <c r="E12" s="368"/>
      <c r="F12" s="205" t="s">
        <v>237</v>
      </c>
      <c r="G12" s="203">
        <v>663.04499999999996</v>
      </c>
      <c r="H12" s="385"/>
      <c r="I12" s="385"/>
      <c r="J12" s="388"/>
    </row>
    <row r="13" spans="1:10">
      <c r="B13" s="372"/>
      <c r="C13" s="369"/>
      <c r="D13" s="375"/>
      <c r="E13" s="369"/>
      <c r="F13" s="205" t="s">
        <v>238</v>
      </c>
      <c r="G13" s="203"/>
      <c r="H13" s="386"/>
      <c r="I13" s="386"/>
      <c r="J13" s="389"/>
    </row>
    <row r="14" spans="1:10">
      <c r="B14" s="370" t="s">
        <v>239</v>
      </c>
      <c r="C14" s="367">
        <v>1804</v>
      </c>
      <c r="D14" s="373">
        <v>43595</v>
      </c>
      <c r="E14" s="367">
        <v>5600</v>
      </c>
      <c r="F14" s="205" t="s">
        <v>240</v>
      </c>
      <c r="G14" s="210">
        <v>1312.57</v>
      </c>
      <c r="H14" s="391">
        <f>G14+G15+G16+G17+G18</f>
        <v>5600</v>
      </c>
      <c r="I14" s="391">
        <f>E14-H14</f>
        <v>0</v>
      </c>
      <c r="J14" s="351">
        <f>H14/E14</f>
        <v>1</v>
      </c>
    </row>
    <row r="15" spans="1:10">
      <c r="B15" s="371"/>
      <c r="C15" s="368"/>
      <c r="D15" s="374"/>
      <c r="E15" s="368"/>
      <c r="F15" s="205" t="s">
        <v>241</v>
      </c>
      <c r="G15" s="210">
        <v>863.27200000000005</v>
      </c>
      <c r="H15" s="385"/>
      <c r="I15" s="385"/>
      <c r="J15" s="388"/>
    </row>
    <row r="16" spans="1:10">
      <c r="B16" s="371"/>
      <c r="C16" s="368"/>
      <c r="D16" s="374"/>
      <c r="E16" s="368"/>
      <c r="F16" s="205" t="s">
        <v>242</v>
      </c>
      <c r="G16" s="210">
        <v>761.32799999999997</v>
      </c>
      <c r="H16" s="385"/>
      <c r="I16" s="385"/>
      <c r="J16" s="388"/>
    </row>
    <row r="17" spans="2:10">
      <c r="B17" s="371"/>
      <c r="C17" s="368"/>
      <c r="D17" s="374"/>
      <c r="E17" s="368"/>
      <c r="F17" s="205" t="s">
        <v>243</v>
      </c>
      <c r="G17" s="210">
        <v>1782.6969999999999</v>
      </c>
      <c r="H17" s="385"/>
      <c r="I17" s="385"/>
      <c r="J17" s="388"/>
    </row>
    <row r="18" spans="2:10">
      <c r="B18" s="371"/>
      <c r="C18" s="369"/>
      <c r="D18" s="375"/>
      <c r="E18" s="369"/>
      <c r="F18" s="205" t="s">
        <v>244</v>
      </c>
      <c r="G18" s="210">
        <v>880.13300000000004</v>
      </c>
      <c r="H18" s="386"/>
      <c r="I18" s="386"/>
      <c r="J18" s="389"/>
    </row>
    <row r="19" spans="2:10">
      <c r="B19" s="371"/>
      <c r="C19" s="367">
        <v>1968</v>
      </c>
      <c r="D19" s="373">
        <v>43609</v>
      </c>
      <c r="E19" s="367">
        <v>10000</v>
      </c>
      <c r="F19" s="205" t="s">
        <v>240</v>
      </c>
      <c r="G19" s="210">
        <v>1855.8150000000001</v>
      </c>
      <c r="H19" s="391">
        <f>G19+G20+G21+G22+G23</f>
        <v>10000</v>
      </c>
      <c r="I19" s="391">
        <f>E19-H19</f>
        <v>0</v>
      </c>
      <c r="J19" s="351">
        <f>H19/E19</f>
        <v>1</v>
      </c>
    </row>
    <row r="20" spans="2:10">
      <c r="B20" s="371"/>
      <c r="C20" s="368"/>
      <c r="D20" s="374"/>
      <c r="E20" s="368"/>
      <c r="F20" s="205" t="s">
        <v>241</v>
      </c>
      <c r="G20" s="210">
        <v>2445.48</v>
      </c>
      <c r="H20" s="385"/>
      <c r="I20" s="385"/>
      <c r="J20" s="388"/>
    </row>
    <row r="21" spans="2:10">
      <c r="B21" s="371"/>
      <c r="C21" s="368"/>
      <c r="D21" s="374"/>
      <c r="E21" s="368"/>
      <c r="F21" s="205" t="s">
        <v>242</v>
      </c>
      <c r="G21" s="210">
        <v>1410.972</v>
      </c>
      <c r="H21" s="385"/>
      <c r="I21" s="385"/>
      <c r="J21" s="388"/>
    </row>
    <row r="22" spans="2:10">
      <c r="B22" s="371"/>
      <c r="C22" s="368"/>
      <c r="D22" s="374"/>
      <c r="E22" s="368"/>
      <c r="F22" s="205" t="s">
        <v>243</v>
      </c>
      <c r="G22" s="210">
        <v>2196.451</v>
      </c>
      <c r="H22" s="385"/>
      <c r="I22" s="385"/>
      <c r="J22" s="388"/>
    </row>
    <row r="23" spans="2:10">
      <c r="B23" s="371"/>
      <c r="C23" s="369"/>
      <c r="D23" s="375"/>
      <c r="E23" s="369"/>
      <c r="F23" s="205" t="s">
        <v>244</v>
      </c>
      <c r="G23" s="210">
        <v>2091.2820000000002</v>
      </c>
      <c r="H23" s="386"/>
      <c r="I23" s="386"/>
      <c r="J23" s="389"/>
    </row>
    <row r="24" spans="2:10">
      <c r="B24" s="371"/>
      <c r="C24" s="367">
        <v>2179</v>
      </c>
      <c r="D24" s="373">
        <v>43627</v>
      </c>
      <c r="E24" s="367">
        <v>1413</v>
      </c>
      <c r="F24" s="205" t="s">
        <v>240</v>
      </c>
      <c r="G24" s="210">
        <v>687.24599999999998</v>
      </c>
      <c r="H24" s="391">
        <f>G24+G25+G26+G27+G28</f>
        <v>1413</v>
      </c>
      <c r="I24" s="391">
        <f>E24-H24</f>
        <v>0</v>
      </c>
      <c r="J24" s="351">
        <f>H24/E24</f>
        <v>1</v>
      </c>
    </row>
    <row r="25" spans="2:10">
      <c r="B25" s="371"/>
      <c r="C25" s="368"/>
      <c r="D25" s="374"/>
      <c r="E25" s="368"/>
      <c r="F25" s="205" t="s">
        <v>241</v>
      </c>
      <c r="G25" s="210">
        <v>725.75400000000002</v>
      </c>
      <c r="H25" s="385"/>
      <c r="I25" s="385"/>
      <c r="J25" s="388"/>
    </row>
    <row r="26" spans="2:10">
      <c r="B26" s="371"/>
      <c r="C26" s="368"/>
      <c r="D26" s="374"/>
      <c r="E26" s="368"/>
      <c r="F26" s="205" t="s">
        <v>242</v>
      </c>
      <c r="G26" s="210"/>
      <c r="H26" s="385"/>
      <c r="I26" s="385"/>
      <c r="J26" s="388"/>
    </row>
    <row r="27" spans="2:10">
      <c r="B27" s="371"/>
      <c r="C27" s="368"/>
      <c r="D27" s="374"/>
      <c r="E27" s="368"/>
      <c r="F27" s="205" t="s">
        <v>243</v>
      </c>
      <c r="G27" s="210"/>
      <c r="H27" s="385"/>
      <c r="I27" s="385"/>
      <c r="J27" s="388"/>
    </row>
    <row r="28" spans="2:10">
      <c r="B28" s="372"/>
      <c r="C28" s="369"/>
      <c r="D28" s="375"/>
      <c r="E28" s="369"/>
      <c r="F28" s="205" t="s">
        <v>244</v>
      </c>
      <c r="G28" s="210"/>
      <c r="H28" s="386"/>
      <c r="I28" s="386"/>
      <c r="J28" s="389"/>
    </row>
    <row r="29" spans="2:10">
      <c r="B29" s="370" t="s">
        <v>16</v>
      </c>
      <c r="C29" s="367">
        <v>2057</v>
      </c>
      <c r="D29" s="373">
        <v>43620</v>
      </c>
      <c r="E29" s="367">
        <v>17500</v>
      </c>
      <c r="F29" s="206" t="s">
        <v>247</v>
      </c>
      <c r="G29" s="210">
        <v>5546.3280000000004</v>
      </c>
      <c r="H29" s="391">
        <f>G29+G30+G31</f>
        <v>17500</v>
      </c>
      <c r="I29" s="391">
        <f>E29-H29</f>
        <v>0</v>
      </c>
      <c r="J29" s="351">
        <f>H29/E29</f>
        <v>1</v>
      </c>
    </row>
    <row r="30" spans="2:10">
      <c r="B30" s="371"/>
      <c r="C30" s="368"/>
      <c r="D30" s="374"/>
      <c r="E30" s="368"/>
      <c r="F30" s="206" t="s">
        <v>248</v>
      </c>
      <c r="G30" s="210">
        <v>5340.402</v>
      </c>
      <c r="H30" s="385"/>
      <c r="I30" s="385"/>
      <c r="J30" s="388"/>
    </row>
    <row r="31" spans="2:10">
      <c r="B31" s="372"/>
      <c r="C31" s="369"/>
      <c r="D31" s="375"/>
      <c r="E31" s="369"/>
      <c r="F31" s="206" t="s">
        <v>249</v>
      </c>
      <c r="G31" s="210">
        <v>6613.27</v>
      </c>
      <c r="H31" s="386"/>
      <c r="I31" s="386"/>
      <c r="J31" s="389"/>
    </row>
    <row r="32" spans="2:10">
      <c r="B32" s="401" t="s">
        <v>21</v>
      </c>
      <c r="C32" s="392">
        <v>1931</v>
      </c>
      <c r="D32" s="402">
        <v>43609</v>
      </c>
      <c r="E32" s="392">
        <v>9652</v>
      </c>
      <c r="F32" s="206" t="s">
        <v>251</v>
      </c>
      <c r="G32" s="210">
        <v>2277.0140000000001</v>
      </c>
      <c r="H32" s="393">
        <f>G32+G33+G34+G35+G36</f>
        <v>9652</v>
      </c>
      <c r="I32" s="393">
        <f>E32-H32</f>
        <v>0</v>
      </c>
      <c r="J32" s="311">
        <f>H32/E32</f>
        <v>1</v>
      </c>
    </row>
    <row r="33" spans="2:10">
      <c r="B33" s="401"/>
      <c r="C33" s="392"/>
      <c r="D33" s="402"/>
      <c r="E33" s="392"/>
      <c r="F33" s="206" t="s">
        <v>252</v>
      </c>
      <c r="G33" s="210">
        <v>2075.0450000000001</v>
      </c>
      <c r="H33" s="393"/>
      <c r="I33" s="393"/>
      <c r="J33" s="311"/>
    </row>
    <row r="34" spans="2:10">
      <c r="B34" s="401"/>
      <c r="C34" s="392"/>
      <c r="D34" s="402"/>
      <c r="E34" s="392"/>
      <c r="F34" s="206" t="s">
        <v>253</v>
      </c>
      <c r="G34" s="210">
        <v>1609.7</v>
      </c>
      <c r="H34" s="393"/>
      <c r="I34" s="393"/>
      <c r="J34" s="311"/>
    </row>
    <row r="35" spans="2:10">
      <c r="B35" s="401"/>
      <c r="C35" s="392"/>
      <c r="D35" s="402"/>
      <c r="E35" s="392"/>
      <c r="F35" s="206" t="s">
        <v>254</v>
      </c>
      <c r="G35" s="210">
        <v>1950.6559999999999</v>
      </c>
      <c r="H35" s="393"/>
      <c r="I35" s="393"/>
      <c r="J35" s="311"/>
    </row>
    <row r="36" spans="2:10">
      <c r="B36" s="401"/>
      <c r="C36" s="392"/>
      <c r="D36" s="402"/>
      <c r="E36" s="392"/>
      <c r="F36" s="206" t="s">
        <v>255</v>
      </c>
      <c r="G36" s="210">
        <v>1739.585</v>
      </c>
      <c r="H36" s="393"/>
      <c r="I36" s="393"/>
      <c r="J36" s="311"/>
    </row>
    <row r="37" spans="2:10">
      <c r="B37" s="401"/>
      <c r="C37" s="392">
        <v>1888</v>
      </c>
      <c r="D37" s="402">
        <v>43608</v>
      </c>
      <c r="E37" s="392">
        <v>6000</v>
      </c>
      <c r="F37" s="206" t="s">
        <v>251</v>
      </c>
      <c r="G37" s="210">
        <v>1305.2829999999999</v>
      </c>
      <c r="H37" s="393">
        <f>G37+G38+G39+G40+G41</f>
        <v>6000</v>
      </c>
      <c r="I37" s="393">
        <f>E37-H37</f>
        <v>0</v>
      </c>
      <c r="J37" s="311">
        <f>H37/E37</f>
        <v>1</v>
      </c>
    </row>
    <row r="38" spans="2:10">
      <c r="B38" s="401"/>
      <c r="C38" s="392"/>
      <c r="D38" s="402"/>
      <c r="E38" s="392"/>
      <c r="F38" s="206" t="s">
        <v>252</v>
      </c>
      <c r="G38" s="210">
        <v>1244.377</v>
      </c>
      <c r="H38" s="393"/>
      <c r="I38" s="393"/>
      <c r="J38" s="311"/>
    </row>
    <row r="39" spans="2:10">
      <c r="B39" s="401"/>
      <c r="C39" s="392"/>
      <c r="D39" s="402"/>
      <c r="E39" s="392"/>
      <c r="F39" s="206" t="s">
        <v>253</v>
      </c>
      <c r="G39" s="210">
        <v>899.43700000000001</v>
      </c>
      <c r="H39" s="393"/>
      <c r="I39" s="393"/>
      <c r="J39" s="311"/>
    </row>
    <row r="40" spans="2:10">
      <c r="B40" s="401"/>
      <c r="C40" s="392"/>
      <c r="D40" s="402"/>
      <c r="E40" s="392"/>
      <c r="F40" s="206" t="s">
        <v>254</v>
      </c>
      <c r="G40" s="210">
        <v>1831.2429999999999</v>
      </c>
      <c r="H40" s="393"/>
      <c r="I40" s="393"/>
      <c r="J40" s="311"/>
    </row>
    <row r="41" spans="2:10">
      <c r="B41" s="401"/>
      <c r="C41" s="392"/>
      <c r="D41" s="402"/>
      <c r="E41" s="392"/>
      <c r="F41" s="206" t="s">
        <v>255</v>
      </c>
      <c r="G41" s="210">
        <v>719.66</v>
      </c>
      <c r="H41" s="393"/>
      <c r="I41" s="393"/>
      <c r="J41" s="311"/>
    </row>
    <row r="42" spans="2:10" ht="32.25" customHeight="1">
      <c r="B42" s="220" t="s">
        <v>19</v>
      </c>
      <c r="C42" s="218">
        <v>1930</v>
      </c>
      <c r="D42" s="221">
        <v>43609</v>
      </c>
      <c r="E42" s="218">
        <v>1000</v>
      </c>
      <c r="F42" s="205" t="s">
        <v>256</v>
      </c>
      <c r="G42" s="203">
        <v>1000</v>
      </c>
      <c r="H42" s="219">
        <f>G42</f>
        <v>1000</v>
      </c>
      <c r="I42" s="219">
        <f>E42-H42</f>
        <v>0</v>
      </c>
      <c r="J42" s="217">
        <f>H42/E42</f>
        <v>1</v>
      </c>
    </row>
    <row r="43" spans="2:10">
      <c r="B43" s="370" t="s">
        <v>264</v>
      </c>
      <c r="C43" s="367">
        <v>2037</v>
      </c>
      <c r="D43" s="373">
        <v>43613</v>
      </c>
      <c r="E43" s="367">
        <v>6000</v>
      </c>
      <c r="F43" s="205" t="s">
        <v>259</v>
      </c>
      <c r="G43" s="203">
        <v>1708.904</v>
      </c>
      <c r="H43" s="391">
        <f>G43+G44+G45+G46</f>
        <v>5708.84</v>
      </c>
      <c r="I43" s="391">
        <f>E43-H43</f>
        <v>291.15999999999985</v>
      </c>
      <c r="J43" s="398">
        <f>H43/E43</f>
        <v>0.95147333333333339</v>
      </c>
    </row>
    <row r="44" spans="2:10">
      <c r="B44" s="371"/>
      <c r="C44" s="368"/>
      <c r="D44" s="374"/>
      <c r="E44" s="368"/>
      <c r="F44" s="205" t="s">
        <v>260</v>
      </c>
      <c r="G44" s="203">
        <v>973.66700000000003</v>
      </c>
      <c r="H44" s="385"/>
      <c r="I44" s="385"/>
      <c r="J44" s="399"/>
    </row>
    <row r="45" spans="2:10">
      <c r="B45" s="371"/>
      <c r="C45" s="368"/>
      <c r="D45" s="374"/>
      <c r="E45" s="368"/>
      <c r="F45" s="205" t="s">
        <v>261</v>
      </c>
      <c r="G45" s="203">
        <v>1992.385</v>
      </c>
      <c r="H45" s="385"/>
      <c r="I45" s="385"/>
      <c r="J45" s="399"/>
    </row>
    <row r="46" spans="2:10" ht="15.75" thickBot="1">
      <c r="B46" s="394"/>
      <c r="C46" s="395"/>
      <c r="D46" s="396"/>
      <c r="E46" s="395"/>
      <c r="F46" s="207" t="s">
        <v>262</v>
      </c>
      <c r="G46" s="211">
        <v>1033.884</v>
      </c>
      <c r="H46" s="397"/>
      <c r="I46" s="397"/>
      <c r="J46" s="400"/>
    </row>
  </sheetData>
  <mergeCells count="61">
    <mergeCell ref="H37:H41"/>
    <mergeCell ref="I37:I41"/>
    <mergeCell ref="J37:J41"/>
    <mergeCell ref="B43:B46"/>
    <mergeCell ref="C43:C46"/>
    <mergeCell ref="D43:D46"/>
    <mergeCell ref="E43:E46"/>
    <mergeCell ref="H43:H46"/>
    <mergeCell ref="I43:I46"/>
    <mergeCell ref="J43:J46"/>
    <mergeCell ref="B32:B41"/>
    <mergeCell ref="C37:C41"/>
    <mergeCell ref="D37:D41"/>
    <mergeCell ref="E37:E41"/>
    <mergeCell ref="C32:C36"/>
    <mergeCell ref="D32:D36"/>
    <mergeCell ref="H14:H18"/>
    <mergeCell ref="I14:I18"/>
    <mergeCell ref="J14:J18"/>
    <mergeCell ref="I29:I31"/>
    <mergeCell ref="J29:J31"/>
    <mergeCell ref="H19:H23"/>
    <mergeCell ref="I19:I23"/>
    <mergeCell ref="J19:J23"/>
    <mergeCell ref="E32:E36"/>
    <mergeCell ref="H32:H36"/>
    <mergeCell ref="I32:I36"/>
    <mergeCell ref="J32:J36"/>
    <mergeCell ref="C19:C23"/>
    <mergeCell ref="D19:D23"/>
    <mergeCell ref="E19:E23"/>
    <mergeCell ref="H29:H31"/>
    <mergeCell ref="H24:H28"/>
    <mergeCell ref="I24:I28"/>
    <mergeCell ref="J24:J28"/>
    <mergeCell ref="B2:J2"/>
    <mergeCell ref="B3:J3"/>
    <mergeCell ref="C8:C10"/>
    <mergeCell ref="D8:D10"/>
    <mergeCell ref="E8:E10"/>
    <mergeCell ref="H8:H10"/>
    <mergeCell ref="I8:I10"/>
    <mergeCell ref="J8:J10"/>
    <mergeCell ref="B8:B13"/>
    <mergeCell ref="E11:E13"/>
    <mergeCell ref="D11:D13"/>
    <mergeCell ref="C11:C13"/>
    <mergeCell ref="H11:H13"/>
    <mergeCell ref="I11:I13"/>
    <mergeCell ref="J11:J13"/>
    <mergeCell ref="C14:C18"/>
    <mergeCell ref="B29:B31"/>
    <mergeCell ref="C29:C31"/>
    <mergeCell ref="D29:D31"/>
    <mergeCell ref="E29:E31"/>
    <mergeCell ref="D14:D18"/>
    <mergeCell ref="E14:E18"/>
    <mergeCell ref="B14:B28"/>
    <mergeCell ref="C24:C28"/>
    <mergeCell ref="D24:D28"/>
    <mergeCell ref="E24:E2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B1:K29"/>
  <sheetViews>
    <sheetView showGridLines="0" workbookViewId="0">
      <selection activeCell="L24" sqref="L24"/>
    </sheetView>
  </sheetViews>
  <sheetFormatPr baseColWidth="10" defaultRowHeight="15"/>
  <cols>
    <col min="1" max="1" width="26.140625" style="26" customWidth="1"/>
    <col min="2" max="2" width="8.7109375" style="26" customWidth="1"/>
    <col min="3" max="3" width="14" style="26" customWidth="1"/>
    <col min="4" max="4" width="11.140625" style="26" customWidth="1"/>
    <col min="5" max="5" width="14.140625" style="26" customWidth="1"/>
    <col min="6" max="6" width="22.5703125" style="26" customWidth="1"/>
    <col min="7" max="7" width="12" style="26" customWidth="1"/>
    <col min="8" max="9" width="14" style="33" customWidth="1"/>
    <col min="10" max="10" width="12.140625" style="26" customWidth="1"/>
    <col min="11" max="16384" width="11.42578125" style="26"/>
  </cols>
  <sheetData>
    <row r="1" spans="2:11" ht="21" customHeight="1" thickBot="1"/>
    <row r="2" spans="2:11" ht="24" customHeight="1">
      <c r="B2" s="410" t="s">
        <v>235</v>
      </c>
      <c r="C2" s="411"/>
      <c r="D2" s="411"/>
      <c r="E2" s="411"/>
      <c r="F2" s="411"/>
      <c r="G2" s="411"/>
      <c r="H2" s="411"/>
      <c r="I2" s="411"/>
      <c r="J2" s="411"/>
      <c r="K2" s="412"/>
    </row>
    <row r="3" spans="2:11" ht="12" customHeight="1">
      <c r="B3" s="421" t="s">
        <v>200</v>
      </c>
      <c r="C3" s="422"/>
      <c r="D3" s="422"/>
      <c r="E3" s="422"/>
      <c r="F3" s="422"/>
      <c r="G3" s="422"/>
      <c r="H3" s="422"/>
      <c r="I3" s="422"/>
      <c r="J3" s="422"/>
      <c r="K3" s="423"/>
    </row>
    <row r="4" spans="2:11" ht="13.5" customHeight="1" thickBot="1">
      <c r="B4" s="413">
        <f>Resumen!B3</f>
        <v>43689</v>
      </c>
      <c r="C4" s="414"/>
      <c r="D4" s="414"/>
      <c r="E4" s="414"/>
      <c r="F4" s="414"/>
      <c r="G4" s="414"/>
      <c r="H4" s="414"/>
      <c r="I4" s="414"/>
      <c r="J4" s="414"/>
      <c r="K4" s="415"/>
    </row>
    <row r="5" spans="2:11" ht="25.5" customHeight="1" thickBot="1">
      <c r="B5" s="68"/>
      <c r="C5" s="68"/>
      <c r="D5" s="68"/>
      <c r="E5" s="68"/>
      <c r="F5" s="69"/>
      <c r="G5" s="68"/>
      <c r="H5" s="68"/>
      <c r="I5" s="68"/>
      <c r="J5" s="68"/>
    </row>
    <row r="6" spans="2:11" ht="22.5" customHeight="1" thickBot="1">
      <c r="B6" s="78" t="s">
        <v>195</v>
      </c>
      <c r="C6" s="79" t="s">
        <v>181</v>
      </c>
      <c r="D6" s="79" t="s">
        <v>184</v>
      </c>
      <c r="E6" s="79" t="s">
        <v>182</v>
      </c>
      <c r="F6" s="79" t="s">
        <v>201</v>
      </c>
      <c r="G6" s="79" t="s">
        <v>105</v>
      </c>
      <c r="H6" s="79" t="s">
        <v>183</v>
      </c>
      <c r="I6" s="79" t="s">
        <v>225</v>
      </c>
      <c r="J6" s="79" t="s">
        <v>109</v>
      </c>
      <c r="K6" s="80" t="s">
        <v>196</v>
      </c>
    </row>
    <row r="7" spans="2:11">
      <c r="B7" s="84" t="s">
        <v>222</v>
      </c>
      <c r="C7" s="95">
        <v>542</v>
      </c>
      <c r="D7" s="95" t="s">
        <v>144</v>
      </c>
      <c r="E7" s="95">
        <v>952452</v>
      </c>
      <c r="F7" s="95" t="s">
        <v>223</v>
      </c>
      <c r="G7" s="416">
        <f>176.2-176.2</f>
        <v>0</v>
      </c>
      <c r="H7" s="100"/>
      <c r="I7" s="384">
        <f>H7+H8</f>
        <v>0</v>
      </c>
      <c r="J7" s="418">
        <f>G7-I7</f>
        <v>0</v>
      </c>
      <c r="K7" s="424">
        <v>0</v>
      </c>
    </row>
    <row r="8" spans="2:11" ht="15.75" thickBot="1">
      <c r="B8" s="90" t="s">
        <v>222</v>
      </c>
      <c r="C8" s="156">
        <v>542</v>
      </c>
      <c r="D8" s="156" t="s">
        <v>144</v>
      </c>
      <c r="E8" s="156">
        <v>30822</v>
      </c>
      <c r="F8" s="156" t="s">
        <v>224</v>
      </c>
      <c r="G8" s="417"/>
      <c r="H8" s="158"/>
      <c r="I8" s="385"/>
      <c r="J8" s="391"/>
      <c r="K8" s="398"/>
    </row>
    <row r="9" spans="2:11">
      <c r="B9" s="84" t="s">
        <v>222</v>
      </c>
      <c r="C9" s="151">
        <v>824</v>
      </c>
      <c r="D9" s="151" t="s">
        <v>144</v>
      </c>
      <c r="E9" s="151">
        <v>5592</v>
      </c>
      <c r="F9" s="151" t="s">
        <v>226</v>
      </c>
      <c r="G9" s="416">
        <f>65+176</f>
        <v>241</v>
      </c>
      <c r="H9" s="149"/>
      <c r="I9" s="384">
        <f>H9+H10+H11</f>
        <v>0</v>
      </c>
      <c r="J9" s="418">
        <f>G9-I9</f>
        <v>241</v>
      </c>
      <c r="K9" s="424">
        <f>I9/G9</f>
        <v>0</v>
      </c>
    </row>
    <row r="10" spans="2:11">
      <c r="B10" s="86" t="s">
        <v>222</v>
      </c>
      <c r="C10" s="152">
        <v>824</v>
      </c>
      <c r="D10" s="152" t="s">
        <v>144</v>
      </c>
      <c r="E10" s="152">
        <v>952296</v>
      </c>
      <c r="F10" s="152" t="s">
        <v>227</v>
      </c>
      <c r="G10" s="404"/>
      <c r="H10" s="154"/>
      <c r="I10" s="385"/>
      <c r="J10" s="393"/>
      <c r="K10" s="406"/>
    </row>
    <row r="11" spans="2:11" ht="15.75" thickBot="1">
      <c r="B11" s="85" t="s">
        <v>222</v>
      </c>
      <c r="C11" s="153">
        <v>824</v>
      </c>
      <c r="D11" s="153" t="s">
        <v>144</v>
      </c>
      <c r="E11" s="153">
        <v>967435</v>
      </c>
      <c r="F11" s="153" t="s">
        <v>228</v>
      </c>
      <c r="G11" s="419"/>
      <c r="H11" s="150"/>
      <c r="I11" s="397"/>
      <c r="J11" s="420"/>
      <c r="K11" s="425"/>
    </row>
    <row r="12" spans="2:11">
      <c r="B12" s="88"/>
      <c r="C12" s="155"/>
      <c r="D12" s="155"/>
      <c r="E12" s="89"/>
      <c r="F12" s="89"/>
      <c r="G12" s="403"/>
      <c r="H12" s="157"/>
      <c r="I12" s="157"/>
      <c r="J12" s="386"/>
      <c r="K12" s="405"/>
    </row>
    <row r="13" spans="2:11">
      <c r="B13" s="86"/>
      <c r="C13" s="96"/>
      <c r="D13" s="96"/>
      <c r="E13" s="87"/>
      <c r="F13" s="87"/>
      <c r="G13" s="404"/>
      <c r="H13" s="97"/>
      <c r="I13" s="148"/>
      <c r="J13" s="393"/>
      <c r="K13" s="406"/>
    </row>
    <row r="14" spans="2:11">
      <c r="B14" s="86"/>
      <c r="C14" s="96"/>
      <c r="D14" s="96"/>
      <c r="E14" s="87"/>
      <c r="F14" s="87"/>
      <c r="G14" s="404"/>
      <c r="H14" s="97"/>
      <c r="I14" s="148"/>
      <c r="J14" s="393"/>
      <c r="K14" s="406"/>
    </row>
    <row r="15" spans="2:11">
      <c r="B15" s="86"/>
      <c r="C15" s="96"/>
      <c r="D15" s="96"/>
      <c r="E15" s="87"/>
      <c r="F15" s="87"/>
      <c r="G15" s="404"/>
      <c r="H15" s="97"/>
      <c r="I15" s="148"/>
      <c r="J15" s="393"/>
      <c r="K15" s="406"/>
    </row>
    <row r="16" spans="2:11">
      <c r="B16" s="86"/>
      <c r="C16" s="96"/>
      <c r="D16" s="96"/>
      <c r="E16" s="87"/>
      <c r="F16" s="87"/>
      <c r="G16" s="404"/>
      <c r="H16" s="97"/>
      <c r="I16" s="148"/>
      <c r="J16" s="393"/>
      <c r="K16" s="406"/>
    </row>
    <row r="17" spans="2:11">
      <c r="B17" s="86"/>
      <c r="C17" s="96"/>
      <c r="D17" s="96"/>
      <c r="E17" s="87"/>
      <c r="F17" s="87"/>
      <c r="G17" s="404"/>
      <c r="H17" s="97"/>
      <c r="I17" s="148"/>
      <c r="J17" s="393"/>
      <c r="K17" s="406"/>
    </row>
    <row r="18" spans="2:11">
      <c r="B18" s="86"/>
      <c r="C18" s="96"/>
      <c r="D18" s="96"/>
      <c r="E18" s="87"/>
      <c r="F18" s="87"/>
      <c r="G18" s="404"/>
      <c r="H18" s="97"/>
      <c r="I18" s="148"/>
      <c r="J18" s="393"/>
      <c r="K18" s="406"/>
    </row>
    <row r="19" spans="2:11">
      <c r="B19" s="86"/>
      <c r="C19" s="96"/>
      <c r="D19" s="96"/>
      <c r="E19" s="87"/>
      <c r="F19" s="87"/>
      <c r="G19" s="404"/>
      <c r="H19" s="97"/>
      <c r="I19" s="148"/>
      <c r="J19" s="393"/>
      <c r="K19" s="406"/>
    </row>
    <row r="20" spans="2:11">
      <c r="B20" s="86"/>
      <c r="C20" s="96"/>
      <c r="D20" s="96"/>
      <c r="E20" s="87"/>
      <c r="F20" s="87"/>
      <c r="G20" s="404"/>
      <c r="H20" s="97"/>
      <c r="I20" s="148"/>
      <c r="J20" s="393"/>
      <c r="K20" s="406"/>
    </row>
    <row r="21" spans="2:11">
      <c r="B21" s="86"/>
      <c r="C21" s="96"/>
      <c r="D21" s="96"/>
      <c r="E21" s="87"/>
      <c r="F21" s="87"/>
      <c r="G21" s="404"/>
      <c r="H21" s="97"/>
      <c r="I21" s="148"/>
      <c r="J21" s="393"/>
      <c r="K21" s="406"/>
    </row>
    <row r="22" spans="2:11">
      <c r="B22" s="86"/>
      <c r="C22" s="96"/>
      <c r="D22" s="96"/>
      <c r="E22" s="87"/>
      <c r="F22" s="87"/>
      <c r="G22" s="404"/>
      <c r="H22" s="97"/>
      <c r="I22" s="148"/>
      <c r="J22" s="393"/>
      <c r="K22" s="406"/>
    </row>
    <row r="23" spans="2:11">
      <c r="B23" s="86"/>
      <c r="C23" s="96"/>
      <c r="D23" s="96"/>
      <c r="E23" s="87"/>
      <c r="F23" s="87"/>
      <c r="G23" s="404"/>
      <c r="H23" s="97"/>
      <c r="I23" s="148"/>
      <c r="J23" s="393"/>
      <c r="K23" s="406"/>
    </row>
    <row r="24" spans="2:11">
      <c r="B24" s="86"/>
      <c r="C24" s="96"/>
      <c r="D24" s="96"/>
      <c r="E24" s="87"/>
      <c r="F24" s="87"/>
      <c r="G24" s="404"/>
      <c r="H24" s="97"/>
      <c r="I24" s="148"/>
      <c r="J24" s="393"/>
      <c r="K24" s="406"/>
    </row>
    <row r="25" spans="2:11">
      <c r="B25" s="86"/>
      <c r="C25" s="96"/>
      <c r="D25" s="96"/>
      <c r="E25" s="87"/>
      <c r="F25" s="87"/>
      <c r="G25" s="404"/>
      <c r="H25" s="97"/>
      <c r="I25" s="148"/>
      <c r="J25" s="393"/>
      <c r="K25" s="406"/>
    </row>
    <row r="26" spans="2:11">
      <c r="B26" s="86"/>
      <c r="C26" s="96"/>
      <c r="D26" s="96"/>
      <c r="E26" s="87"/>
      <c r="F26" s="87"/>
      <c r="G26" s="404"/>
      <c r="H26" s="97"/>
      <c r="I26" s="148"/>
      <c r="J26" s="393"/>
      <c r="K26" s="406"/>
    </row>
    <row r="27" spans="2:11">
      <c r="B27" s="86"/>
      <c r="C27" s="96"/>
      <c r="D27" s="96"/>
      <c r="E27" s="87"/>
      <c r="F27" s="87"/>
      <c r="G27" s="404"/>
      <c r="H27" s="97"/>
      <c r="I27" s="148"/>
      <c r="J27" s="393"/>
      <c r="K27" s="406"/>
    </row>
    <row r="28" spans="2:11" ht="15.75" thickBot="1">
      <c r="B28" s="86"/>
      <c r="C28" s="96"/>
      <c r="D28" s="96"/>
      <c r="E28" s="87"/>
      <c r="F28" s="87"/>
      <c r="G28" s="404"/>
      <c r="H28" s="97"/>
      <c r="I28" s="148"/>
      <c r="J28" s="393"/>
      <c r="K28" s="406"/>
    </row>
    <row r="29" spans="2:11" ht="15.75" thickBot="1">
      <c r="B29" s="407" t="s">
        <v>229</v>
      </c>
      <c r="C29" s="408"/>
      <c r="D29" s="408"/>
      <c r="E29" s="408"/>
      <c r="F29" s="409"/>
      <c r="G29" s="93">
        <f>SUM(G7:G28)</f>
        <v>241</v>
      </c>
      <c r="H29" s="8"/>
      <c r="I29" s="8"/>
      <c r="J29" s="8"/>
      <c r="K29" s="94"/>
    </row>
  </sheetData>
  <mergeCells count="15">
    <mergeCell ref="G12:G28"/>
    <mergeCell ref="J12:J28"/>
    <mergeCell ref="K12:K28"/>
    <mergeCell ref="B29:F29"/>
    <mergeCell ref="B2:K2"/>
    <mergeCell ref="B4:K4"/>
    <mergeCell ref="G7:G8"/>
    <mergeCell ref="J7:J8"/>
    <mergeCell ref="G9:G11"/>
    <mergeCell ref="J9:J11"/>
    <mergeCell ref="B3:K3"/>
    <mergeCell ref="K7:K8"/>
    <mergeCell ref="K9:K11"/>
    <mergeCell ref="I7:I8"/>
    <mergeCell ref="I9:I1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5E9F7"/>
  </sheetPr>
  <dimension ref="B1:G13"/>
  <sheetViews>
    <sheetView showGridLines="0" workbookViewId="0">
      <selection activeCell="G24" sqref="G24"/>
    </sheetView>
  </sheetViews>
  <sheetFormatPr baseColWidth="10" defaultRowHeight="15"/>
  <cols>
    <col min="1" max="1" width="35.85546875" style="33" customWidth="1"/>
    <col min="2" max="2" width="15.140625" style="33" customWidth="1"/>
    <col min="3" max="3" width="19.42578125" style="33" customWidth="1"/>
    <col min="4" max="4" width="18.28515625" style="33" customWidth="1"/>
    <col min="5" max="5" width="15.85546875" style="33" customWidth="1"/>
    <col min="6" max="6" width="19.28515625" style="33" customWidth="1"/>
    <col min="7" max="7" width="11.28515625" style="33" bestFit="1" customWidth="1"/>
    <col min="8" max="16384" width="11.42578125" style="33"/>
  </cols>
  <sheetData>
    <row r="1" spans="2:7" ht="15.75" thickBot="1"/>
    <row r="2" spans="2:7" ht="15.75">
      <c r="B2" s="426" t="s">
        <v>217</v>
      </c>
      <c r="C2" s="427"/>
      <c r="D2" s="427"/>
      <c r="E2" s="427"/>
      <c r="F2" s="428"/>
    </row>
    <row r="3" spans="2:7">
      <c r="B3" s="429" t="s">
        <v>200</v>
      </c>
      <c r="C3" s="430"/>
      <c r="D3" s="430"/>
      <c r="E3" s="430"/>
      <c r="F3" s="431"/>
    </row>
    <row r="4" spans="2:7" ht="15.75" thickBot="1">
      <c r="B4" s="432">
        <f>Resumen!B3</f>
        <v>43689</v>
      </c>
      <c r="C4" s="433"/>
      <c r="D4" s="433"/>
      <c r="E4" s="433"/>
      <c r="F4" s="434"/>
    </row>
    <row r="5" spans="2:7" ht="15.75" thickBot="1"/>
    <row r="6" spans="2:7" ht="15.75" thickBot="1">
      <c r="B6" s="435" t="s">
        <v>218</v>
      </c>
      <c r="C6" s="436"/>
      <c r="D6" s="436"/>
      <c r="E6" s="436"/>
      <c r="F6" s="437"/>
      <c r="G6" s="36"/>
    </row>
    <row r="7" spans="2:7">
      <c r="B7" s="70" t="s">
        <v>188</v>
      </c>
      <c r="C7" s="65" t="s">
        <v>189</v>
      </c>
      <c r="D7" s="66" t="s">
        <v>197</v>
      </c>
      <c r="E7" s="66" t="s">
        <v>198</v>
      </c>
      <c r="F7" s="71" t="s">
        <v>190</v>
      </c>
    </row>
    <row r="8" spans="2:7" ht="15.75" thickBot="1">
      <c r="B8" s="2" t="s">
        <v>114</v>
      </c>
      <c r="C8" s="3">
        <v>3815</v>
      </c>
      <c r="D8" s="251">
        <f>E12+E13</f>
        <v>3230.7889999999998</v>
      </c>
      <c r="E8" s="3">
        <f>C8-D8</f>
        <v>584.21100000000024</v>
      </c>
      <c r="F8" s="72">
        <f>D8/C8</f>
        <v>0.84686474442988202</v>
      </c>
    </row>
    <row r="9" spans="2:7">
      <c r="B9" s="36"/>
      <c r="C9" s="36"/>
      <c r="D9" s="36"/>
      <c r="E9" s="36"/>
      <c r="F9" s="36"/>
      <c r="G9" s="64"/>
    </row>
    <row r="10" spans="2:7" ht="15.75" thickBot="1"/>
    <row r="11" spans="2:7" ht="15.75" thickBot="1">
      <c r="B11" s="73" t="s">
        <v>191</v>
      </c>
      <c r="C11" s="74" t="s">
        <v>192</v>
      </c>
      <c r="D11" s="74" t="s">
        <v>202</v>
      </c>
      <c r="E11" s="74" t="s">
        <v>197</v>
      </c>
      <c r="F11" s="74" t="s">
        <v>199</v>
      </c>
      <c r="G11" s="75" t="s">
        <v>190</v>
      </c>
    </row>
    <row r="12" spans="2:7">
      <c r="B12" s="91" t="s">
        <v>193</v>
      </c>
      <c r="C12" s="67" t="s">
        <v>114</v>
      </c>
      <c r="D12" s="67">
        <v>1859</v>
      </c>
      <c r="E12" s="244">
        <v>1696.1479999999999</v>
      </c>
      <c r="F12" s="67">
        <f>D12-E12</f>
        <v>162.85200000000009</v>
      </c>
      <c r="G12" s="144">
        <f>E12/D12</f>
        <v>0.91239806347498653</v>
      </c>
    </row>
    <row r="13" spans="2:7" ht="15.75" thickBot="1">
      <c r="B13" s="92" t="s">
        <v>194</v>
      </c>
      <c r="C13" s="3" t="s">
        <v>114</v>
      </c>
      <c r="D13" s="3">
        <v>1859</v>
      </c>
      <c r="E13" s="246">
        <v>1534.6410000000001</v>
      </c>
      <c r="F13" s="3">
        <f>D13-E13</f>
        <v>324.35899999999992</v>
      </c>
      <c r="G13" s="145">
        <f>E13/D13</f>
        <v>0.82551963421194197</v>
      </c>
    </row>
  </sheetData>
  <mergeCells count="4">
    <mergeCell ref="B2:F2"/>
    <mergeCell ref="B3:F3"/>
    <mergeCell ref="B4:F4"/>
    <mergeCell ref="B6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268"/>
  <sheetViews>
    <sheetView showGridLines="0" zoomScale="80" zoomScaleNormal="80" workbookViewId="0">
      <pane ySplit="1" topLeftCell="A2" activePane="bottomLeft" state="frozen"/>
      <selection pane="bottomLeft" activeCell="E35" sqref="E35"/>
    </sheetView>
  </sheetViews>
  <sheetFormatPr baseColWidth="10" defaultColWidth="11.42578125" defaultRowHeight="15"/>
  <cols>
    <col min="1" max="1" width="11.5703125" style="50" customWidth="1"/>
    <col min="2" max="2" width="8.7109375" style="50" bestFit="1" customWidth="1"/>
    <col min="3" max="3" width="9.140625" style="50" customWidth="1"/>
    <col min="4" max="4" width="17.140625" style="50" bestFit="1" customWidth="1"/>
    <col min="5" max="5" width="54.85546875" style="50" customWidth="1"/>
    <col min="6" max="6" width="14.5703125" style="50" bestFit="1" customWidth="1"/>
    <col min="7" max="7" width="20.140625" style="50" customWidth="1"/>
    <col min="8" max="8" width="12.42578125" style="50" bestFit="1" customWidth="1"/>
    <col min="9" max="9" width="21.42578125" style="50" bestFit="1" customWidth="1"/>
    <col min="10" max="10" width="15.140625" style="50" bestFit="1" customWidth="1"/>
    <col min="11" max="11" width="14.5703125" style="50" bestFit="1" customWidth="1"/>
    <col min="12" max="12" width="12.42578125" style="50" bestFit="1" customWidth="1"/>
    <col min="13" max="13" width="17.7109375" style="174" bestFit="1" customWidth="1"/>
    <col min="14" max="14" width="11" style="58" bestFit="1" customWidth="1"/>
    <col min="15" max="15" width="14.85546875" style="50" customWidth="1"/>
    <col min="16" max="16384" width="11.42578125" style="50"/>
  </cols>
  <sheetData>
    <row r="1" spans="1:15">
      <c r="A1" s="55" t="s">
        <v>98</v>
      </c>
      <c r="B1" s="55" t="s">
        <v>99</v>
      </c>
      <c r="C1" s="55" t="s">
        <v>100</v>
      </c>
      <c r="D1" s="55" t="s">
        <v>101</v>
      </c>
      <c r="E1" s="55" t="s">
        <v>102</v>
      </c>
      <c r="F1" s="55" t="s">
        <v>103</v>
      </c>
      <c r="G1" s="55" t="s">
        <v>104</v>
      </c>
      <c r="H1" s="55" t="s">
        <v>105</v>
      </c>
      <c r="I1" s="55" t="s">
        <v>106</v>
      </c>
      <c r="J1" s="55" t="s">
        <v>107</v>
      </c>
      <c r="K1" s="55" t="s">
        <v>108</v>
      </c>
      <c r="L1" s="55" t="s">
        <v>109</v>
      </c>
      <c r="M1" s="172" t="s">
        <v>110</v>
      </c>
      <c r="N1" s="57" t="s">
        <v>111</v>
      </c>
      <c r="O1" s="56" t="s">
        <v>112</v>
      </c>
    </row>
    <row r="2" spans="1:15" s="181" customFormat="1">
      <c r="A2" s="54" t="s">
        <v>113</v>
      </c>
      <c r="B2" s="53" t="s">
        <v>114</v>
      </c>
      <c r="C2" s="53" t="s">
        <v>63</v>
      </c>
      <c r="D2" s="53" t="s">
        <v>115</v>
      </c>
      <c r="E2" s="53" t="s">
        <v>157</v>
      </c>
      <c r="F2" s="53" t="s">
        <v>116</v>
      </c>
      <c r="G2" s="53" t="s">
        <v>117</v>
      </c>
      <c r="H2" s="142">
        <f>'Cuota Industrial'!$E$6</f>
        <v>182.93199999999999</v>
      </c>
      <c r="I2" s="142">
        <f>'Cuota Industrial'!F6</f>
        <v>0</v>
      </c>
      <c r="J2" s="142">
        <f>'Cuota Industrial'!G6</f>
        <v>182.93199999999999</v>
      </c>
      <c r="K2" s="142">
        <f>'Cuota Industrial'!H6</f>
        <v>0</v>
      </c>
      <c r="L2" s="142">
        <f>'Cuota Industrial'!I6</f>
        <v>182.93199999999999</v>
      </c>
      <c r="M2" s="173">
        <f>'Cuota Industrial'!J6</f>
        <v>0</v>
      </c>
      <c r="N2" s="179" t="s">
        <v>154</v>
      </c>
      <c r="O2" s="180">
        <f>Resumen!$B$3</f>
        <v>43689</v>
      </c>
    </row>
    <row r="3" spans="1:15" s="181" customFormat="1">
      <c r="A3" s="54" t="s">
        <v>113</v>
      </c>
      <c r="B3" s="53" t="s">
        <v>114</v>
      </c>
      <c r="C3" s="53" t="s">
        <v>63</v>
      </c>
      <c r="D3" s="53" t="s">
        <v>115</v>
      </c>
      <c r="E3" s="53" t="s">
        <v>157</v>
      </c>
      <c r="F3" s="53" t="s">
        <v>118</v>
      </c>
      <c r="G3" s="53" t="s">
        <v>119</v>
      </c>
      <c r="H3" s="142">
        <f>'Cuota Industrial'!$E$7</f>
        <v>3.734</v>
      </c>
      <c r="I3" s="142">
        <f>'Cuota Industrial'!F7</f>
        <v>0</v>
      </c>
      <c r="J3" s="142">
        <f>'Cuota Industrial'!G7</f>
        <v>186.666</v>
      </c>
      <c r="K3" s="142">
        <f>'Cuota Industrial'!H7</f>
        <v>0</v>
      </c>
      <c r="L3" s="142">
        <f>'Cuota Industrial'!I7</f>
        <v>186.666</v>
      </c>
      <c r="M3" s="173">
        <f>'Cuota Industrial'!J7</f>
        <v>0</v>
      </c>
      <c r="N3" s="179" t="s">
        <v>154</v>
      </c>
      <c r="O3" s="180">
        <f>Resumen!$B$3</f>
        <v>43689</v>
      </c>
    </row>
    <row r="4" spans="1:15" s="181" customFormat="1">
      <c r="A4" s="54" t="s">
        <v>113</v>
      </c>
      <c r="B4" s="53" t="s">
        <v>114</v>
      </c>
      <c r="C4" s="53" t="s">
        <v>63</v>
      </c>
      <c r="D4" s="53" t="s">
        <v>115</v>
      </c>
      <c r="E4" s="53" t="s">
        <v>157</v>
      </c>
      <c r="F4" s="53" t="s">
        <v>116</v>
      </c>
      <c r="G4" s="53" t="s">
        <v>119</v>
      </c>
      <c r="H4" s="142">
        <f>'Cuota Industrial'!K6</f>
        <v>186.666</v>
      </c>
      <c r="I4" s="142">
        <f>'Cuota Industrial'!L6</f>
        <v>0</v>
      </c>
      <c r="J4" s="142">
        <f>'Cuota Industrial'!M6</f>
        <v>186.666</v>
      </c>
      <c r="K4" s="142">
        <f>'Cuota Industrial'!N6</f>
        <v>0</v>
      </c>
      <c r="L4" s="142">
        <f>'Cuota Industrial'!O6</f>
        <v>186.666</v>
      </c>
      <c r="M4" s="173">
        <f>'Cuota Industrial'!P6</f>
        <v>0</v>
      </c>
      <c r="N4" s="179" t="s">
        <v>154</v>
      </c>
      <c r="O4" s="180">
        <f>Resumen!$B$3</f>
        <v>43689</v>
      </c>
    </row>
    <row r="5" spans="1:15" s="181" customFormat="1">
      <c r="A5" s="54" t="s">
        <v>113</v>
      </c>
      <c r="B5" s="53" t="s">
        <v>114</v>
      </c>
      <c r="C5" s="53" t="s">
        <v>63</v>
      </c>
      <c r="D5" s="53" t="s">
        <v>115</v>
      </c>
      <c r="E5" s="53" t="s">
        <v>158</v>
      </c>
      <c r="F5" s="53" t="s">
        <v>116</v>
      </c>
      <c r="G5" s="53" t="s">
        <v>117</v>
      </c>
      <c r="H5" s="142">
        <f>'Cuota Industrial'!E8</f>
        <v>7750.268</v>
      </c>
      <c r="I5" s="142">
        <f>'Cuota Industrial'!F8</f>
        <v>-6000.23</v>
      </c>
      <c r="J5" s="142">
        <f>'Cuota Industrial'!G8</f>
        <v>1750.0380000000005</v>
      </c>
      <c r="K5" s="142">
        <f>'Cuota Industrial'!H8</f>
        <v>45.515999999999998</v>
      </c>
      <c r="L5" s="142">
        <f>'Cuota Industrial'!I8</f>
        <v>1704.5220000000004</v>
      </c>
      <c r="M5" s="173">
        <f>'Cuota Industrial'!J8</f>
        <v>2.6008578099446976E-2</v>
      </c>
      <c r="N5" s="179" t="s">
        <v>154</v>
      </c>
      <c r="O5" s="180">
        <f>Resumen!$B$3</f>
        <v>43689</v>
      </c>
    </row>
    <row r="6" spans="1:15" s="181" customFormat="1">
      <c r="A6" s="54" t="s">
        <v>113</v>
      </c>
      <c r="B6" s="53" t="s">
        <v>114</v>
      </c>
      <c r="C6" s="53" t="s">
        <v>63</v>
      </c>
      <c r="D6" s="53" t="s">
        <v>115</v>
      </c>
      <c r="E6" s="53" t="s">
        <v>158</v>
      </c>
      <c r="F6" s="53" t="s">
        <v>118</v>
      </c>
      <c r="G6" s="53" t="s">
        <v>119</v>
      </c>
      <c r="H6" s="142">
        <f>'Cuota Industrial'!E9</f>
        <v>158.21100000000001</v>
      </c>
      <c r="I6" s="142">
        <f>'Cuota Industrial'!F9</f>
        <v>0</v>
      </c>
      <c r="J6" s="142">
        <f>'Cuota Industrial'!G9</f>
        <v>1862.7330000000004</v>
      </c>
      <c r="K6" s="142">
        <f>'Cuota Industrial'!H9</f>
        <v>0</v>
      </c>
      <c r="L6" s="142">
        <f>'Cuota Industrial'!I9</f>
        <v>1862.7330000000004</v>
      </c>
      <c r="M6" s="173">
        <f>'Cuota Industrial'!J9</f>
        <v>0</v>
      </c>
      <c r="N6" s="179" t="s">
        <v>154</v>
      </c>
      <c r="O6" s="180">
        <f>Resumen!$B$3</f>
        <v>43689</v>
      </c>
    </row>
    <row r="7" spans="1:15" s="181" customFormat="1">
      <c r="A7" s="54" t="s">
        <v>113</v>
      </c>
      <c r="B7" s="53" t="s">
        <v>114</v>
      </c>
      <c r="C7" s="53" t="s">
        <v>63</v>
      </c>
      <c r="D7" s="53" t="s">
        <v>115</v>
      </c>
      <c r="E7" s="53" t="s">
        <v>158</v>
      </c>
      <c r="F7" s="53" t="s">
        <v>116</v>
      </c>
      <c r="G7" s="53" t="s">
        <v>119</v>
      </c>
      <c r="H7" s="142">
        <f>'Cuota Industrial'!K8</f>
        <v>7908.4790000000003</v>
      </c>
      <c r="I7" s="142">
        <f>'Cuota Industrial'!L8</f>
        <v>-6000.23</v>
      </c>
      <c r="J7" s="142">
        <f>'Cuota Industrial'!M8</f>
        <v>1908.2490000000007</v>
      </c>
      <c r="K7" s="142">
        <f>'Cuota Industrial'!N8</f>
        <v>45.515999999999998</v>
      </c>
      <c r="L7" s="142">
        <f>'Cuota Industrial'!O8</f>
        <v>1862.7330000000006</v>
      </c>
      <c r="M7" s="173">
        <f>'Cuota Industrial'!P8</f>
        <v>2.3852233120520424E-2</v>
      </c>
      <c r="N7" s="179" t="s">
        <v>154</v>
      </c>
      <c r="O7" s="180">
        <f>Resumen!$B$3</f>
        <v>43689</v>
      </c>
    </row>
    <row r="8" spans="1:15" s="181" customFormat="1">
      <c r="A8" s="54" t="s">
        <v>113</v>
      </c>
      <c r="B8" s="53" t="s">
        <v>114</v>
      </c>
      <c r="C8" s="53" t="s">
        <v>63</v>
      </c>
      <c r="D8" s="53" t="s">
        <v>115</v>
      </c>
      <c r="E8" s="53" t="s">
        <v>159</v>
      </c>
      <c r="F8" s="53" t="s">
        <v>116</v>
      </c>
      <c r="G8" s="53" t="s">
        <v>117</v>
      </c>
      <c r="H8" s="142">
        <f>'Cuota Industrial'!E10</f>
        <v>19820.879000000001</v>
      </c>
      <c r="I8" s="142">
        <f>'Cuota Industrial'!F10</f>
        <v>-7570.0480000000016</v>
      </c>
      <c r="J8" s="142">
        <f>'Cuota Industrial'!G10</f>
        <v>12250.830999999998</v>
      </c>
      <c r="K8" s="142">
        <f>'Cuota Industrial'!H10</f>
        <v>1769.5319999999999</v>
      </c>
      <c r="L8" s="142">
        <f>'Cuota Industrial'!I10</f>
        <v>10481.298999999999</v>
      </c>
      <c r="M8" s="173">
        <f>'Cuota Industrial'!J10</f>
        <v>0.14444179337711868</v>
      </c>
      <c r="N8" s="179" t="s">
        <v>154</v>
      </c>
      <c r="O8" s="180">
        <f>Resumen!$B$3</f>
        <v>43689</v>
      </c>
    </row>
    <row r="9" spans="1:15" s="181" customFormat="1">
      <c r="A9" s="54" t="s">
        <v>113</v>
      </c>
      <c r="B9" s="53" t="s">
        <v>114</v>
      </c>
      <c r="C9" s="53" t="s">
        <v>63</v>
      </c>
      <c r="D9" s="53" t="s">
        <v>115</v>
      </c>
      <c r="E9" s="53" t="s">
        <v>159</v>
      </c>
      <c r="F9" s="53" t="s">
        <v>118</v>
      </c>
      <c r="G9" s="53" t="s">
        <v>119</v>
      </c>
      <c r="H9" s="142">
        <f>'Cuota Industrial'!E11</f>
        <v>404.61599999999999</v>
      </c>
      <c r="I9" s="142">
        <f>'Cuota Industrial'!F11</f>
        <v>0</v>
      </c>
      <c r="J9" s="142">
        <f>'Cuota Industrial'!G11</f>
        <v>10885.914999999999</v>
      </c>
      <c r="K9" s="142">
        <f>'Cuota Industrial'!H11</f>
        <v>0</v>
      </c>
      <c r="L9" s="142">
        <f>'Cuota Industrial'!I11</f>
        <v>10885.914999999999</v>
      </c>
      <c r="M9" s="173">
        <f>'Cuota Industrial'!J11</f>
        <v>0</v>
      </c>
      <c r="N9" s="179" t="s">
        <v>154</v>
      </c>
      <c r="O9" s="180">
        <f>Resumen!$B$3</f>
        <v>43689</v>
      </c>
    </row>
    <row r="10" spans="1:15" s="181" customFormat="1">
      <c r="A10" s="54" t="s">
        <v>113</v>
      </c>
      <c r="B10" s="53" t="s">
        <v>114</v>
      </c>
      <c r="C10" s="53" t="s">
        <v>63</v>
      </c>
      <c r="D10" s="53" t="s">
        <v>115</v>
      </c>
      <c r="E10" s="53" t="s">
        <v>159</v>
      </c>
      <c r="F10" s="53" t="s">
        <v>116</v>
      </c>
      <c r="G10" s="53" t="s">
        <v>119</v>
      </c>
      <c r="H10" s="142">
        <f>'Cuota Industrial'!K10</f>
        <v>20225.495000000003</v>
      </c>
      <c r="I10" s="142">
        <f>'Cuota Industrial'!L10</f>
        <v>-7570.0480000000016</v>
      </c>
      <c r="J10" s="142">
        <f>'Cuota Industrial'!M10</f>
        <v>12655.447</v>
      </c>
      <c r="K10" s="142">
        <f>'Cuota Industrial'!N10</f>
        <v>1769.5319999999999</v>
      </c>
      <c r="L10" s="142">
        <f>'Cuota Industrial'!O10</f>
        <v>10885.915000000001</v>
      </c>
      <c r="M10" s="173">
        <f>'Cuota Industrial'!P10</f>
        <v>0.13982374545916867</v>
      </c>
      <c r="N10" s="179" t="s">
        <v>154</v>
      </c>
      <c r="O10" s="180">
        <f>Resumen!$B$3</f>
        <v>43689</v>
      </c>
    </row>
    <row r="11" spans="1:15" s="181" customFormat="1">
      <c r="A11" s="54" t="s">
        <v>113</v>
      </c>
      <c r="B11" s="53" t="s">
        <v>114</v>
      </c>
      <c r="C11" s="53" t="s">
        <v>63</v>
      </c>
      <c r="D11" s="53" t="s">
        <v>115</v>
      </c>
      <c r="E11" s="53" t="s">
        <v>167</v>
      </c>
      <c r="F11" s="53" t="s">
        <v>116</v>
      </c>
      <c r="G11" s="53" t="s">
        <v>117</v>
      </c>
      <c r="H11" s="142">
        <f>'Cuota Industrial'!E12</f>
        <v>3016.5949999999998</v>
      </c>
      <c r="I11" s="142">
        <f>'Cuota Industrial'!F12</f>
        <v>-3078.1750000000002</v>
      </c>
      <c r="J11" s="142">
        <f>'Cuota Industrial'!G12</f>
        <v>-61.580000000000382</v>
      </c>
      <c r="K11" s="142">
        <f>'Cuota Industrial'!H12</f>
        <v>0</v>
      </c>
      <c r="L11" s="142">
        <f>'Cuota Industrial'!I12</f>
        <v>-61.580000000000382</v>
      </c>
      <c r="M11" s="173">
        <f>'Cuota Industrial'!J12</f>
        <v>0</v>
      </c>
      <c r="N11" s="179" t="s">
        <v>154</v>
      </c>
      <c r="O11" s="180">
        <f>Resumen!$B$3</f>
        <v>43689</v>
      </c>
    </row>
    <row r="12" spans="1:15" s="181" customFormat="1">
      <c r="A12" s="54" t="s">
        <v>113</v>
      </c>
      <c r="B12" s="53" t="s">
        <v>114</v>
      </c>
      <c r="C12" s="53" t="s">
        <v>63</v>
      </c>
      <c r="D12" s="53" t="s">
        <v>115</v>
      </c>
      <c r="E12" s="53" t="s">
        <v>167</v>
      </c>
      <c r="F12" s="53" t="s">
        <v>118</v>
      </c>
      <c r="G12" s="53" t="s">
        <v>119</v>
      </c>
      <c r="H12" s="142">
        <f>'Cuota Industrial'!E13</f>
        <v>61.58</v>
      </c>
      <c r="I12" s="142">
        <f>'Cuota Industrial'!F13</f>
        <v>0</v>
      </c>
      <c r="J12" s="142">
        <f>'Cuota Industrial'!G13</f>
        <v>0</v>
      </c>
      <c r="K12" s="142">
        <f>'Cuota Industrial'!H13</f>
        <v>0</v>
      </c>
      <c r="L12" s="142">
        <f>'Cuota Industrial'!I13</f>
        <v>0</v>
      </c>
      <c r="M12" s="173">
        <f>'Cuota Industrial'!J13</f>
        <v>0</v>
      </c>
      <c r="N12" s="179" t="s">
        <v>154</v>
      </c>
      <c r="O12" s="180">
        <f>Resumen!$B$3</f>
        <v>43689</v>
      </c>
    </row>
    <row r="13" spans="1:15" s="181" customFormat="1">
      <c r="A13" s="54" t="s">
        <v>113</v>
      </c>
      <c r="B13" s="53" t="s">
        <v>114</v>
      </c>
      <c r="C13" s="53" t="s">
        <v>63</v>
      </c>
      <c r="D13" s="53" t="s">
        <v>115</v>
      </c>
      <c r="E13" s="53" t="s">
        <v>167</v>
      </c>
      <c r="F13" s="53" t="s">
        <v>116</v>
      </c>
      <c r="G13" s="53" t="s">
        <v>119</v>
      </c>
      <c r="H13" s="142">
        <f>'Cuota Industrial'!K12</f>
        <v>3078.1749999999997</v>
      </c>
      <c r="I13" s="142">
        <f>'Cuota Industrial'!L12</f>
        <v>-3078.1750000000002</v>
      </c>
      <c r="J13" s="142">
        <f>'Cuota Industrial'!M12</f>
        <v>0</v>
      </c>
      <c r="K13" s="142">
        <f>'Cuota Industrial'!N12</f>
        <v>0</v>
      </c>
      <c r="L13" s="142">
        <f>'Cuota Industrial'!O12</f>
        <v>0</v>
      </c>
      <c r="M13" s="173">
        <f>'Cuota Industrial'!P12</f>
        <v>0</v>
      </c>
      <c r="N13" s="179" t="s">
        <v>154</v>
      </c>
      <c r="O13" s="180">
        <f>Resumen!$B$3</f>
        <v>43689</v>
      </c>
    </row>
    <row r="14" spans="1:15" s="181" customFormat="1">
      <c r="A14" s="182" t="s">
        <v>113</v>
      </c>
      <c r="B14" s="53" t="s">
        <v>114</v>
      </c>
      <c r="C14" s="53" t="s">
        <v>63</v>
      </c>
      <c r="D14" s="53" t="s">
        <v>115</v>
      </c>
      <c r="E14" s="53" t="s">
        <v>160</v>
      </c>
      <c r="F14" s="53" t="s">
        <v>116</v>
      </c>
      <c r="G14" s="53" t="s">
        <v>117</v>
      </c>
      <c r="H14" s="142">
        <f>'Cuota Industrial'!E14</f>
        <v>15726.732</v>
      </c>
      <c r="I14" s="142">
        <f>'Cuota Industrial'!F14</f>
        <v>-16046.776999999998</v>
      </c>
      <c r="J14" s="142">
        <f>'Cuota Industrial'!G14</f>
        <v>-320.04499999999825</v>
      </c>
      <c r="K14" s="142">
        <f>'Cuota Industrial'!H14</f>
        <v>0</v>
      </c>
      <c r="L14" s="142">
        <f>'Cuota Industrial'!I14</f>
        <v>-320.04499999999825</v>
      </c>
      <c r="M14" s="173">
        <f>'Cuota Industrial'!J14</f>
        <v>0</v>
      </c>
      <c r="N14" s="179" t="s">
        <v>154</v>
      </c>
      <c r="O14" s="180">
        <f>Resumen!$B$3</f>
        <v>43689</v>
      </c>
    </row>
    <row r="15" spans="1:15" s="181" customFormat="1">
      <c r="A15" s="182" t="s">
        <v>113</v>
      </c>
      <c r="B15" s="53" t="s">
        <v>114</v>
      </c>
      <c r="C15" s="53" t="s">
        <v>63</v>
      </c>
      <c r="D15" s="53" t="s">
        <v>115</v>
      </c>
      <c r="E15" s="53" t="s">
        <v>160</v>
      </c>
      <c r="F15" s="53" t="s">
        <v>118</v>
      </c>
      <c r="G15" s="53" t="s">
        <v>119</v>
      </c>
      <c r="H15" s="142">
        <f>'Cuota Industrial'!E15</f>
        <v>321.041</v>
      </c>
      <c r="I15" s="142">
        <f>'Cuota Industrial'!F15</f>
        <v>0</v>
      </c>
      <c r="J15" s="142">
        <f>'Cuota Industrial'!G15</f>
        <v>0.99600000000174305</v>
      </c>
      <c r="K15" s="142">
        <f>'Cuota Industrial'!H15</f>
        <v>0</v>
      </c>
      <c r="L15" s="142">
        <f>'Cuota Industrial'!I15</f>
        <v>0.99600000000174305</v>
      </c>
      <c r="M15" s="173">
        <f>'Cuota Industrial'!J15</f>
        <v>0</v>
      </c>
      <c r="N15" s="179" t="s">
        <v>154</v>
      </c>
      <c r="O15" s="180">
        <f>Resumen!$B$3</f>
        <v>43689</v>
      </c>
    </row>
    <row r="16" spans="1:15" s="181" customFormat="1">
      <c r="A16" s="182" t="s">
        <v>113</v>
      </c>
      <c r="B16" s="53" t="s">
        <v>114</v>
      </c>
      <c r="C16" s="53" t="s">
        <v>63</v>
      </c>
      <c r="D16" s="53" t="s">
        <v>115</v>
      </c>
      <c r="E16" s="53" t="s">
        <v>160</v>
      </c>
      <c r="F16" s="53" t="s">
        <v>116</v>
      </c>
      <c r="G16" s="53" t="s">
        <v>119</v>
      </c>
      <c r="H16" s="142">
        <f>'Cuota Industrial'!K14</f>
        <v>16047.772999999999</v>
      </c>
      <c r="I16" s="142">
        <f>'Cuota Industrial'!L14</f>
        <v>-16046.776999999998</v>
      </c>
      <c r="J16" s="142">
        <f>'Cuota Industrial'!M14</f>
        <v>0.99600000000100408</v>
      </c>
      <c r="K16" s="142">
        <f>'Cuota Industrial'!N14</f>
        <v>0</v>
      </c>
      <c r="L16" s="142">
        <f>'Cuota Industrial'!O14</f>
        <v>0.99600000000100408</v>
      </c>
      <c r="M16" s="173">
        <f>'Cuota Industrial'!P14</f>
        <v>0</v>
      </c>
      <c r="N16" s="179" t="s">
        <v>154</v>
      </c>
      <c r="O16" s="180">
        <f>Resumen!$B$3</f>
        <v>43689</v>
      </c>
    </row>
    <row r="17" spans="1:15" s="181" customFormat="1">
      <c r="A17" s="54" t="s">
        <v>113</v>
      </c>
      <c r="B17" s="53" t="s">
        <v>114</v>
      </c>
      <c r="C17" s="53" t="s">
        <v>63</v>
      </c>
      <c r="D17" s="53" t="s">
        <v>115</v>
      </c>
      <c r="E17" s="53" t="s">
        <v>161</v>
      </c>
      <c r="F17" s="53" t="s">
        <v>116</v>
      </c>
      <c r="G17" s="53" t="s">
        <v>117</v>
      </c>
      <c r="H17" s="142">
        <f>'Cuota Industrial'!E16</f>
        <v>508.66699999999997</v>
      </c>
      <c r="I17" s="142">
        <f>'Cuota Industrial'!F16</f>
        <v>-519.05100000000004</v>
      </c>
      <c r="J17" s="142">
        <f>'Cuota Industrial'!G16</f>
        <v>-10.384000000000071</v>
      </c>
      <c r="K17" s="142">
        <f>'Cuota Industrial'!H16</f>
        <v>0</v>
      </c>
      <c r="L17" s="142">
        <f>'Cuota Industrial'!I16</f>
        <v>-10.384000000000071</v>
      </c>
      <c r="M17" s="173">
        <f>'Cuota Industrial'!J16</f>
        <v>0</v>
      </c>
      <c r="N17" s="179" t="s">
        <v>154</v>
      </c>
      <c r="O17" s="180">
        <f>Resumen!$B$3</f>
        <v>43689</v>
      </c>
    </row>
    <row r="18" spans="1:15" s="181" customFormat="1">
      <c r="A18" s="54" t="s">
        <v>113</v>
      </c>
      <c r="B18" s="53" t="s">
        <v>114</v>
      </c>
      <c r="C18" s="53" t="s">
        <v>63</v>
      </c>
      <c r="D18" s="53" t="s">
        <v>115</v>
      </c>
      <c r="E18" s="53" t="s">
        <v>161</v>
      </c>
      <c r="F18" s="53" t="s">
        <v>118</v>
      </c>
      <c r="G18" s="53" t="s">
        <v>119</v>
      </c>
      <c r="H18" s="142">
        <f>'Cuota Industrial'!E17</f>
        <v>10.384</v>
      </c>
      <c r="I18" s="142">
        <f>'Cuota Industrial'!F17</f>
        <v>0</v>
      </c>
      <c r="J18" s="142">
        <f>'Cuota Industrial'!G17</f>
        <v>0</v>
      </c>
      <c r="K18" s="142">
        <f>'Cuota Industrial'!H17</f>
        <v>0</v>
      </c>
      <c r="L18" s="142">
        <f>'Cuota Industrial'!I17</f>
        <v>0</v>
      </c>
      <c r="M18" s="173">
        <f>'Cuota Industrial'!J17</f>
        <v>0</v>
      </c>
      <c r="N18" s="179" t="s">
        <v>154</v>
      </c>
      <c r="O18" s="180">
        <f>Resumen!$B$3</f>
        <v>43689</v>
      </c>
    </row>
    <row r="19" spans="1:15" s="181" customFormat="1">
      <c r="A19" s="54" t="s">
        <v>113</v>
      </c>
      <c r="B19" s="53" t="s">
        <v>114</v>
      </c>
      <c r="C19" s="53" t="s">
        <v>63</v>
      </c>
      <c r="D19" s="53" t="s">
        <v>115</v>
      </c>
      <c r="E19" s="53" t="s">
        <v>161</v>
      </c>
      <c r="F19" s="53" t="s">
        <v>116</v>
      </c>
      <c r="G19" s="53" t="s">
        <v>119</v>
      </c>
      <c r="H19" s="142">
        <f>'Cuota Industrial'!K16</f>
        <v>519.05099999999993</v>
      </c>
      <c r="I19" s="142">
        <f>'Cuota Industrial'!L16</f>
        <v>-519.05100000000004</v>
      </c>
      <c r="J19" s="142">
        <f>'Cuota Industrial'!M16</f>
        <v>0</v>
      </c>
      <c r="K19" s="142">
        <f>'Cuota Industrial'!N16</f>
        <v>0</v>
      </c>
      <c r="L19" s="142">
        <f>'Cuota Industrial'!O16</f>
        <v>0</v>
      </c>
      <c r="M19" s="173">
        <f>'Cuota Industrial'!P16</f>
        <v>0</v>
      </c>
      <c r="N19" s="179" t="s">
        <v>154</v>
      </c>
      <c r="O19" s="180">
        <f>Resumen!$B$3</f>
        <v>43689</v>
      </c>
    </row>
    <row r="20" spans="1:15" s="181" customFormat="1">
      <c r="A20" s="54" t="s">
        <v>113</v>
      </c>
      <c r="B20" s="53" t="s">
        <v>114</v>
      </c>
      <c r="C20" s="53" t="s">
        <v>63</v>
      </c>
      <c r="D20" s="53" t="s">
        <v>115</v>
      </c>
      <c r="E20" s="53" t="s">
        <v>168</v>
      </c>
      <c r="F20" s="53" t="s">
        <v>116</v>
      </c>
      <c r="G20" s="53" t="s">
        <v>117</v>
      </c>
      <c r="H20" s="142">
        <f>'Cuota Industrial'!E18</f>
        <v>2425.9499999999998</v>
      </c>
      <c r="I20" s="142">
        <f>'Cuota Industrial'!F18</f>
        <v>-2475.4740000000002</v>
      </c>
      <c r="J20" s="142">
        <f>'Cuota Industrial'!G18</f>
        <v>-49.524000000000342</v>
      </c>
      <c r="K20" s="142">
        <f>'Cuota Industrial'!H18</f>
        <v>0</v>
      </c>
      <c r="L20" s="142">
        <f>'Cuota Industrial'!I18</f>
        <v>-49.524000000000342</v>
      </c>
      <c r="M20" s="173">
        <f>'Cuota Industrial'!J18</f>
        <v>0</v>
      </c>
      <c r="N20" s="179" t="s">
        <v>154</v>
      </c>
      <c r="O20" s="180">
        <f>Resumen!$B$3</f>
        <v>43689</v>
      </c>
    </row>
    <row r="21" spans="1:15" s="181" customFormat="1">
      <c r="A21" s="54" t="s">
        <v>113</v>
      </c>
      <c r="B21" s="53" t="s">
        <v>114</v>
      </c>
      <c r="C21" s="53" t="s">
        <v>63</v>
      </c>
      <c r="D21" s="53" t="s">
        <v>115</v>
      </c>
      <c r="E21" s="53" t="s">
        <v>168</v>
      </c>
      <c r="F21" s="53" t="s">
        <v>118</v>
      </c>
      <c r="G21" s="53" t="s">
        <v>119</v>
      </c>
      <c r="H21" s="142">
        <f>'Cuota Industrial'!E19</f>
        <v>49.524000000000001</v>
      </c>
      <c r="I21" s="142">
        <f>'Cuota Industrial'!F19</f>
        <v>0</v>
      </c>
      <c r="J21" s="142">
        <f>'Cuota Industrial'!G19</f>
        <v>0</v>
      </c>
      <c r="K21" s="142">
        <f>'Cuota Industrial'!H19</f>
        <v>0</v>
      </c>
      <c r="L21" s="142">
        <f>'Cuota Industrial'!I19</f>
        <v>0</v>
      </c>
      <c r="M21" s="173">
        <f>'Cuota Industrial'!J19</f>
        <v>0</v>
      </c>
      <c r="N21" s="179" t="s">
        <v>154</v>
      </c>
      <c r="O21" s="180">
        <f>Resumen!$B$3</f>
        <v>43689</v>
      </c>
    </row>
    <row r="22" spans="1:15" s="181" customFormat="1">
      <c r="A22" s="54" t="s">
        <v>113</v>
      </c>
      <c r="B22" s="53" t="s">
        <v>114</v>
      </c>
      <c r="C22" s="53" t="s">
        <v>63</v>
      </c>
      <c r="D22" s="53" t="s">
        <v>115</v>
      </c>
      <c r="E22" s="53" t="s">
        <v>168</v>
      </c>
      <c r="F22" s="53" t="s">
        <v>116</v>
      </c>
      <c r="G22" s="53" t="s">
        <v>119</v>
      </c>
      <c r="H22" s="142">
        <f>'Cuota Industrial'!K18</f>
        <v>2475.4739999999997</v>
      </c>
      <c r="I22" s="142">
        <f>'Cuota Industrial'!L18</f>
        <v>-2475.4740000000002</v>
      </c>
      <c r="J22" s="142">
        <f>'Cuota Industrial'!M18</f>
        <v>0</v>
      </c>
      <c r="K22" s="142">
        <f>'Cuota Industrial'!N18</f>
        <v>0</v>
      </c>
      <c r="L22" s="142">
        <f>'Cuota Industrial'!O18</f>
        <v>0</v>
      </c>
      <c r="M22" s="173">
        <f>'Cuota Industrial'!P18</f>
        <v>0</v>
      </c>
      <c r="N22" s="179" t="s">
        <v>154</v>
      </c>
      <c r="O22" s="180">
        <f>Resumen!$B$3</f>
        <v>43689</v>
      </c>
    </row>
    <row r="23" spans="1:15" s="181" customFormat="1">
      <c r="A23" s="54" t="s">
        <v>113</v>
      </c>
      <c r="B23" s="53" t="s">
        <v>114</v>
      </c>
      <c r="C23" s="53" t="s">
        <v>63</v>
      </c>
      <c r="D23" s="53" t="s">
        <v>115</v>
      </c>
      <c r="E23" s="53" t="s">
        <v>165</v>
      </c>
      <c r="F23" s="53" t="s">
        <v>116</v>
      </c>
      <c r="G23" s="53" t="s">
        <v>117</v>
      </c>
      <c r="H23" s="142">
        <f>'Cuota Industrial'!E20</f>
        <v>1486.8720000000001</v>
      </c>
      <c r="I23" s="142">
        <f>'Cuota Industrial'!F20</f>
        <v>-1517.2260000000001</v>
      </c>
      <c r="J23" s="142">
        <f>'Cuota Industrial'!G20</f>
        <v>-30.354000000000042</v>
      </c>
      <c r="K23" s="142">
        <f>'Cuota Industrial'!H20</f>
        <v>0</v>
      </c>
      <c r="L23" s="142">
        <f>'Cuota Industrial'!I20</f>
        <v>-30.354000000000042</v>
      </c>
      <c r="M23" s="173">
        <f>'Cuota Industrial'!J20</f>
        <v>0</v>
      </c>
      <c r="N23" s="179" t="s">
        <v>154</v>
      </c>
      <c r="O23" s="180">
        <f>Resumen!$B$3</f>
        <v>43689</v>
      </c>
    </row>
    <row r="24" spans="1:15" s="181" customFormat="1">
      <c r="A24" s="54" t="s">
        <v>113</v>
      </c>
      <c r="B24" s="53" t="s">
        <v>114</v>
      </c>
      <c r="C24" s="53" t="s">
        <v>63</v>
      </c>
      <c r="D24" s="53" t="s">
        <v>115</v>
      </c>
      <c r="E24" s="53" t="s">
        <v>165</v>
      </c>
      <c r="F24" s="53" t="s">
        <v>118</v>
      </c>
      <c r="G24" s="53" t="s">
        <v>119</v>
      </c>
      <c r="H24" s="142">
        <f>'Cuota Industrial'!E21</f>
        <v>30.353999999999999</v>
      </c>
      <c r="I24" s="142">
        <f>'Cuota Industrial'!F21</f>
        <v>0</v>
      </c>
      <c r="J24" s="142">
        <f>'Cuota Industrial'!G21</f>
        <v>0</v>
      </c>
      <c r="K24" s="142">
        <f>'Cuota Industrial'!H21</f>
        <v>0</v>
      </c>
      <c r="L24" s="142">
        <f>'Cuota Industrial'!I21</f>
        <v>0</v>
      </c>
      <c r="M24" s="173">
        <f>'Cuota Industrial'!J21</f>
        <v>0</v>
      </c>
      <c r="N24" s="179" t="s">
        <v>154</v>
      </c>
      <c r="O24" s="180">
        <f>Resumen!$B$3</f>
        <v>43689</v>
      </c>
    </row>
    <row r="25" spans="1:15" s="181" customFormat="1">
      <c r="A25" s="54" t="s">
        <v>113</v>
      </c>
      <c r="B25" s="53" t="s">
        <v>114</v>
      </c>
      <c r="C25" s="53" t="s">
        <v>63</v>
      </c>
      <c r="D25" s="53" t="s">
        <v>115</v>
      </c>
      <c r="E25" s="53" t="s">
        <v>165</v>
      </c>
      <c r="F25" s="53" t="s">
        <v>116</v>
      </c>
      <c r="G25" s="53" t="s">
        <v>119</v>
      </c>
      <c r="H25" s="142">
        <f>'Cuota Industrial'!K20</f>
        <v>1517.2260000000001</v>
      </c>
      <c r="I25" s="142">
        <f>'Cuota Industrial'!L20</f>
        <v>-1517.2260000000001</v>
      </c>
      <c r="J25" s="142">
        <f>'Cuota Industrial'!M20</f>
        <v>0</v>
      </c>
      <c r="K25" s="142">
        <f>'Cuota Industrial'!N20</f>
        <v>0</v>
      </c>
      <c r="L25" s="142">
        <f>'Cuota Industrial'!O20</f>
        <v>0</v>
      </c>
      <c r="M25" s="173">
        <f>'Cuota Industrial'!P20</f>
        <v>0</v>
      </c>
      <c r="N25" s="179" t="s">
        <v>154</v>
      </c>
      <c r="O25" s="180">
        <f>Resumen!$B$3</f>
        <v>43689</v>
      </c>
    </row>
    <row r="26" spans="1:15" s="181" customFormat="1">
      <c r="A26" s="54" t="s">
        <v>113</v>
      </c>
      <c r="B26" s="53" t="s">
        <v>114</v>
      </c>
      <c r="C26" s="53" t="s">
        <v>63</v>
      </c>
      <c r="D26" s="53" t="s">
        <v>115</v>
      </c>
      <c r="E26" s="53" t="s">
        <v>230</v>
      </c>
      <c r="F26" s="53" t="s">
        <v>116</v>
      </c>
      <c r="G26" s="53" t="s">
        <v>117</v>
      </c>
      <c r="H26" s="142">
        <f>'Cuota Industrial'!E22</f>
        <v>0</v>
      </c>
      <c r="I26" s="142">
        <f>'Cuota Industrial'!F22</f>
        <v>239.56199999999984</v>
      </c>
      <c r="J26" s="142">
        <f>'Cuota Industrial'!G22</f>
        <v>239.56199999999984</v>
      </c>
      <c r="K26" s="142">
        <f>'Cuota Industrial'!H22</f>
        <v>0</v>
      </c>
      <c r="L26" s="142">
        <f>'Cuota Industrial'!I22</f>
        <v>239.56199999999984</v>
      </c>
      <c r="M26" s="173">
        <f>'Cuota Industrial'!J22</f>
        <v>0</v>
      </c>
      <c r="N26" s="179" t="s">
        <v>154</v>
      </c>
      <c r="O26" s="180">
        <f>Resumen!$B$3</f>
        <v>43689</v>
      </c>
    </row>
    <row r="27" spans="1:15" s="181" customFormat="1">
      <c r="A27" s="54" t="s">
        <v>113</v>
      </c>
      <c r="B27" s="53" t="s">
        <v>114</v>
      </c>
      <c r="C27" s="53" t="s">
        <v>63</v>
      </c>
      <c r="D27" s="53" t="s">
        <v>115</v>
      </c>
      <c r="E27" s="53" t="s">
        <v>230</v>
      </c>
      <c r="F27" s="53" t="s">
        <v>118</v>
      </c>
      <c r="G27" s="53" t="s">
        <v>119</v>
      </c>
      <c r="H27" s="142">
        <f>'Cuota Industrial'!E23</f>
        <v>0</v>
      </c>
      <c r="I27" s="142">
        <f>'Cuota Industrial'!F23</f>
        <v>0</v>
      </c>
      <c r="J27" s="142">
        <f>'Cuota Industrial'!G23</f>
        <v>239.56199999999984</v>
      </c>
      <c r="K27" s="142">
        <f>'Cuota Industrial'!H23</f>
        <v>0</v>
      </c>
      <c r="L27" s="142">
        <f>'Cuota Industrial'!I23</f>
        <v>239.56199999999984</v>
      </c>
      <c r="M27" s="173">
        <f>'Cuota Industrial'!J23</f>
        <v>0</v>
      </c>
      <c r="N27" s="179" t="s">
        <v>154</v>
      </c>
      <c r="O27" s="180">
        <f>Resumen!$B$3</f>
        <v>43689</v>
      </c>
    </row>
    <row r="28" spans="1:15" s="181" customFormat="1" ht="14.25" customHeight="1">
      <c r="A28" s="54" t="s">
        <v>113</v>
      </c>
      <c r="B28" s="53" t="s">
        <v>114</v>
      </c>
      <c r="C28" s="53" t="s">
        <v>63</v>
      </c>
      <c r="D28" s="53" t="s">
        <v>115</v>
      </c>
      <c r="E28" s="53" t="s">
        <v>230</v>
      </c>
      <c r="F28" s="53" t="s">
        <v>116</v>
      </c>
      <c r="G28" s="53" t="s">
        <v>119</v>
      </c>
      <c r="H28" s="142">
        <f>'Cuota Industrial'!K22</f>
        <v>0</v>
      </c>
      <c r="I28" s="142">
        <f>'Cuota Industrial'!L22</f>
        <v>239.56199999999984</v>
      </c>
      <c r="J28" s="142">
        <f>'Cuota Industrial'!M22</f>
        <v>239.56199999999984</v>
      </c>
      <c r="K28" s="142">
        <f>'Cuota Industrial'!N22</f>
        <v>0</v>
      </c>
      <c r="L28" s="142">
        <f>'Cuota Industrial'!O22</f>
        <v>239.56199999999984</v>
      </c>
      <c r="M28" s="173">
        <f>'Cuota Industrial'!P22</f>
        <v>0</v>
      </c>
      <c r="N28" s="179" t="s">
        <v>154</v>
      </c>
      <c r="O28" s="180">
        <f>Resumen!$B$3</f>
        <v>43689</v>
      </c>
    </row>
    <row r="29" spans="1:15" s="181" customFormat="1">
      <c r="A29" s="54" t="s">
        <v>113</v>
      </c>
      <c r="B29" s="53" t="s">
        <v>114</v>
      </c>
      <c r="C29" s="53" t="s">
        <v>63</v>
      </c>
      <c r="D29" s="53" t="s">
        <v>115</v>
      </c>
      <c r="E29" s="53" t="s">
        <v>164</v>
      </c>
      <c r="F29" s="53" t="s">
        <v>116</v>
      </c>
      <c r="G29" s="53" t="s">
        <v>117</v>
      </c>
      <c r="H29" s="142">
        <f>'Cuota Industrial'!E24</f>
        <v>1252.106</v>
      </c>
      <c r="I29" s="142">
        <f>'Cuota Industrial'!F24</f>
        <v>-1277.664</v>
      </c>
      <c r="J29" s="142">
        <f>'Cuota Industrial'!G24</f>
        <v>-25.557999999999993</v>
      </c>
      <c r="K29" s="142">
        <f>'Cuota Industrial'!H24</f>
        <v>0</v>
      </c>
      <c r="L29" s="142">
        <f>'Cuota Industrial'!I24</f>
        <v>-25.557999999999993</v>
      </c>
      <c r="M29" s="173">
        <f>'Cuota Industrial'!J24</f>
        <v>0</v>
      </c>
      <c r="N29" s="179" t="s">
        <v>154</v>
      </c>
      <c r="O29" s="180">
        <f>Resumen!$B$3</f>
        <v>43689</v>
      </c>
    </row>
    <row r="30" spans="1:15" s="181" customFormat="1">
      <c r="A30" s="54" t="s">
        <v>113</v>
      </c>
      <c r="B30" s="53" t="s">
        <v>114</v>
      </c>
      <c r="C30" s="53" t="s">
        <v>63</v>
      </c>
      <c r="D30" s="53" t="s">
        <v>115</v>
      </c>
      <c r="E30" s="53" t="s">
        <v>164</v>
      </c>
      <c r="F30" s="53" t="s">
        <v>118</v>
      </c>
      <c r="G30" s="53" t="s">
        <v>119</v>
      </c>
      <c r="H30" s="142">
        <f>'Cuota Industrial'!E25</f>
        <v>25.562000000000001</v>
      </c>
      <c r="I30" s="142">
        <f>'Cuota Industrial'!F25</f>
        <v>0</v>
      </c>
      <c r="J30" s="142">
        <f>'Cuota Industrial'!G25</f>
        <v>4.0000000000084412E-3</v>
      </c>
      <c r="K30" s="142">
        <f>'Cuota Industrial'!H25</f>
        <v>0</v>
      </c>
      <c r="L30" s="142">
        <f>'Cuota Industrial'!I25</f>
        <v>4.0000000000084412E-3</v>
      </c>
      <c r="M30" s="173">
        <f>'Cuota Industrial'!J25</f>
        <v>0</v>
      </c>
      <c r="N30" s="179" t="s">
        <v>154</v>
      </c>
      <c r="O30" s="180">
        <f>Resumen!$B$3</f>
        <v>43689</v>
      </c>
    </row>
    <row r="31" spans="1:15" s="181" customFormat="1">
      <c r="A31" s="54" t="s">
        <v>113</v>
      </c>
      <c r="B31" s="53" t="s">
        <v>114</v>
      </c>
      <c r="C31" s="53" t="s">
        <v>63</v>
      </c>
      <c r="D31" s="53" t="s">
        <v>115</v>
      </c>
      <c r="E31" s="53" t="s">
        <v>164</v>
      </c>
      <c r="F31" s="53" t="s">
        <v>116</v>
      </c>
      <c r="G31" s="53" t="s">
        <v>119</v>
      </c>
      <c r="H31" s="142">
        <f>'Cuota Industrial'!K24</f>
        <v>1277.6679999999999</v>
      </c>
      <c r="I31" s="142">
        <f>'Cuota Industrial'!L24</f>
        <v>-1277.664</v>
      </c>
      <c r="J31" s="142">
        <f>'Cuota Industrial'!M24</f>
        <v>3.9999999999054126E-3</v>
      </c>
      <c r="K31" s="142">
        <f>'Cuota Industrial'!N24</f>
        <v>0</v>
      </c>
      <c r="L31" s="142">
        <f>'Cuota Industrial'!O24</f>
        <v>3.9999999999054126E-3</v>
      </c>
      <c r="M31" s="173">
        <f>'Cuota Industrial'!P24</f>
        <v>0</v>
      </c>
      <c r="N31" s="179" t="s">
        <v>154</v>
      </c>
      <c r="O31" s="180">
        <f>Resumen!$B$3</f>
        <v>43689</v>
      </c>
    </row>
    <row r="32" spans="1:15" s="181" customFormat="1">
      <c r="A32" s="54" t="s">
        <v>125</v>
      </c>
      <c r="B32" s="53" t="s">
        <v>114</v>
      </c>
      <c r="C32" s="53" t="s">
        <v>126</v>
      </c>
      <c r="D32" s="53" t="s">
        <v>115</v>
      </c>
      <c r="E32" s="53" t="s">
        <v>162</v>
      </c>
      <c r="F32" s="53" t="s">
        <v>116</v>
      </c>
      <c r="G32" s="53" t="s">
        <v>117</v>
      </c>
      <c r="H32" s="142">
        <f>'Cuota Industrial'!E26</f>
        <v>894.91300000000001</v>
      </c>
      <c r="I32" s="142">
        <f>'Cuota Industrial'!F26</f>
        <v>-940</v>
      </c>
      <c r="J32" s="142">
        <f>'Cuota Industrial'!G26</f>
        <v>-45.086999999999989</v>
      </c>
      <c r="K32" s="142">
        <f>'Cuota Industrial'!H26</f>
        <v>0</v>
      </c>
      <c r="L32" s="142">
        <f>'Cuota Industrial'!I26</f>
        <v>-45.086999999999989</v>
      </c>
      <c r="M32" s="173">
        <f>'Cuota Industrial'!J26</f>
        <v>0</v>
      </c>
      <c r="N32" s="179" t="s">
        <v>154</v>
      </c>
      <c r="O32" s="180">
        <f>Resumen!$B$3</f>
        <v>43689</v>
      </c>
    </row>
    <row r="33" spans="1:15" s="181" customFormat="1">
      <c r="A33" s="54" t="s">
        <v>125</v>
      </c>
      <c r="B33" s="53" t="s">
        <v>114</v>
      </c>
      <c r="C33" s="53" t="s">
        <v>126</v>
      </c>
      <c r="D33" s="53" t="s">
        <v>115</v>
      </c>
      <c r="E33" s="53" t="s">
        <v>162</v>
      </c>
      <c r="F33" s="53" t="s">
        <v>118</v>
      </c>
      <c r="G33" s="53" t="s">
        <v>119</v>
      </c>
      <c r="H33" s="142">
        <f>'Cuota Industrial'!E27</f>
        <v>47.122999999999998</v>
      </c>
      <c r="I33" s="142">
        <f>'Cuota Industrial'!F27</f>
        <v>0</v>
      </c>
      <c r="J33" s="142">
        <f>'Cuota Industrial'!G27</f>
        <v>2.0360000000000085</v>
      </c>
      <c r="K33" s="142">
        <f>'Cuota Industrial'!H27</f>
        <v>0</v>
      </c>
      <c r="L33" s="142">
        <f>'Cuota Industrial'!I27</f>
        <v>2.0360000000000085</v>
      </c>
      <c r="M33" s="173">
        <f>'Cuota Industrial'!J27</f>
        <v>0</v>
      </c>
      <c r="N33" s="179" t="s">
        <v>154</v>
      </c>
      <c r="O33" s="180">
        <f>Resumen!$B$3</f>
        <v>43689</v>
      </c>
    </row>
    <row r="34" spans="1:15" s="181" customFormat="1">
      <c r="A34" s="54" t="s">
        <v>125</v>
      </c>
      <c r="B34" s="53" t="s">
        <v>114</v>
      </c>
      <c r="C34" s="53" t="s">
        <v>126</v>
      </c>
      <c r="D34" s="53" t="s">
        <v>115</v>
      </c>
      <c r="E34" s="53" t="s">
        <v>162</v>
      </c>
      <c r="F34" s="53" t="s">
        <v>116</v>
      </c>
      <c r="G34" s="53" t="s">
        <v>119</v>
      </c>
      <c r="H34" s="142">
        <f>'Cuota Industrial'!K26</f>
        <v>942.03600000000006</v>
      </c>
      <c r="I34" s="142">
        <f>'Cuota Industrial'!L26</f>
        <v>-940</v>
      </c>
      <c r="J34" s="142">
        <f>'Cuota Industrial'!M26</f>
        <v>2.0360000000000582</v>
      </c>
      <c r="K34" s="142">
        <f>'Cuota Industrial'!N26</f>
        <v>0</v>
      </c>
      <c r="L34" s="142">
        <f>'Cuota Industrial'!O26</f>
        <v>2.0360000000000582</v>
      </c>
      <c r="M34" s="173">
        <f>'Cuota Industrial'!P2</f>
        <v>0</v>
      </c>
      <c r="N34" s="179" t="s">
        <v>154</v>
      </c>
      <c r="O34" s="180">
        <f>Resumen!$B$3</f>
        <v>43689</v>
      </c>
    </row>
    <row r="35" spans="1:15" s="181" customFormat="1">
      <c r="A35" s="54" t="s">
        <v>125</v>
      </c>
      <c r="B35" s="53" t="s">
        <v>114</v>
      </c>
      <c r="C35" s="53" t="s">
        <v>126</v>
      </c>
      <c r="D35" s="53" t="s">
        <v>115</v>
      </c>
      <c r="E35" s="53" t="s">
        <v>157</v>
      </c>
      <c r="F35" s="53" t="s">
        <v>116</v>
      </c>
      <c r="G35" s="53" t="s">
        <v>117</v>
      </c>
      <c r="H35" s="142">
        <f>'Cuota Industrial'!E28</f>
        <v>2.76</v>
      </c>
      <c r="I35" s="142">
        <f>'Cuota Industrial'!F28</f>
        <v>0</v>
      </c>
      <c r="J35" s="142">
        <f>'Cuota Industrial'!G28</f>
        <v>2.76</v>
      </c>
      <c r="K35" s="142">
        <f>'Cuota Industrial'!H28</f>
        <v>0</v>
      </c>
      <c r="L35" s="142">
        <f>'Cuota Industrial'!I28</f>
        <v>2.76</v>
      </c>
      <c r="M35" s="173">
        <f>'Cuota Industrial'!J28</f>
        <v>0</v>
      </c>
      <c r="N35" s="179" t="s">
        <v>154</v>
      </c>
      <c r="O35" s="180">
        <f>Resumen!$B$3</f>
        <v>43689</v>
      </c>
    </row>
    <row r="36" spans="1:15" s="181" customFormat="1">
      <c r="A36" s="54" t="s">
        <v>125</v>
      </c>
      <c r="B36" s="53" t="s">
        <v>114</v>
      </c>
      <c r="C36" s="53" t="s">
        <v>126</v>
      </c>
      <c r="D36" s="53" t="s">
        <v>115</v>
      </c>
      <c r="E36" s="53" t="s">
        <v>157</v>
      </c>
      <c r="F36" s="53" t="s">
        <v>118</v>
      </c>
      <c r="G36" s="53" t="s">
        <v>119</v>
      </c>
      <c r="H36" s="142">
        <f>'Cuota Industrial'!E29</f>
        <v>0.14499999999999999</v>
      </c>
      <c r="I36" s="142">
        <f>'Cuota Industrial'!F29</f>
        <v>0</v>
      </c>
      <c r="J36" s="142">
        <f>'Cuota Industrial'!G29</f>
        <v>2.9049999999999998</v>
      </c>
      <c r="K36" s="142">
        <f>'Cuota Industrial'!H29</f>
        <v>0</v>
      </c>
      <c r="L36" s="142">
        <f>'Cuota Industrial'!I29</f>
        <v>2.9049999999999998</v>
      </c>
      <c r="M36" s="173">
        <f>'Cuota Industrial'!J29</f>
        <v>0</v>
      </c>
      <c r="N36" s="179" t="s">
        <v>154</v>
      </c>
      <c r="O36" s="180">
        <f>Resumen!$B$3</f>
        <v>43689</v>
      </c>
    </row>
    <row r="37" spans="1:15" s="181" customFormat="1">
      <c r="A37" s="54" t="s">
        <v>125</v>
      </c>
      <c r="B37" s="53" t="s">
        <v>114</v>
      </c>
      <c r="C37" s="53" t="s">
        <v>126</v>
      </c>
      <c r="D37" s="53" t="s">
        <v>115</v>
      </c>
      <c r="E37" s="53" t="s">
        <v>157</v>
      </c>
      <c r="F37" s="53" t="s">
        <v>116</v>
      </c>
      <c r="G37" s="53" t="s">
        <v>119</v>
      </c>
      <c r="H37" s="142">
        <f>'Cuota Industrial'!K28</f>
        <v>2.9049999999999998</v>
      </c>
      <c r="I37" s="142">
        <f>'Cuota Industrial'!L28</f>
        <v>0</v>
      </c>
      <c r="J37" s="142">
        <f>'Cuota Industrial'!M28</f>
        <v>2.9049999999999998</v>
      </c>
      <c r="K37" s="142">
        <f>'Cuota Industrial'!N28</f>
        <v>0</v>
      </c>
      <c r="L37" s="142">
        <f>'Cuota Industrial'!O28</f>
        <v>2.9049999999999998</v>
      </c>
      <c r="M37" s="173">
        <f>'Cuota Industrial'!P28</f>
        <v>0</v>
      </c>
      <c r="N37" s="179" t="s">
        <v>154</v>
      </c>
      <c r="O37" s="180">
        <f>Resumen!$B$3</f>
        <v>43689</v>
      </c>
    </row>
    <row r="38" spans="1:15" s="181" customFormat="1">
      <c r="A38" s="54" t="s">
        <v>125</v>
      </c>
      <c r="B38" s="53" t="s">
        <v>114</v>
      </c>
      <c r="C38" s="53" t="s">
        <v>126</v>
      </c>
      <c r="D38" s="53" t="s">
        <v>115</v>
      </c>
      <c r="E38" s="53" t="s">
        <v>163</v>
      </c>
      <c r="F38" s="53" t="s">
        <v>116</v>
      </c>
      <c r="G38" s="53" t="s">
        <v>117</v>
      </c>
      <c r="H38" s="142">
        <f>'Cuota Industrial'!E30</f>
        <v>40.215000000000003</v>
      </c>
      <c r="I38" s="142">
        <f>'Cuota Industrial'!F30</f>
        <v>0</v>
      </c>
      <c r="J38" s="142">
        <f>'Cuota Industrial'!G30</f>
        <v>40.215000000000003</v>
      </c>
      <c r="K38" s="142">
        <f>'Cuota Industrial'!H30</f>
        <v>0</v>
      </c>
      <c r="L38" s="142">
        <f>'Cuota Industrial'!I30</f>
        <v>40.215000000000003</v>
      </c>
      <c r="M38" s="173">
        <f>'Cuota Industrial'!J30</f>
        <v>0</v>
      </c>
      <c r="N38" s="179" t="s">
        <v>154</v>
      </c>
      <c r="O38" s="180">
        <f>Resumen!$B$3</f>
        <v>43689</v>
      </c>
    </row>
    <row r="39" spans="1:15" s="181" customFormat="1">
      <c r="A39" s="54" t="s">
        <v>125</v>
      </c>
      <c r="B39" s="53" t="s">
        <v>114</v>
      </c>
      <c r="C39" s="53" t="s">
        <v>126</v>
      </c>
      <c r="D39" s="53" t="s">
        <v>115</v>
      </c>
      <c r="E39" s="53" t="s">
        <v>163</v>
      </c>
      <c r="F39" s="53" t="s">
        <v>118</v>
      </c>
      <c r="G39" s="53" t="s">
        <v>119</v>
      </c>
      <c r="H39" s="142">
        <f>'Cuota Industrial'!E31</f>
        <v>2.1179999999999999</v>
      </c>
      <c r="I39" s="142">
        <f>'Cuota Industrial'!F31</f>
        <v>0</v>
      </c>
      <c r="J39" s="142">
        <f>'Cuota Industrial'!G31</f>
        <v>42.333000000000006</v>
      </c>
      <c r="K39" s="142">
        <f>'Cuota Industrial'!H31</f>
        <v>0</v>
      </c>
      <c r="L39" s="142">
        <f>'Cuota Industrial'!I31</f>
        <v>42.333000000000006</v>
      </c>
      <c r="M39" s="173">
        <f>'Cuota Industrial'!J31</f>
        <v>0</v>
      </c>
      <c r="N39" s="179" t="s">
        <v>154</v>
      </c>
      <c r="O39" s="180">
        <f>Resumen!$B$3</f>
        <v>43689</v>
      </c>
    </row>
    <row r="40" spans="1:15" s="181" customFormat="1">
      <c r="A40" s="54" t="s">
        <v>125</v>
      </c>
      <c r="B40" s="53" t="s">
        <v>114</v>
      </c>
      <c r="C40" s="53" t="s">
        <v>126</v>
      </c>
      <c r="D40" s="53" t="s">
        <v>115</v>
      </c>
      <c r="E40" s="53" t="s">
        <v>163</v>
      </c>
      <c r="F40" s="53" t="s">
        <v>116</v>
      </c>
      <c r="G40" s="53" t="s">
        <v>119</v>
      </c>
      <c r="H40" s="142">
        <f>'Cuota Industrial'!K30</f>
        <v>42.333000000000006</v>
      </c>
      <c r="I40" s="142">
        <f>'Cuota Industrial'!L30</f>
        <v>0</v>
      </c>
      <c r="J40" s="142">
        <f>'Cuota Industrial'!M30</f>
        <v>42.333000000000006</v>
      </c>
      <c r="K40" s="142">
        <f>'Cuota Industrial'!N30</f>
        <v>0</v>
      </c>
      <c r="L40" s="142">
        <f>'Cuota Industrial'!O30</f>
        <v>42.333000000000006</v>
      </c>
      <c r="M40" s="173">
        <f>'Cuota Industrial'!P30</f>
        <v>0</v>
      </c>
      <c r="N40" s="179" t="s">
        <v>154</v>
      </c>
      <c r="O40" s="180">
        <f>Resumen!$B$3</f>
        <v>43689</v>
      </c>
    </row>
    <row r="41" spans="1:15" s="181" customFormat="1">
      <c r="A41" s="54" t="s">
        <v>125</v>
      </c>
      <c r="B41" s="53" t="s">
        <v>114</v>
      </c>
      <c r="C41" s="53" t="s">
        <v>126</v>
      </c>
      <c r="D41" s="53" t="s">
        <v>115</v>
      </c>
      <c r="E41" s="53" t="s">
        <v>164</v>
      </c>
      <c r="F41" s="53" t="s">
        <v>116</v>
      </c>
      <c r="G41" s="53" t="s">
        <v>117</v>
      </c>
      <c r="H41" s="142">
        <f>'Cuota Industrial'!E32</f>
        <v>2948.348</v>
      </c>
      <c r="I41" s="142">
        <f>'Cuota Industrial'!F32</f>
        <v>-2939.2799999999997</v>
      </c>
      <c r="J41" s="142">
        <f>'Cuota Industrial'!G32</f>
        <v>9.068000000000211</v>
      </c>
      <c r="K41" s="142">
        <f>'Cuota Industrial'!H32</f>
        <v>0</v>
      </c>
      <c r="L41" s="142">
        <f>'Cuota Industrial'!I32</f>
        <v>9.068000000000211</v>
      </c>
      <c r="M41" s="173">
        <f>'Cuota Industrial'!J32</f>
        <v>0</v>
      </c>
      <c r="N41" s="179" t="s">
        <v>154</v>
      </c>
      <c r="O41" s="180">
        <f>Resumen!$B$3</f>
        <v>43689</v>
      </c>
    </row>
    <row r="42" spans="1:15" s="181" customFormat="1">
      <c r="A42" s="54" t="s">
        <v>125</v>
      </c>
      <c r="B42" s="53" t="s">
        <v>114</v>
      </c>
      <c r="C42" s="53" t="s">
        <v>126</v>
      </c>
      <c r="D42" s="53" t="s">
        <v>115</v>
      </c>
      <c r="E42" s="53" t="s">
        <v>164</v>
      </c>
      <c r="F42" s="53" t="s">
        <v>118</v>
      </c>
      <c r="G42" s="53" t="s">
        <v>119</v>
      </c>
      <c r="H42" s="142">
        <f>'Cuota Industrial'!E33</f>
        <v>155.249</v>
      </c>
      <c r="I42" s="142">
        <f>'Cuota Industrial'!F33</f>
        <v>0</v>
      </c>
      <c r="J42" s="142">
        <f>'Cuota Industrial'!G33</f>
        <v>164.31700000000021</v>
      </c>
      <c r="K42" s="142">
        <f>'Cuota Industrial'!H33</f>
        <v>0</v>
      </c>
      <c r="L42" s="142">
        <f>'Cuota Industrial'!I33</f>
        <v>164.31700000000021</v>
      </c>
      <c r="M42" s="173">
        <f>'Cuota Industrial'!J33</f>
        <v>0</v>
      </c>
      <c r="N42" s="179" t="s">
        <v>154</v>
      </c>
      <c r="O42" s="180">
        <f>Resumen!$B$3</f>
        <v>43689</v>
      </c>
    </row>
    <row r="43" spans="1:15" s="181" customFormat="1">
      <c r="A43" s="54" t="s">
        <v>125</v>
      </c>
      <c r="B43" s="53" t="s">
        <v>114</v>
      </c>
      <c r="C43" s="53" t="s">
        <v>126</v>
      </c>
      <c r="D43" s="53" t="s">
        <v>115</v>
      </c>
      <c r="E43" s="53" t="s">
        <v>164</v>
      </c>
      <c r="F43" s="53" t="s">
        <v>116</v>
      </c>
      <c r="G43" s="53" t="s">
        <v>119</v>
      </c>
      <c r="H43" s="142">
        <f>'Cuota Industrial'!K32</f>
        <v>3103.5969999999998</v>
      </c>
      <c r="I43" s="142">
        <f>'Cuota Industrial'!L32</f>
        <v>-2939.2799999999997</v>
      </c>
      <c r="J43" s="142">
        <f>'Cuota Industrial'!M32</f>
        <v>164.31700000000001</v>
      </c>
      <c r="K43" s="142">
        <f>'Cuota Industrial'!N32</f>
        <v>0</v>
      </c>
      <c r="L43" s="142">
        <f>'Cuota Industrial'!O32</f>
        <v>164.31700000000001</v>
      </c>
      <c r="M43" s="173">
        <f>'Cuota Industrial'!P32</f>
        <v>0</v>
      </c>
      <c r="N43" s="179" t="s">
        <v>154</v>
      </c>
      <c r="O43" s="180">
        <f>Resumen!$B$3</f>
        <v>43689</v>
      </c>
    </row>
    <row r="44" spans="1:15" s="181" customFormat="1">
      <c r="A44" s="54" t="s">
        <v>125</v>
      </c>
      <c r="B44" s="53" t="s">
        <v>114</v>
      </c>
      <c r="C44" s="53" t="s">
        <v>126</v>
      </c>
      <c r="D44" s="53" t="s">
        <v>115</v>
      </c>
      <c r="E44" s="53" t="s">
        <v>158</v>
      </c>
      <c r="F44" s="53" t="s">
        <v>116</v>
      </c>
      <c r="G44" s="53" t="s">
        <v>117</v>
      </c>
      <c r="H44" s="142">
        <f>'Cuota Industrial'!E34</f>
        <v>159.124</v>
      </c>
      <c r="I44" s="142">
        <f>'Cuota Industrial'!F34</f>
        <v>0</v>
      </c>
      <c r="J44" s="142">
        <f>'Cuota Industrial'!G34</f>
        <v>159.124</v>
      </c>
      <c r="K44" s="142">
        <f>'Cuota Industrial'!H34</f>
        <v>0</v>
      </c>
      <c r="L44" s="142">
        <f>'Cuota Industrial'!I34</f>
        <v>159.124</v>
      </c>
      <c r="M44" s="173">
        <f>'Cuota Industrial'!J34</f>
        <v>0</v>
      </c>
      <c r="N44" s="179" t="s">
        <v>154</v>
      </c>
      <c r="O44" s="180">
        <f>Resumen!$B$3</f>
        <v>43689</v>
      </c>
    </row>
    <row r="45" spans="1:15" s="181" customFormat="1">
      <c r="A45" s="54" t="s">
        <v>125</v>
      </c>
      <c r="B45" s="53" t="s">
        <v>114</v>
      </c>
      <c r="C45" s="53" t="s">
        <v>126</v>
      </c>
      <c r="D45" s="53" t="s">
        <v>115</v>
      </c>
      <c r="E45" s="53" t="s">
        <v>158</v>
      </c>
      <c r="F45" s="53" t="s">
        <v>118</v>
      </c>
      <c r="G45" s="53" t="s">
        <v>119</v>
      </c>
      <c r="H45" s="142">
        <f>'Cuota Industrial'!E35</f>
        <v>8.3789999999999996</v>
      </c>
      <c r="I45" s="142">
        <f>'Cuota Industrial'!F35</f>
        <v>0</v>
      </c>
      <c r="J45" s="142">
        <f>'Cuota Industrial'!G35</f>
        <v>167.50299999999999</v>
      </c>
      <c r="K45" s="142">
        <f>'Cuota Industrial'!H35</f>
        <v>0</v>
      </c>
      <c r="L45" s="142">
        <f>'Cuota Industrial'!I35</f>
        <v>167.50299999999999</v>
      </c>
      <c r="M45" s="173">
        <f>'Cuota Industrial'!J35</f>
        <v>0</v>
      </c>
      <c r="N45" s="179" t="s">
        <v>154</v>
      </c>
      <c r="O45" s="180">
        <f>Resumen!$B$3</f>
        <v>43689</v>
      </c>
    </row>
    <row r="46" spans="1:15" s="181" customFormat="1">
      <c r="A46" s="54" t="s">
        <v>125</v>
      </c>
      <c r="B46" s="53" t="s">
        <v>114</v>
      </c>
      <c r="C46" s="53" t="s">
        <v>126</v>
      </c>
      <c r="D46" s="53" t="s">
        <v>115</v>
      </c>
      <c r="E46" s="53" t="s">
        <v>158</v>
      </c>
      <c r="F46" s="53" t="s">
        <v>116</v>
      </c>
      <c r="G46" s="53" t="s">
        <v>119</v>
      </c>
      <c r="H46" s="142">
        <f>'Cuota Industrial'!K34</f>
        <v>167.50299999999999</v>
      </c>
      <c r="I46" s="142">
        <f>'Cuota Industrial'!L34</f>
        <v>0</v>
      </c>
      <c r="J46" s="142">
        <f>'Cuota Industrial'!M34</f>
        <v>167.50299999999999</v>
      </c>
      <c r="K46" s="142">
        <f>'Cuota Industrial'!N34</f>
        <v>0</v>
      </c>
      <c r="L46" s="142">
        <f>'Cuota Industrial'!O34</f>
        <v>167.50299999999999</v>
      </c>
      <c r="M46" s="173">
        <f>'Cuota Industrial'!P34</f>
        <v>0</v>
      </c>
      <c r="N46" s="179" t="s">
        <v>154</v>
      </c>
      <c r="O46" s="180">
        <f>Resumen!$B$3</f>
        <v>43689</v>
      </c>
    </row>
    <row r="47" spans="1:15" s="181" customFormat="1">
      <c r="A47" s="54" t="s">
        <v>125</v>
      </c>
      <c r="B47" s="53" t="s">
        <v>114</v>
      </c>
      <c r="C47" s="53" t="s">
        <v>126</v>
      </c>
      <c r="D47" s="53" t="s">
        <v>115</v>
      </c>
      <c r="E47" s="53" t="s">
        <v>165</v>
      </c>
      <c r="F47" s="53" t="s">
        <v>116</v>
      </c>
      <c r="G47" s="53" t="s">
        <v>117</v>
      </c>
      <c r="H47" s="142">
        <f>'Cuota Industrial'!E36</f>
        <v>510.06200000000001</v>
      </c>
      <c r="I47" s="142">
        <f>'Cuota Industrial'!F36</f>
        <v>-471.87</v>
      </c>
      <c r="J47" s="142">
        <f>'Cuota Industrial'!G36</f>
        <v>38.192000000000007</v>
      </c>
      <c r="K47" s="142">
        <f>'Cuota Industrial'!H36</f>
        <v>0</v>
      </c>
      <c r="L47" s="142">
        <f>'Cuota Industrial'!I36</f>
        <v>38.192000000000007</v>
      </c>
      <c r="M47" s="173">
        <f>'Cuota Industrial'!J36</f>
        <v>0</v>
      </c>
      <c r="N47" s="179" t="s">
        <v>154</v>
      </c>
      <c r="O47" s="180">
        <f>Resumen!$B$3</f>
        <v>43689</v>
      </c>
    </row>
    <row r="48" spans="1:15" s="181" customFormat="1">
      <c r="A48" s="54" t="s">
        <v>125</v>
      </c>
      <c r="B48" s="53" t="s">
        <v>114</v>
      </c>
      <c r="C48" s="53" t="s">
        <v>126</v>
      </c>
      <c r="D48" s="53" t="s">
        <v>115</v>
      </c>
      <c r="E48" s="53" t="s">
        <v>165</v>
      </c>
      <c r="F48" s="53" t="s">
        <v>118</v>
      </c>
      <c r="G48" s="53" t="s">
        <v>119</v>
      </c>
      <c r="H48" s="142">
        <f>'Cuota Industrial'!E37</f>
        <v>26.858000000000001</v>
      </c>
      <c r="I48" s="142">
        <f>'Cuota Industrial'!F37</f>
        <v>0</v>
      </c>
      <c r="J48" s="142">
        <f>'Cuota Industrial'!G37</f>
        <v>65.050000000000011</v>
      </c>
      <c r="K48" s="142">
        <f>'Cuota Industrial'!H37</f>
        <v>0</v>
      </c>
      <c r="L48" s="142">
        <f>'Cuota Industrial'!I37</f>
        <v>65.050000000000011</v>
      </c>
      <c r="M48" s="173">
        <f>'Cuota Industrial'!J37</f>
        <v>0</v>
      </c>
      <c r="N48" s="179" t="s">
        <v>154</v>
      </c>
      <c r="O48" s="180">
        <f>Resumen!$B$3</f>
        <v>43689</v>
      </c>
    </row>
    <row r="49" spans="1:15" s="181" customFormat="1">
      <c r="A49" s="54" t="s">
        <v>125</v>
      </c>
      <c r="B49" s="53" t="s">
        <v>114</v>
      </c>
      <c r="C49" s="53" t="s">
        <v>126</v>
      </c>
      <c r="D49" s="53" t="s">
        <v>115</v>
      </c>
      <c r="E49" s="53" t="s">
        <v>165</v>
      </c>
      <c r="F49" s="53" t="s">
        <v>116</v>
      </c>
      <c r="G49" s="53" t="s">
        <v>119</v>
      </c>
      <c r="H49" s="142">
        <f>'Cuota Industrial'!K36</f>
        <v>536.91999999999996</v>
      </c>
      <c r="I49" s="142">
        <f>'Cuota Industrial'!L36</f>
        <v>-471.87</v>
      </c>
      <c r="J49" s="142">
        <f>'Cuota Industrial'!M36</f>
        <v>65.049999999999955</v>
      </c>
      <c r="K49" s="142">
        <f>'Cuota Industrial'!N36</f>
        <v>0</v>
      </c>
      <c r="L49" s="142">
        <f>'Cuota Industrial'!O36</f>
        <v>65.049999999999955</v>
      </c>
      <c r="M49" s="173">
        <f>'Cuota Industrial'!P36</f>
        <v>0</v>
      </c>
      <c r="N49" s="179" t="s">
        <v>154</v>
      </c>
      <c r="O49" s="180">
        <f>Resumen!$B$3</f>
        <v>43689</v>
      </c>
    </row>
    <row r="50" spans="1:15" s="181" customFormat="1">
      <c r="A50" s="54" t="s">
        <v>125</v>
      </c>
      <c r="B50" s="53" t="s">
        <v>114</v>
      </c>
      <c r="C50" s="53" t="s">
        <v>126</v>
      </c>
      <c r="D50" s="53" t="s">
        <v>115</v>
      </c>
      <c r="E50" s="53" t="s">
        <v>127</v>
      </c>
      <c r="F50" s="53" t="s">
        <v>116</v>
      </c>
      <c r="G50" s="53" t="s">
        <v>117</v>
      </c>
      <c r="H50" s="142">
        <f>'Cuota Industrial'!E38</f>
        <v>439.81099999999998</v>
      </c>
      <c r="I50" s="142">
        <f>'Cuota Industrial'!F38</f>
        <v>-411.40099999999995</v>
      </c>
      <c r="J50" s="142">
        <f>'Cuota Industrial'!G38</f>
        <v>28.410000000000025</v>
      </c>
      <c r="K50" s="142">
        <f>'Cuota Industrial'!H38</f>
        <v>0</v>
      </c>
      <c r="L50" s="142">
        <f>'Cuota Industrial'!I38</f>
        <v>28.410000000000025</v>
      </c>
      <c r="M50" s="173">
        <f>'Cuota Industrial'!J38</f>
        <v>0</v>
      </c>
      <c r="N50" s="179" t="s">
        <v>154</v>
      </c>
      <c r="O50" s="180">
        <f>Resumen!$B$3</f>
        <v>43689</v>
      </c>
    </row>
    <row r="51" spans="1:15" s="181" customFormat="1">
      <c r="A51" s="54" t="s">
        <v>125</v>
      </c>
      <c r="B51" s="53" t="s">
        <v>114</v>
      </c>
      <c r="C51" s="53" t="s">
        <v>126</v>
      </c>
      <c r="D51" s="53" t="s">
        <v>115</v>
      </c>
      <c r="E51" s="53" t="s">
        <v>127</v>
      </c>
      <c r="F51" s="53" t="s">
        <v>118</v>
      </c>
      <c r="G51" s="53" t="s">
        <v>119</v>
      </c>
      <c r="H51" s="142">
        <f>'Cuota Industrial'!E39</f>
        <v>23.158999999999999</v>
      </c>
      <c r="I51" s="142">
        <f>'Cuota Industrial'!F39</f>
        <v>0</v>
      </c>
      <c r="J51" s="142">
        <f>'Cuota Industrial'!G39</f>
        <v>51.569000000000024</v>
      </c>
      <c r="K51" s="142">
        <f>'Cuota Industrial'!H39</f>
        <v>0</v>
      </c>
      <c r="L51" s="142">
        <f>'Cuota Industrial'!I39</f>
        <v>51.569000000000024</v>
      </c>
      <c r="M51" s="173">
        <f>'Cuota Industrial'!J39</f>
        <v>0</v>
      </c>
      <c r="N51" s="179" t="s">
        <v>154</v>
      </c>
      <c r="O51" s="180">
        <f>Resumen!$B$3</f>
        <v>43689</v>
      </c>
    </row>
    <row r="52" spans="1:15" s="181" customFormat="1">
      <c r="A52" s="54" t="s">
        <v>125</v>
      </c>
      <c r="B52" s="53" t="s">
        <v>114</v>
      </c>
      <c r="C52" s="53" t="s">
        <v>126</v>
      </c>
      <c r="D52" s="53" t="s">
        <v>115</v>
      </c>
      <c r="E52" s="53" t="s">
        <v>127</v>
      </c>
      <c r="F52" s="53" t="s">
        <v>116</v>
      </c>
      <c r="G52" s="53" t="s">
        <v>119</v>
      </c>
      <c r="H52" s="142">
        <f>'Cuota Industrial'!K38</f>
        <v>462.96999999999997</v>
      </c>
      <c r="I52" s="142">
        <f>'Cuota Industrial'!L38</f>
        <v>-411.40099999999995</v>
      </c>
      <c r="J52" s="142">
        <f>'Cuota Industrial'!M38</f>
        <v>51.569000000000017</v>
      </c>
      <c r="K52" s="142">
        <f>'Cuota Industrial'!N38</f>
        <v>0</v>
      </c>
      <c r="L52" s="142">
        <f>'Cuota Industrial'!O38</f>
        <v>51.569000000000017</v>
      </c>
      <c r="M52" s="173">
        <f>'Cuota Industrial'!P38</f>
        <v>0</v>
      </c>
      <c r="N52" s="179" t="s">
        <v>154</v>
      </c>
      <c r="O52" s="180">
        <f>Resumen!$B$3</f>
        <v>43689</v>
      </c>
    </row>
    <row r="53" spans="1:15" s="181" customFormat="1">
      <c r="A53" s="54" t="s">
        <v>125</v>
      </c>
      <c r="B53" s="53" t="s">
        <v>114</v>
      </c>
      <c r="C53" s="53" t="s">
        <v>126</v>
      </c>
      <c r="D53" s="53" t="s">
        <v>115</v>
      </c>
      <c r="E53" s="53" t="s">
        <v>166</v>
      </c>
      <c r="F53" s="53" t="s">
        <v>116</v>
      </c>
      <c r="G53" s="53" t="s">
        <v>117</v>
      </c>
      <c r="H53" s="142">
        <f>'Cuota Industrial'!E40</f>
        <v>10.199</v>
      </c>
      <c r="I53" s="142">
        <f>'Cuota Industrial'!F40</f>
        <v>0</v>
      </c>
      <c r="J53" s="142">
        <f>'Cuota Industrial'!G40</f>
        <v>10.199</v>
      </c>
      <c r="K53" s="142">
        <f>'Cuota Industrial'!H40</f>
        <v>0</v>
      </c>
      <c r="L53" s="142">
        <f>'Cuota Industrial'!I40</f>
        <v>10.199</v>
      </c>
      <c r="M53" s="173">
        <f>'Cuota Industrial'!J40</f>
        <v>0</v>
      </c>
      <c r="N53" s="179" t="s">
        <v>154</v>
      </c>
      <c r="O53" s="180">
        <f>Resumen!$B$3</f>
        <v>43689</v>
      </c>
    </row>
    <row r="54" spans="1:15" s="181" customFormat="1">
      <c r="A54" s="54" t="s">
        <v>125</v>
      </c>
      <c r="B54" s="53" t="s">
        <v>114</v>
      </c>
      <c r="C54" s="53" t="s">
        <v>126</v>
      </c>
      <c r="D54" s="53" t="s">
        <v>115</v>
      </c>
      <c r="E54" s="53" t="s">
        <v>166</v>
      </c>
      <c r="F54" s="53" t="s">
        <v>118</v>
      </c>
      <c r="G54" s="53" t="s">
        <v>119</v>
      </c>
      <c r="H54" s="142">
        <f>'Cuota Industrial'!E41</f>
        <v>0.53700000000000003</v>
      </c>
      <c r="I54" s="142">
        <f>'Cuota Industrial'!F41</f>
        <v>0</v>
      </c>
      <c r="J54" s="142">
        <f>'Cuota Industrial'!G41</f>
        <v>10.736000000000001</v>
      </c>
      <c r="K54" s="142">
        <f>'Cuota Industrial'!H41</f>
        <v>0</v>
      </c>
      <c r="L54" s="142">
        <f>'Cuota Industrial'!I41</f>
        <v>10.736000000000001</v>
      </c>
      <c r="M54" s="173">
        <f>'Cuota Industrial'!J41</f>
        <v>0</v>
      </c>
      <c r="N54" s="179" t="s">
        <v>154</v>
      </c>
      <c r="O54" s="180">
        <f>Resumen!$B$3</f>
        <v>43689</v>
      </c>
    </row>
    <row r="55" spans="1:15" s="181" customFormat="1">
      <c r="A55" s="54" t="s">
        <v>125</v>
      </c>
      <c r="B55" s="53" t="s">
        <v>114</v>
      </c>
      <c r="C55" s="53" t="s">
        <v>126</v>
      </c>
      <c r="D55" s="53" t="s">
        <v>115</v>
      </c>
      <c r="E55" s="53" t="s">
        <v>166</v>
      </c>
      <c r="F55" s="53" t="s">
        <v>116</v>
      </c>
      <c r="G55" s="53" t="s">
        <v>119</v>
      </c>
      <c r="H55" s="142">
        <f>'Cuota Industrial'!K40</f>
        <v>10.736000000000001</v>
      </c>
      <c r="I55" s="142">
        <f>'Cuota Industrial'!L40</f>
        <v>0</v>
      </c>
      <c r="J55" s="142">
        <f>'Cuota Industrial'!M40</f>
        <v>10.736000000000001</v>
      </c>
      <c r="K55" s="142">
        <f>'Cuota Industrial'!N40</f>
        <v>0</v>
      </c>
      <c r="L55" s="142">
        <f>'Cuota Industrial'!O40</f>
        <v>10.736000000000001</v>
      </c>
      <c r="M55" s="173">
        <f>'Cuota Industrial'!P40</f>
        <v>0</v>
      </c>
      <c r="N55" s="179" t="s">
        <v>154</v>
      </c>
      <c r="O55" s="180">
        <f>Resumen!$B$3</f>
        <v>43689</v>
      </c>
    </row>
    <row r="56" spans="1:15" s="181" customFormat="1">
      <c r="A56" s="54" t="s">
        <v>125</v>
      </c>
      <c r="B56" s="53" t="s">
        <v>114</v>
      </c>
      <c r="C56" s="53" t="s">
        <v>126</v>
      </c>
      <c r="D56" s="53" t="s">
        <v>115</v>
      </c>
      <c r="E56" s="53" t="s">
        <v>161</v>
      </c>
      <c r="F56" s="53" t="s">
        <v>116</v>
      </c>
      <c r="G56" s="53" t="s">
        <v>117</v>
      </c>
      <c r="H56" s="142">
        <f>'Cuota Industrial'!E42</f>
        <v>70.665999999999997</v>
      </c>
      <c r="I56" s="142">
        <f>'Cuota Industrial'!F42</f>
        <v>0</v>
      </c>
      <c r="J56" s="142">
        <f>'Cuota Industrial'!G42</f>
        <v>70.665999999999997</v>
      </c>
      <c r="K56" s="142">
        <f>'Cuota Industrial'!H42</f>
        <v>0</v>
      </c>
      <c r="L56" s="142">
        <f>'Cuota Industrial'!I42</f>
        <v>70.665999999999997</v>
      </c>
      <c r="M56" s="173">
        <f>'Cuota Industrial'!J42</f>
        <v>0</v>
      </c>
      <c r="N56" s="179" t="s">
        <v>154</v>
      </c>
      <c r="O56" s="180">
        <f>Resumen!$B$3</f>
        <v>43689</v>
      </c>
    </row>
    <row r="57" spans="1:15" s="181" customFormat="1">
      <c r="A57" s="54" t="s">
        <v>125</v>
      </c>
      <c r="B57" s="53" t="s">
        <v>114</v>
      </c>
      <c r="C57" s="53" t="s">
        <v>126</v>
      </c>
      <c r="D57" s="53" t="s">
        <v>115</v>
      </c>
      <c r="E57" s="53" t="s">
        <v>161</v>
      </c>
      <c r="F57" s="53" t="s">
        <v>118</v>
      </c>
      <c r="G57" s="53" t="s">
        <v>119</v>
      </c>
      <c r="H57" s="142">
        <f>'Cuota Industrial'!E43</f>
        <v>3.7210000000000001</v>
      </c>
      <c r="I57" s="142">
        <f>'Cuota Industrial'!F43</f>
        <v>0</v>
      </c>
      <c r="J57" s="142">
        <f>'Cuota Industrial'!G43</f>
        <v>74.387</v>
      </c>
      <c r="K57" s="142">
        <f>'Cuota Industrial'!H43</f>
        <v>0</v>
      </c>
      <c r="L57" s="142">
        <f>'Cuota Industrial'!I43</f>
        <v>74.387</v>
      </c>
      <c r="M57" s="173">
        <f>'Cuota Industrial'!J43</f>
        <v>0</v>
      </c>
      <c r="N57" s="179" t="s">
        <v>154</v>
      </c>
      <c r="O57" s="180">
        <f>Resumen!$B$3</f>
        <v>43689</v>
      </c>
    </row>
    <row r="58" spans="1:15" s="181" customFormat="1">
      <c r="A58" s="54" t="s">
        <v>125</v>
      </c>
      <c r="B58" s="53" t="s">
        <v>114</v>
      </c>
      <c r="C58" s="53" t="s">
        <v>126</v>
      </c>
      <c r="D58" s="53" t="s">
        <v>115</v>
      </c>
      <c r="E58" s="53" t="s">
        <v>161</v>
      </c>
      <c r="F58" s="53" t="s">
        <v>116</v>
      </c>
      <c r="G58" s="53" t="s">
        <v>119</v>
      </c>
      <c r="H58" s="142">
        <f>'Cuota Industrial'!K42</f>
        <v>74.387</v>
      </c>
      <c r="I58" s="142">
        <f>'Cuota Industrial'!L42</f>
        <v>0</v>
      </c>
      <c r="J58" s="142">
        <f>'Cuota Industrial'!M42</f>
        <v>74.387</v>
      </c>
      <c r="K58" s="142">
        <f>'Cuota Industrial'!N42</f>
        <v>0</v>
      </c>
      <c r="L58" s="142">
        <f>'Cuota Industrial'!O42</f>
        <v>74.387</v>
      </c>
      <c r="M58" s="173">
        <f>'Cuota Industrial'!P42</f>
        <v>0</v>
      </c>
      <c r="N58" s="179" t="s">
        <v>154</v>
      </c>
      <c r="O58" s="180">
        <f>Resumen!$B$3</f>
        <v>43689</v>
      </c>
    </row>
    <row r="59" spans="1:15" s="181" customFormat="1">
      <c r="A59" s="54" t="s">
        <v>125</v>
      </c>
      <c r="B59" s="53" t="s">
        <v>114</v>
      </c>
      <c r="C59" s="53" t="s">
        <v>126</v>
      </c>
      <c r="D59" s="53" t="s">
        <v>115</v>
      </c>
      <c r="E59" s="53" t="s">
        <v>167</v>
      </c>
      <c r="F59" s="53" t="s">
        <v>116</v>
      </c>
      <c r="G59" s="53" t="s">
        <v>117</v>
      </c>
      <c r="H59" s="142">
        <f>'Cuota Industrial'!E44</f>
        <v>4.5890000000000004</v>
      </c>
      <c r="I59" s="142">
        <f>'Cuota Industrial'!F44</f>
        <v>-3.831</v>
      </c>
      <c r="J59" s="142">
        <f>'Cuota Industrial'!G44</f>
        <v>0.75800000000000045</v>
      </c>
      <c r="K59" s="142">
        <f>'Cuota Industrial'!H44</f>
        <v>0</v>
      </c>
      <c r="L59" s="142">
        <f>'Cuota Industrial'!I44</f>
        <v>0.75800000000000045</v>
      </c>
      <c r="M59" s="173">
        <f>'Cuota Industrial'!J44</f>
        <v>0</v>
      </c>
      <c r="N59" s="179" t="s">
        <v>154</v>
      </c>
      <c r="O59" s="180">
        <f>Resumen!$B$3</f>
        <v>43689</v>
      </c>
    </row>
    <row r="60" spans="1:15" s="181" customFormat="1">
      <c r="A60" s="54" t="s">
        <v>125</v>
      </c>
      <c r="B60" s="53" t="s">
        <v>114</v>
      </c>
      <c r="C60" s="53" t="s">
        <v>126</v>
      </c>
      <c r="D60" s="53" t="s">
        <v>115</v>
      </c>
      <c r="E60" s="53" t="s">
        <v>167</v>
      </c>
      <c r="F60" s="53" t="s">
        <v>118</v>
      </c>
      <c r="G60" s="53" t="s">
        <v>119</v>
      </c>
      <c r="H60" s="142">
        <f>'Cuota Industrial'!E45</f>
        <v>0.24199999999999999</v>
      </c>
      <c r="I60" s="142">
        <f>'Cuota Industrial'!F45</f>
        <v>0</v>
      </c>
      <c r="J60" s="142">
        <f>'Cuota Industrial'!G45</f>
        <v>1.0000000000000004</v>
      </c>
      <c r="K60" s="142">
        <f>'Cuota Industrial'!H45</f>
        <v>0</v>
      </c>
      <c r="L60" s="142">
        <f>'Cuota Industrial'!I45</f>
        <v>1.0000000000000004</v>
      </c>
      <c r="M60" s="173">
        <f>'Cuota Industrial'!J45</f>
        <v>0</v>
      </c>
      <c r="N60" s="179" t="s">
        <v>154</v>
      </c>
      <c r="O60" s="180">
        <f>Resumen!$B$3</f>
        <v>43689</v>
      </c>
    </row>
    <row r="61" spans="1:15" s="181" customFormat="1">
      <c r="A61" s="54" t="s">
        <v>125</v>
      </c>
      <c r="B61" s="53" t="s">
        <v>114</v>
      </c>
      <c r="C61" s="53" t="s">
        <v>126</v>
      </c>
      <c r="D61" s="53" t="s">
        <v>115</v>
      </c>
      <c r="E61" s="53" t="s">
        <v>167</v>
      </c>
      <c r="F61" s="53" t="s">
        <v>116</v>
      </c>
      <c r="G61" s="53" t="s">
        <v>119</v>
      </c>
      <c r="H61" s="142">
        <f>'Cuota Industrial'!K44</f>
        <v>4.8310000000000004</v>
      </c>
      <c r="I61" s="142">
        <f>'Cuota Industrial'!L44</f>
        <v>-3.831</v>
      </c>
      <c r="J61" s="142">
        <f>'Cuota Industrial'!M44</f>
        <v>1.0000000000000004</v>
      </c>
      <c r="K61" s="142">
        <f>'Cuota Industrial'!N44</f>
        <v>0</v>
      </c>
      <c r="L61" s="142">
        <f>'Cuota Industrial'!O44</f>
        <v>1.0000000000000004</v>
      </c>
      <c r="M61" s="173">
        <f>'Cuota Industrial'!P44</f>
        <v>0</v>
      </c>
      <c r="N61" s="179" t="s">
        <v>154</v>
      </c>
      <c r="O61" s="180">
        <f>Resumen!$B$3</f>
        <v>43689</v>
      </c>
    </row>
    <row r="62" spans="1:15" s="181" customFormat="1">
      <c r="A62" s="182" t="s">
        <v>125</v>
      </c>
      <c r="B62" s="53" t="s">
        <v>114</v>
      </c>
      <c r="C62" s="53" t="s">
        <v>126</v>
      </c>
      <c r="D62" s="53" t="s">
        <v>115</v>
      </c>
      <c r="E62" s="53" t="s">
        <v>160</v>
      </c>
      <c r="F62" s="53" t="s">
        <v>116</v>
      </c>
      <c r="G62" s="53" t="s">
        <v>117</v>
      </c>
      <c r="H62" s="142">
        <f>'Cuota Industrial'!E46</f>
        <v>4894.3190000000004</v>
      </c>
      <c r="I62" s="142">
        <f>'Cuota Industrial'!F46</f>
        <v>-5100</v>
      </c>
      <c r="J62" s="142">
        <f>'Cuota Industrial'!G46</f>
        <v>-205.68099999999959</v>
      </c>
      <c r="K62" s="142">
        <f>'Cuota Industrial'!H46</f>
        <v>0</v>
      </c>
      <c r="L62" s="142">
        <f>'Cuota Industrial'!I46</f>
        <v>-205.68099999999959</v>
      </c>
      <c r="M62" s="173">
        <f>'Cuota Industrial'!J46</f>
        <v>0</v>
      </c>
      <c r="N62" s="179" t="s">
        <v>154</v>
      </c>
      <c r="O62" s="180">
        <f>Resumen!$B$3</f>
        <v>43689</v>
      </c>
    </row>
    <row r="63" spans="1:15" s="181" customFormat="1">
      <c r="A63" s="182" t="s">
        <v>125</v>
      </c>
      <c r="B63" s="53" t="s">
        <v>114</v>
      </c>
      <c r="C63" s="53" t="s">
        <v>126</v>
      </c>
      <c r="D63" s="53" t="s">
        <v>115</v>
      </c>
      <c r="E63" s="53" t="s">
        <v>160</v>
      </c>
      <c r="F63" s="53" t="s">
        <v>118</v>
      </c>
      <c r="G63" s="53" t="s">
        <v>119</v>
      </c>
      <c r="H63" s="142">
        <f>'Cuota Industrial'!E47</f>
        <v>257.71600000000001</v>
      </c>
      <c r="I63" s="142">
        <f>'Cuota Industrial'!F47</f>
        <v>0</v>
      </c>
      <c r="J63" s="142">
        <f>'Cuota Industrial'!G47</f>
        <v>52.035000000000423</v>
      </c>
      <c r="K63" s="142">
        <f>'Cuota Industrial'!H47</f>
        <v>0</v>
      </c>
      <c r="L63" s="142">
        <f>'Cuota Industrial'!I47</f>
        <v>52.035000000000423</v>
      </c>
      <c r="M63" s="173">
        <f>'Cuota Industrial'!J47</f>
        <v>0</v>
      </c>
      <c r="N63" s="179" t="s">
        <v>154</v>
      </c>
      <c r="O63" s="180">
        <f>Resumen!$B$3</f>
        <v>43689</v>
      </c>
    </row>
    <row r="64" spans="1:15" s="181" customFormat="1">
      <c r="A64" s="182" t="s">
        <v>125</v>
      </c>
      <c r="B64" s="53" t="s">
        <v>114</v>
      </c>
      <c r="C64" s="53" t="s">
        <v>126</v>
      </c>
      <c r="D64" s="53" t="s">
        <v>115</v>
      </c>
      <c r="E64" s="53" t="s">
        <v>160</v>
      </c>
      <c r="F64" s="53" t="s">
        <v>116</v>
      </c>
      <c r="G64" s="53" t="s">
        <v>119</v>
      </c>
      <c r="H64" s="142">
        <f>'Cuota Industrial'!K46</f>
        <v>5152.0350000000008</v>
      </c>
      <c r="I64" s="142">
        <f>'Cuota Industrial'!L46</f>
        <v>-5100</v>
      </c>
      <c r="J64" s="142">
        <f>'Cuota Industrial'!M46</f>
        <v>52.035000000000764</v>
      </c>
      <c r="K64" s="142">
        <f>'Cuota Industrial'!N46</f>
        <v>0</v>
      </c>
      <c r="L64" s="142">
        <f>'Cuota Industrial'!O46</f>
        <v>52.035000000000764</v>
      </c>
      <c r="M64" s="173">
        <f>'Cuota Industrial'!P46</f>
        <v>0</v>
      </c>
      <c r="N64" s="179" t="s">
        <v>154</v>
      </c>
      <c r="O64" s="180">
        <f>Resumen!$B$3</f>
        <v>43689</v>
      </c>
    </row>
    <row r="65" spans="1:15" s="181" customFormat="1">
      <c r="A65" s="54" t="s">
        <v>125</v>
      </c>
      <c r="B65" s="53" t="s">
        <v>114</v>
      </c>
      <c r="C65" s="53" t="s">
        <v>126</v>
      </c>
      <c r="D65" s="53" t="s">
        <v>115</v>
      </c>
      <c r="E65" s="53" t="s">
        <v>168</v>
      </c>
      <c r="F65" s="53" t="s">
        <v>116</v>
      </c>
      <c r="G65" s="53" t="s">
        <v>117</v>
      </c>
      <c r="H65" s="142">
        <f>'Cuota Industrial'!E48</f>
        <v>633.95899999999995</v>
      </c>
      <c r="I65" s="142">
        <f>'Cuota Industrial'!F48</f>
        <v>-600.06500000000005</v>
      </c>
      <c r="J65" s="142">
        <f>'Cuota Industrial'!G48</f>
        <v>33.893999999999892</v>
      </c>
      <c r="K65" s="142">
        <f>'Cuota Industrial'!H48</f>
        <v>0</v>
      </c>
      <c r="L65" s="142">
        <f>'Cuota Industrial'!I48</f>
        <v>33.893999999999892</v>
      </c>
      <c r="M65" s="173">
        <f>'Cuota Industrial'!J48</f>
        <v>0</v>
      </c>
      <c r="N65" s="179" t="s">
        <v>154</v>
      </c>
      <c r="O65" s="180">
        <f>Resumen!$B$3</f>
        <v>43689</v>
      </c>
    </row>
    <row r="66" spans="1:15" s="181" customFormat="1">
      <c r="A66" s="54" t="s">
        <v>125</v>
      </c>
      <c r="B66" s="53" t="s">
        <v>114</v>
      </c>
      <c r="C66" s="53" t="s">
        <v>126</v>
      </c>
      <c r="D66" s="53" t="s">
        <v>115</v>
      </c>
      <c r="E66" s="53" t="s">
        <v>168</v>
      </c>
      <c r="F66" s="53" t="s">
        <v>118</v>
      </c>
      <c r="G66" s="53" t="s">
        <v>119</v>
      </c>
      <c r="H66" s="142">
        <f>'Cuota Industrial'!E49</f>
        <v>33.381999999999998</v>
      </c>
      <c r="I66" s="142">
        <f>'Cuota Industrial'!F49</f>
        <v>0</v>
      </c>
      <c r="J66" s="142">
        <f>'Cuota Industrial'!G49</f>
        <v>67.275999999999897</v>
      </c>
      <c r="K66" s="142">
        <f>'Cuota Industrial'!H49</f>
        <v>0</v>
      </c>
      <c r="L66" s="142">
        <f>'Cuota Industrial'!I49</f>
        <v>67.275999999999897</v>
      </c>
      <c r="M66" s="173">
        <f>'Cuota Industrial'!J49</f>
        <v>0</v>
      </c>
      <c r="N66" s="179" t="s">
        <v>154</v>
      </c>
      <c r="O66" s="180">
        <f>Resumen!$B$3</f>
        <v>43689</v>
      </c>
    </row>
    <row r="67" spans="1:15" s="181" customFormat="1">
      <c r="A67" s="54" t="s">
        <v>125</v>
      </c>
      <c r="B67" s="53" t="s">
        <v>114</v>
      </c>
      <c r="C67" s="53" t="s">
        <v>126</v>
      </c>
      <c r="D67" s="53" t="s">
        <v>115</v>
      </c>
      <c r="E67" s="53" t="s">
        <v>168</v>
      </c>
      <c r="F67" s="53" t="s">
        <v>116</v>
      </c>
      <c r="G67" s="53" t="s">
        <v>119</v>
      </c>
      <c r="H67" s="142">
        <f>'Cuota Industrial'!K48</f>
        <v>667.34099999999989</v>
      </c>
      <c r="I67" s="142">
        <f>'Cuota Industrial'!L48</f>
        <v>-600.06500000000005</v>
      </c>
      <c r="J67" s="142">
        <f>'Cuota Industrial'!M48</f>
        <v>67.27599999999984</v>
      </c>
      <c r="K67" s="142">
        <f>'Cuota Industrial'!N48</f>
        <v>0</v>
      </c>
      <c r="L67" s="142">
        <f>'Cuota Industrial'!O48</f>
        <v>67.27599999999984</v>
      </c>
      <c r="M67" s="173">
        <f>'Cuota Industrial'!P48</f>
        <v>0</v>
      </c>
      <c r="N67" s="179" t="s">
        <v>154</v>
      </c>
      <c r="O67" s="180">
        <f>Resumen!$B$3</f>
        <v>43689</v>
      </c>
    </row>
    <row r="68" spans="1:15" s="181" customFormat="1">
      <c r="A68" s="54" t="s">
        <v>125</v>
      </c>
      <c r="B68" s="53" t="s">
        <v>114</v>
      </c>
      <c r="C68" s="53" t="s">
        <v>126</v>
      </c>
      <c r="D68" s="53" t="s">
        <v>115</v>
      </c>
      <c r="E68" s="53" t="s">
        <v>128</v>
      </c>
      <c r="F68" s="53" t="s">
        <v>116</v>
      </c>
      <c r="G68" s="53" t="s">
        <v>117</v>
      </c>
      <c r="H68" s="142">
        <f>'Cuota Industrial'!E50</f>
        <v>64.037999999999997</v>
      </c>
      <c r="I68" s="142">
        <f>'Cuota Industrial'!F50</f>
        <v>-65</v>
      </c>
      <c r="J68" s="142">
        <f>'Cuota Industrial'!G50</f>
        <v>-0.9620000000000033</v>
      </c>
      <c r="K68" s="142">
        <f>'Cuota Industrial'!H50</f>
        <v>0</v>
      </c>
      <c r="L68" s="142">
        <f>'Cuota Industrial'!I50</f>
        <v>-0.9620000000000033</v>
      </c>
      <c r="M68" s="173">
        <f>'Cuota Industrial'!J50</f>
        <v>0</v>
      </c>
      <c r="N68" s="179" t="s">
        <v>154</v>
      </c>
      <c r="O68" s="180">
        <f>Resumen!$B$3</f>
        <v>43689</v>
      </c>
    </row>
    <row r="69" spans="1:15" s="181" customFormat="1">
      <c r="A69" s="54" t="s">
        <v>125</v>
      </c>
      <c r="B69" s="53" t="s">
        <v>114</v>
      </c>
      <c r="C69" s="53" t="s">
        <v>126</v>
      </c>
      <c r="D69" s="53" t="s">
        <v>115</v>
      </c>
      <c r="E69" s="53" t="s">
        <v>128</v>
      </c>
      <c r="F69" s="53" t="s">
        <v>118</v>
      </c>
      <c r="G69" s="53" t="s">
        <v>119</v>
      </c>
      <c r="H69" s="142">
        <f>'Cuota Industrial'!E51</f>
        <v>3.3719999999999999</v>
      </c>
      <c r="I69" s="142">
        <f>'Cuota Industrial'!F51</f>
        <v>0</v>
      </c>
      <c r="J69" s="142">
        <f>'Cuota Industrial'!G51</f>
        <v>2.4099999999999966</v>
      </c>
      <c r="K69" s="142">
        <f>'Cuota Industrial'!H51</f>
        <v>0</v>
      </c>
      <c r="L69" s="142">
        <f>'Cuota Industrial'!I51</f>
        <v>2.4099999999999966</v>
      </c>
      <c r="M69" s="173">
        <f>'Cuota Industrial'!J51</f>
        <v>0</v>
      </c>
      <c r="N69" s="179" t="s">
        <v>154</v>
      </c>
      <c r="O69" s="180">
        <f>Resumen!$B$3</f>
        <v>43689</v>
      </c>
    </row>
    <row r="70" spans="1:15" s="181" customFormat="1">
      <c r="A70" s="54" t="s">
        <v>125</v>
      </c>
      <c r="B70" s="53" t="s">
        <v>114</v>
      </c>
      <c r="C70" s="53" t="s">
        <v>126</v>
      </c>
      <c r="D70" s="53" t="s">
        <v>115</v>
      </c>
      <c r="E70" s="53" t="s">
        <v>128</v>
      </c>
      <c r="F70" s="53" t="s">
        <v>116</v>
      </c>
      <c r="G70" s="53" t="s">
        <v>119</v>
      </c>
      <c r="H70" s="142">
        <f>'Cuota Industrial'!K50</f>
        <v>67.41</v>
      </c>
      <c r="I70" s="142">
        <f>'Cuota Industrial'!L50</f>
        <v>-65</v>
      </c>
      <c r="J70" s="142">
        <f>'Cuota Industrial'!M50</f>
        <v>2.4099999999999966</v>
      </c>
      <c r="K70" s="142">
        <f>'Cuota Industrial'!N50</f>
        <v>0</v>
      </c>
      <c r="L70" s="142">
        <f>'Cuota Industrial'!O50</f>
        <v>2.4099999999999966</v>
      </c>
      <c r="M70" s="173">
        <f>'Cuota Industrial'!P50</f>
        <v>0</v>
      </c>
      <c r="N70" s="179" t="s">
        <v>154</v>
      </c>
      <c r="O70" s="180">
        <f>Resumen!$B$3</f>
        <v>43689</v>
      </c>
    </row>
    <row r="71" spans="1:15" s="181" customFormat="1">
      <c r="A71" s="54" t="s">
        <v>125</v>
      </c>
      <c r="B71" s="53" t="s">
        <v>114</v>
      </c>
      <c r="C71" s="53" t="s">
        <v>126</v>
      </c>
      <c r="D71" s="53" t="s">
        <v>115</v>
      </c>
      <c r="E71" s="53" t="s">
        <v>231</v>
      </c>
      <c r="F71" s="53" t="s">
        <v>116</v>
      </c>
      <c r="G71" s="53" t="s">
        <v>117</v>
      </c>
      <c r="H71" s="142">
        <f>'Cuota Industrial'!E52</f>
        <v>0</v>
      </c>
      <c r="I71" s="142">
        <f>'Cuota Industrial'!F52</f>
        <v>0</v>
      </c>
      <c r="J71" s="142">
        <f>'Cuota Industrial'!G52</f>
        <v>0</v>
      </c>
      <c r="K71" s="142">
        <f>'Cuota Industrial'!H52</f>
        <v>0</v>
      </c>
      <c r="L71" s="142">
        <f>'Cuota Industrial'!I52</f>
        <v>0</v>
      </c>
      <c r="M71" s="173">
        <f>'Cuota Industrial'!J52</f>
        <v>0</v>
      </c>
      <c r="N71" s="179" t="s">
        <v>154</v>
      </c>
      <c r="O71" s="180">
        <f>Resumen!$B$3</f>
        <v>43689</v>
      </c>
    </row>
    <row r="72" spans="1:15" s="181" customFormat="1">
      <c r="A72" s="54" t="s">
        <v>125</v>
      </c>
      <c r="B72" s="53" t="s">
        <v>114</v>
      </c>
      <c r="C72" s="53" t="s">
        <v>126</v>
      </c>
      <c r="D72" s="53" t="s">
        <v>115</v>
      </c>
      <c r="E72" s="53" t="s">
        <v>231</v>
      </c>
      <c r="F72" s="53" t="s">
        <v>118</v>
      </c>
      <c r="G72" s="53" t="s">
        <v>119</v>
      </c>
      <c r="H72" s="142">
        <f>'Cuota Industrial'!E53</f>
        <v>0</v>
      </c>
      <c r="I72" s="142">
        <f>'Cuota Industrial'!F53</f>
        <v>0</v>
      </c>
      <c r="J72" s="142">
        <f>'Cuota Industrial'!G53</f>
        <v>0</v>
      </c>
      <c r="K72" s="142">
        <f>'Cuota Industrial'!H53</f>
        <v>0</v>
      </c>
      <c r="L72" s="142">
        <f>'Cuota Industrial'!I53</f>
        <v>0</v>
      </c>
      <c r="M72" s="173">
        <f>'Cuota Industrial'!J53</f>
        <v>0</v>
      </c>
      <c r="N72" s="179" t="s">
        <v>154</v>
      </c>
      <c r="O72" s="180">
        <f>Resumen!$B$3</f>
        <v>43689</v>
      </c>
    </row>
    <row r="73" spans="1:15" s="181" customFormat="1">
      <c r="A73" s="54" t="s">
        <v>125</v>
      </c>
      <c r="B73" s="53" t="s">
        <v>114</v>
      </c>
      <c r="C73" s="53" t="s">
        <v>126</v>
      </c>
      <c r="D73" s="53" t="s">
        <v>115</v>
      </c>
      <c r="E73" s="53" t="s">
        <v>231</v>
      </c>
      <c r="F73" s="53" t="s">
        <v>116</v>
      </c>
      <c r="G73" s="53" t="s">
        <v>119</v>
      </c>
      <c r="H73" s="142">
        <f>'Cuota Industrial'!K52</f>
        <v>0</v>
      </c>
      <c r="I73" s="142">
        <f>'Cuota Industrial'!L52</f>
        <v>0</v>
      </c>
      <c r="J73" s="142">
        <f>'Cuota Industrial'!M52</f>
        <v>0</v>
      </c>
      <c r="K73" s="142">
        <f>'Cuota Industrial'!N52</f>
        <v>0</v>
      </c>
      <c r="L73" s="142">
        <f>'Cuota Industrial'!O52</f>
        <v>0</v>
      </c>
      <c r="M73" s="173">
        <f>'Cuota Industrial'!P52</f>
        <v>0</v>
      </c>
      <c r="N73" s="179" t="s">
        <v>154</v>
      </c>
      <c r="O73" s="180">
        <f>Resumen!$B$3</f>
        <v>43689</v>
      </c>
    </row>
    <row r="74" spans="1:15" s="181" customFormat="1">
      <c r="A74" s="54" t="s">
        <v>125</v>
      </c>
      <c r="B74" s="53" t="s">
        <v>114</v>
      </c>
      <c r="C74" s="53" t="s">
        <v>126</v>
      </c>
      <c r="D74" s="53" t="s">
        <v>115</v>
      </c>
      <c r="E74" s="53" t="s">
        <v>232</v>
      </c>
      <c r="F74" s="53" t="s">
        <v>116</v>
      </c>
      <c r="G74" s="53" t="s">
        <v>117</v>
      </c>
      <c r="H74" s="142">
        <f>'Cuota Industrial'!E54</f>
        <v>0</v>
      </c>
      <c r="I74" s="142">
        <f>'Cuota Industrial'!F54</f>
        <v>0</v>
      </c>
      <c r="J74" s="142">
        <f>'Cuota Industrial'!G54</f>
        <v>0</v>
      </c>
      <c r="K74" s="142">
        <f>'Cuota Industrial'!H54</f>
        <v>0</v>
      </c>
      <c r="L74" s="142">
        <f>'Cuota Industrial'!I54</f>
        <v>0</v>
      </c>
      <c r="M74" s="173">
        <f>'Cuota Industrial'!J54</f>
        <v>0</v>
      </c>
      <c r="N74" s="179" t="s">
        <v>154</v>
      </c>
      <c r="O74" s="180">
        <f>Resumen!$B$3</f>
        <v>43689</v>
      </c>
    </row>
    <row r="75" spans="1:15" s="181" customFormat="1">
      <c r="A75" s="54" t="s">
        <v>125</v>
      </c>
      <c r="B75" s="53" t="s">
        <v>114</v>
      </c>
      <c r="C75" s="53" t="s">
        <v>126</v>
      </c>
      <c r="D75" s="53" t="s">
        <v>115</v>
      </c>
      <c r="E75" s="53" t="s">
        <v>232</v>
      </c>
      <c r="F75" s="53" t="s">
        <v>118</v>
      </c>
      <c r="G75" s="53" t="s">
        <v>119</v>
      </c>
      <c r="H75" s="142">
        <f>'Cuota Industrial'!E55</f>
        <v>0</v>
      </c>
      <c r="I75" s="142">
        <f>'Cuota Industrial'!F55</f>
        <v>0</v>
      </c>
      <c r="J75" s="142">
        <f>'Cuota Industrial'!G55</f>
        <v>0</v>
      </c>
      <c r="K75" s="142">
        <f>'Cuota Industrial'!H55</f>
        <v>0</v>
      </c>
      <c r="L75" s="142">
        <f>'Cuota Industrial'!I55</f>
        <v>0</v>
      </c>
      <c r="M75" s="173">
        <f>'Cuota Industrial'!J55</f>
        <v>0</v>
      </c>
      <c r="N75" s="179" t="s">
        <v>154</v>
      </c>
      <c r="O75" s="180">
        <f>Resumen!$B$3</f>
        <v>43689</v>
      </c>
    </row>
    <row r="76" spans="1:15" s="181" customFormat="1">
      <c r="A76" s="54" t="s">
        <v>125</v>
      </c>
      <c r="B76" s="53" t="s">
        <v>114</v>
      </c>
      <c r="C76" s="53" t="s">
        <v>126</v>
      </c>
      <c r="D76" s="53" t="s">
        <v>115</v>
      </c>
      <c r="E76" s="53" t="s">
        <v>232</v>
      </c>
      <c r="F76" s="53" t="s">
        <v>116</v>
      </c>
      <c r="G76" s="53" t="s">
        <v>119</v>
      </c>
      <c r="H76" s="142">
        <f>'Cuota Industrial'!K54</f>
        <v>0</v>
      </c>
      <c r="I76" s="142">
        <f>'Cuota Industrial'!L54</f>
        <v>0</v>
      </c>
      <c r="J76" s="142">
        <f>'Cuota Industrial'!M54</f>
        <v>0</v>
      </c>
      <c r="K76" s="142">
        <f>'Cuota Industrial'!N54</f>
        <v>0</v>
      </c>
      <c r="L76" s="142">
        <f>'Cuota Industrial'!O54</f>
        <v>0</v>
      </c>
      <c r="M76" s="173">
        <f>'Cuota Industrial'!P54</f>
        <v>0</v>
      </c>
      <c r="N76" s="179" t="s">
        <v>154</v>
      </c>
      <c r="O76" s="180">
        <f>Resumen!$B$3</f>
        <v>43689</v>
      </c>
    </row>
    <row r="77" spans="1:15" s="181" customFormat="1">
      <c r="A77" s="54" t="s">
        <v>125</v>
      </c>
      <c r="B77" s="53" t="s">
        <v>114</v>
      </c>
      <c r="C77" s="53" t="s">
        <v>126</v>
      </c>
      <c r="D77" s="53" t="s">
        <v>115</v>
      </c>
      <c r="E77" s="53" t="s">
        <v>230</v>
      </c>
      <c r="F77" s="53" t="s">
        <v>116</v>
      </c>
      <c r="G77" s="53" t="s">
        <v>117</v>
      </c>
      <c r="H77" s="142">
        <f>'Cuota Industrial'!E56</f>
        <v>0</v>
      </c>
      <c r="I77" s="142">
        <f>'Cuota Industrial'!F56</f>
        <v>0</v>
      </c>
      <c r="J77" s="142">
        <f>'Cuota Industrial'!G56</f>
        <v>0</v>
      </c>
      <c r="K77" s="142">
        <f>'Cuota Industrial'!H56</f>
        <v>0</v>
      </c>
      <c r="L77" s="142">
        <f>'Cuota Industrial'!I56</f>
        <v>0</v>
      </c>
      <c r="M77" s="173">
        <f>'Cuota Industrial'!J56</f>
        <v>0</v>
      </c>
      <c r="N77" s="179" t="s">
        <v>154</v>
      </c>
      <c r="O77" s="180">
        <f>Resumen!$B$3</f>
        <v>43689</v>
      </c>
    </row>
    <row r="78" spans="1:15" s="181" customFormat="1">
      <c r="A78" s="54" t="s">
        <v>125</v>
      </c>
      <c r="B78" s="53" t="s">
        <v>114</v>
      </c>
      <c r="C78" s="53" t="s">
        <v>126</v>
      </c>
      <c r="D78" s="53" t="s">
        <v>115</v>
      </c>
      <c r="E78" s="53" t="s">
        <v>230</v>
      </c>
      <c r="F78" s="53" t="s">
        <v>118</v>
      </c>
      <c r="G78" s="53" t="s">
        <v>119</v>
      </c>
      <c r="H78" s="142">
        <f>'Cuota Industrial'!E57</f>
        <v>0</v>
      </c>
      <c r="I78" s="142">
        <f>'Cuota Industrial'!F57</f>
        <v>0</v>
      </c>
      <c r="J78" s="142">
        <f>'Cuota Industrial'!G57</f>
        <v>0</v>
      </c>
      <c r="K78" s="142">
        <f>'Cuota Industrial'!H57</f>
        <v>0</v>
      </c>
      <c r="L78" s="142">
        <f>'Cuota Industrial'!I57</f>
        <v>0</v>
      </c>
      <c r="M78" s="173">
        <f>'Cuota Industrial'!J57</f>
        <v>0</v>
      </c>
      <c r="N78" s="179" t="s">
        <v>154</v>
      </c>
      <c r="O78" s="180">
        <f>Resumen!$B$3</f>
        <v>43689</v>
      </c>
    </row>
    <row r="79" spans="1:15" s="181" customFormat="1">
      <c r="A79" s="54" t="s">
        <v>125</v>
      </c>
      <c r="B79" s="53" t="s">
        <v>114</v>
      </c>
      <c r="C79" s="53" t="s">
        <v>126</v>
      </c>
      <c r="D79" s="53" t="s">
        <v>115</v>
      </c>
      <c r="E79" s="53" t="s">
        <v>230</v>
      </c>
      <c r="F79" s="53" t="s">
        <v>116</v>
      </c>
      <c r="G79" s="53" t="s">
        <v>119</v>
      </c>
      <c r="H79" s="142">
        <f>'Cuota Industrial'!K56</f>
        <v>0</v>
      </c>
      <c r="I79" s="142">
        <f>'Cuota Industrial'!L56</f>
        <v>0</v>
      </c>
      <c r="J79" s="142">
        <f>'Cuota Industrial'!M56</f>
        <v>0</v>
      </c>
      <c r="K79" s="142">
        <f>'Cuota Industrial'!N56</f>
        <v>0</v>
      </c>
      <c r="L79" s="142">
        <f>'Cuota Industrial'!O56</f>
        <v>0</v>
      </c>
      <c r="M79" s="173">
        <f>'Cuota Industrial'!P56</f>
        <v>0</v>
      </c>
      <c r="N79" s="179" t="s">
        <v>154</v>
      </c>
      <c r="O79" s="180">
        <f>Resumen!$B$3</f>
        <v>43689</v>
      </c>
    </row>
    <row r="80" spans="1:15" s="181" customFormat="1">
      <c r="A80" s="54" t="s">
        <v>129</v>
      </c>
      <c r="B80" s="53" t="s">
        <v>114</v>
      </c>
      <c r="C80" s="53" t="s">
        <v>80</v>
      </c>
      <c r="D80" s="53" t="s">
        <v>115</v>
      </c>
      <c r="E80" s="53" t="s">
        <v>162</v>
      </c>
      <c r="F80" s="53" t="s">
        <v>116</v>
      </c>
      <c r="G80" s="53" t="s">
        <v>117</v>
      </c>
      <c r="H80" s="142">
        <f>'Cuota Industrial'!E58</f>
        <v>28338.624</v>
      </c>
      <c r="I80" s="142">
        <f>'Cuota Industrial'!F58</f>
        <v>6668</v>
      </c>
      <c r="J80" s="142">
        <f>'Cuota Industrial'!G58</f>
        <v>35006.623999999996</v>
      </c>
      <c r="K80" s="142">
        <f>'Cuota Industrial'!H58</f>
        <v>35524.97</v>
      </c>
      <c r="L80" s="142">
        <f>'Cuota Industrial'!I58</f>
        <v>-518.34600000000501</v>
      </c>
      <c r="M80" s="173">
        <f>'Cuota Industrial'!J58</f>
        <v>1.0148070833679936</v>
      </c>
      <c r="N80" s="179" t="s">
        <v>154</v>
      </c>
      <c r="O80" s="180">
        <f>Resumen!$B$3</f>
        <v>43689</v>
      </c>
    </row>
    <row r="81" spans="1:15" s="181" customFormat="1">
      <c r="A81" s="54" t="s">
        <v>129</v>
      </c>
      <c r="B81" s="53" t="s">
        <v>114</v>
      </c>
      <c r="C81" s="53" t="s">
        <v>80</v>
      </c>
      <c r="D81" s="53" t="s">
        <v>115</v>
      </c>
      <c r="E81" s="53" t="s">
        <v>162</v>
      </c>
      <c r="F81" s="53" t="s">
        <v>118</v>
      </c>
      <c r="G81" s="53" t="s">
        <v>119</v>
      </c>
      <c r="H81" s="142">
        <f>'Cuota Industrial'!E59</f>
        <v>578.33899999999994</v>
      </c>
      <c r="I81" s="142">
        <f>'Cuota Industrial'!F59</f>
        <v>0</v>
      </c>
      <c r="J81" s="142">
        <f>'Cuota Industrial'!G59</f>
        <v>59.992999999994936</v>
      </c>
      <c r="K81" s="142">
        <f>'Cuota Industrial'!H59</f>
        <v>0</v>
      </c>
      <c r="L81" s="142">
        <f>'Cuota Industrial'!I59</f>
        <v>59.992999999994936</v>
      </c>
      <c r="M81" s="173">
        <f>'Cuota Industrial'!J59</f>
        <v>0</v>
      </c>
      <c r="N81" s="179" t="s">
        <v>154</v>
      </c>
      <c r="O81" s="180">
        <f>Resumen!$B$3</f>
        <v>43689</v>
      </c>
    </row>
    <row r="82" spans="1:15" s="181" customFormat="1">
      <c r="A82" s="54" t="s">
        <v>129</v>
      </c>
      <c r="B82" s="53" t="s">
        <v>114</v>
      </c>
      <c r="C82" s="53" t="s">
        <v>80</v>
      </c>
      <c r="D82" s="53" t="s">
        <v>115</v>
      </c>
      <c r="E82" s="53" t="s">
        <v>162</v>
      </c>
      <c r="F82" s="53" t="s">
        <v>116</v>
      </c>
      <c r="G82" s="53" t="s">
        <v>119</v>
      </c>
      <c r="H82" s="142">
        <f>'Cuota Industrial'!K58</f>
        <v>28916.963</v>
      </c>
      <c r="I82" s="142">
        <f>'Cuota Industrial'!L58</f>
        <v>6668</v>
      </c>
      <c r="J82" s="142">
        <f>'Cuota Industrial'!M58</f>
        <v>35584.963000000003</v>
      </c>
      <c r="K82" s="142">
        <f>'Cuota Industrial'!N58</f>
        <v>35524.97</v>
      </c>
      <c r="L82" s="142">
        <f>'Cuota Industrial'!O58</f>
        <v>59.993000000002212</v>
      </c>
      <c r="M82" s="173">
        <f>'Cuota Industrial'!P58</f>
        <v>0.99831409126377335</v>
      </c>
      <c r="N82" s="179" t="s">
        <v>154</v>
      </c>
      <c r="O82" s="180">
        <f>Resumen!$B$3</f>
        <v>43689</v>
      </c>
    </row>
    <row r="83" spans="1:15" s="181" customFormat="1">
      <c r="A83" s="54" t="s">
        <v>129</v>
      </c>
      <c r="B83" s="53" t="s">
        <v>114</v>
      </c>
      <c r="C83" s="53" t="s">
        <v>80</v>
      </c>
      <c r="D83" s="53" t="s">
        <v>115</v>
      </c>
      <c r="E83" s="53" t="s">
        <v>164</v>
      </c>
      <c r="F83" s="53" t="s">
        <v>116</v>
      </c>
      <c r="G83" s="53" t="s">
        <v>117</v>
      </c>
      <c r="H83" s="142">
        <f>'Cuota Industrial'!E60</f>
        <v>48863.327000000005</v>
      </c>
      <c r="I83" s="142">
        <f>'Cuota Industrial'!F60</f>
        <v>8700</v>
      </c>
      <c r="J83" s="142">
        <f>'Cuota Industrial'!G60</f>
        <v>57563.327000000005</v>
      </c>
      <c r="K83" s="142">
        <f>'Cuota Industrial'!H60</f>
        <v>57626.453000000001</v>
      </c>
      <c r="L83" s="142">
        <f>'Cuota Industrial'!I60</f>
        <v>-63.125999999996566</v>
      </c>
      <c r="M83" s="173">
        <f>'Cuota Industrial'!J60</f>
        <v>1.0010966357104412</v>
      </c>
      <c r="N83" s="179" t="s">
        <v>154</v>
      </c>
      <c r="O83" s="180">
        <f>Resumen!$B$3</f>
        <v>43689</v>
      </c>
    </row>
    <row r="84" spans="1:15" s="181" customFormat="1">
      <c r="A84" s="54" t="s">
        <v>129</v>
      </c>
      <c r="B84" s="53" t="s">
        <v>114</v>
      </c>
      <c r="C84" s="53" t="s">
        <v>80</v>
      </c>
      <c r="D84" s="53" t="s">
        <v>115</v>
      </c>
      <c r="E84" s="53" t="s">
        <v>164</v>
      </c>
      <c r="F84" s="53" t="s">
        <v>118</v>
      </c>
      <c r="G84" s="53" t="s">
        <v>119</v>
      </c>
      <c r="H84" s="142">
        <f>'Cuota Industrial'!E61</f>
        <v>997.21100000000001</v>
      </c>
      <c r="I84" s="142">
        <f>'Cuota Industrial'!F61</f>
        <v>0</v>
      </c>
      <c r="J84" s="142">
        <f>'Cuota Industrial'!G61</f>
        <v>934.08500000000345</v>
      </c>
      <c r="K84" s="142">
        <f>'Cuota Industrial'!H61</f>
        <v>0</v>
      </c>
      <c r="L84" s="142">
        <f>'Cuota Industrial'!I61</f>
        <v>934.08500000000345</v>
      </c>
      <c r="M84" s="173">
        <f>'Cuota Industrial'!J61</f>
        <v>0</v>
      </c>
      <c r="N84" s="179" t="s">
        <v>154</v>
      </c>
      <c r="O84" s="180">
        <f>Resumen!$B$3</f>
        <v>43689</v>
      </c>
    </row>
    <row r="85" spans="1:15" s="181" customFormat="1">
      <c r="A85" s="54" t="s">
        <v>129</v>
      </c>
      <c r="B85" s="53" t="s">
        <v>114</v>
      </c>
      <c r="C85" s="53" t="s">
        <v>80</v>
      </c>
      <c r="D85" s="53" t="s">
        <v>115</v>
      </c>
      <c r="E85" s="53" t="s">
        <v>164</v>
      </c>
      <c r="F85" s="53" t="s">
        <v>116</v>
      </c>
      <c r="G85" s="53" t="s">
        <v>119</v>
      </c>
      <c r="H85" s="142">
        <f>'Cuota Industrial'!K60</f>
        <v>49860.538000000008</v>
      </c>
      <c r="I85" s="142">
        <f>'Cuota Industrial'!L60</f>
        <v>8700</v>
      </c>
      <c r="J85" s="142">
        <f>'Cuota Industrial'!M60</f>
        <v>58560.538000000008</v>
      </c>
      <c r="K85" s="142">
        <f>'Cuota Industrial'!N60</f>
        <v>57626.453000000001</v>
      </c>
      <c r="L85" s="142">
        <f>'Cuota Industrial'!O60</f>
        <v>934.0850000000064</v>
      </c>
      <c r="M85" s="173">
        <f>'Cuota Industrial'!P60</f>
        <v>0.98404924148750128</v>
      </c>
      <c r="N85" s="179" t="s">
        <v>154</v>
      </c>
      <c r="O85" s="180">
        <f>Resumen!$B$3</f>
        <v>43689</v>
      </c>
    </row>
    <row r="86" spans="1:15" s="181" customFormat="1">
      <c r="A86" s="54" t="s">
        <v>129</v>
      </c>
      <c r="B86" s="53" t="s">
        <v>114</v>
      </c>
      <c r="C86" s="53" t="s">
        <v>80</v>
      </c>
      <c r="D86" s="53" t="s">
        <v>115</v>
      </c>
      <c r="E86" s="53" t="s">
        <v>168</v>
      </c>
      <c r="F86" s="53" t="s">
        <v>116</v>
      </c>
      <c r="G86" s="53" t="s">
        <v>117</v>
      </c>
      <c r="H86" s="142">
        <f>'Cuota Industrial'!E62</f>
        <v>40275.681000000004</v>
      </c>
      <c r="I86" s="142">
        <f>'Cuota Industrial'!F62</f>
        <v>14075.509</v>
      </c>
      <c r="J86" s="142">
        <f>'Cuota Industrial'!G62</f>
        <v>54351.19</v>
      </c>
      <c r="K86" s="142">
        <f>'Cuota Industrial'!H62</f>
        <v>54776.756999999998</v>
      </c>
      <c r="L86" s="142">
        <f>'Cuota Industrial'!I62</f>
        <v>-425.56699999999546</v>
      </c>
      <c r="M86" s="173">
        <f>'Cuota Industrial'!J62</f>
        <v>1.0078299481575288</v>
      </c>
      <c r="N86" s="179" t="s">
        <v>154</v>
      </c>
      <c r="O86" s="180">
        <f>Resumen!$B$3</f>
        <v>43689</v>
      </c>
    </row>
    <row r="87" spans="1:15" s="181" customFormat="1">
      <c r="A87" s="54" t="s">
        <v>129</v>
      </c>
      <c r="B87" s="53" t="s">
        <v>114</v>
      </c>
      <c r="C87" s="53" t="s">
        <v>80</v>
      </c>
      <c r="D87" s="53" t="s">
        <v>115</v>
      </c>
      <c r="E87" s="53" t="s">
        <v>168</v>
      </c>
      <c r="F87" s="53" t="s">
        <v>118</v>
      </c>
      <c r="G87" s="53" t="s">
        <v>119</v>
      </c>
      <c r="H87" s="142">
        <f>'Cuota Industrial'!E63</f>
        <v>821.95300000000009</v>
      </c>
      <c r="I87" s="142">
        <f>'Cuota Industrial'!F63</f>
        <v>0</v>
      </c>
      <c r="J87" s="142">
        <f>'Cuota Industrial'!G63</f>
        <v>396.38600000000463</v>
      </c>
      <c r="K87" s="142">
        <f>'Cuota Industrial'!H63</f>
        <v>0</v>
      </c>
      <c r="L87" s="142">
        <f>'Cuota Industrial'!I63</f>
        <v>396.38600000000463</v>
      </c>
      <c r="M87" s="173">
        <f>'Cuota Industrial'!J63</f>
        <v>0</v>
      </c>
      <c r="N87" s="179" t="s">
        <v>154</v>
      </c>
      <c r="O87" s="180">
        <f>Resumen!$B$3</f>
        <v>43689</v>
      </c>
    </row>
    <row r="88" spans="1:15" s="181" customFormat="1">
      <c r="A88" s="54" t="s">
        <v>129</v>
      </c>
      <c r="B88" s="53" t="s">
        <v>114</v>
      </c>
      <c r="C88" s="53" t="s">
        <v>80</v>
      </c>
      <c r="D88" s="53" t="s">
        <v>115</v>
      </c>
      <c r="E88" s="53" t="s">
        <v>168</v>
      </c>
      <c r="F88" s="53" t="s">
        <v>116</v>
      </c>
      <c r="G88" s="53" t="s">
        <v>119</v>
      </c>
      <c r="H88" s="142">
        <f>'Cuota Industrial'!K62</f>
        <v>41097.634000000005</v>
      </c>
      <c r="I88" s="142">
        <f>'Cuota Industrial'!L62</f>
        <v>14075.509</v>
      </c>
      <c r="J88" s="142">
        <f>'Cuota Industrial'!M62</f>
        <v>55173.143000000004</v>
      </c>
      <c r="K88" s="142">
        <f>'Cuota Industrial'!N62</f>
        <v>54776.756999999998</v>
      </c>
      <c r="L88" s="142">
        <f>'Cuota Industrial'!O62</f>
        <v>396.38600000000588</v>
      </c>
      <c r="M88" s="173">
        <f>'Cuota Industrial'!P62</f>
        <v>0.99281559870533376</v>
      </c>
      <c r="N88" s="179" t="s">
        <v>154</v>
      </c>
      <c r="O88" s="180">
        <f>Resumen!$B$3</f>
        <v>43689</v>
      </c>
    </row>
    <row r="89" spans="1:15" s="181" customFormat="1">
      <c r="A89" s="54" t="s">
        <v>129</v>
      </c>
      <c r="B89" s="53" t="s">
        <v>114</v>
      </c>
      <c r="C89" s="53" t="s">
        <v>80</v>
      </c>
      <c r="D89" s="53" t="s">
        <v>115</v>
      </c>
      <c r="E89" s="53" t="s">
        <v>158</v>
      </c>
      <c r="F89" s="53" t="s">
        <v>116</v>
      </c>
      <c r="G89" s="53" t="s">
        <v>117</v>
      </c>
      <c r="H89" s="142">
        <f>'Cuota Industrial'!E64</f>
        <v>558.96699999999998</v>
      </c>
      <c r="I89" s="142">
        <f>'Cuota Industrial'!F64</f>
        <v>0</v>
      </c>
      <c r="J89" s="142">
        <f>'Cuota Industrial'!G64</f>
        <v>558.96699999999998</v>
      </c>
      <c r="K89" s="142">
        <f>'Cuota Industrial'!H64</f>
        <v>0</v>
      </c>
      <c r="L89" s="142">
        <f>'Cuota Industrial'!I64</f>
        <v>558.96699999999998</v>
      </c>
      <c r="M89" s="173">
        <f>'Cuota Industrial'!J64</f>
        <v>0</v>
      </c>
      <c r="N89" s="179" t="s">
        <v>154</v>
      </c>
      <c r="O89" s="180">
        <f>Resumen!$B$3</f>
        <v>43689</v>
      </c>
    </row>
    <row r="90" spans="1:15" s="181" customFormat="1">
      <c r="A90" s="54" t="s">
        <v>129</v>
      </c>
      <c r="B90" s="53" t="s">
        <v>114</v>
      </c>
      <c r="C90" s="53" t="s">
        <v>80</v>
      </c>
      <c r="D90" s="53" t="s">
        <v>115</v>
      </c>
      <c r="E90" s="53" t="s">
        <v>158</v>
      </c>
      <c r="F90" s="53" t="s">
        <v>118</v>
      </c>
      <c r="G90" s="53" t="s">
        <v>119</v>
      </c>
      <c r="H90" s="142">
        <f>'Cuota Industrial'!E65</f>
        <v>11.407</v>
      </c>
      <c r="I90" s="142">
        <f>'Cuota Industrial'!F65</f>
        <v>0</v>
      </c>
      <c r="J90" s="142">
        <f>'Cuota Industrial'!G65</f>
        <v>570.37400000000002</v>
      </c>
      <c r="K90" s="142">
        <f>'Cuota Industrial'!H65</f>
        <v>0</v>
      </c>
      <c r="L90" s="142">
        <f>'Cuota Industrial'!I65</f>
        <v>570.37400000000002</v>
      </c>
      <c r="M90" s="173">
        <f>'Cuota Industrial'!J65</f>
        <v>0</v>
      </c>
      <c r="N90" s="179" t="s">
        <v>154</v>
      </c>
      <c r="O90" s="180">
        <f>Resumen!$B$3</f>
        <v>43689</v>
      </c>
    </row>
    <row r="91" spans="1:15" s="181" customFormat="1">
      <c r="A91" s="54" t="s">
        <v>129</v>
      </c>
      <c r="B91" s="53" t="s">
        <v>114</v>
      </c>
      <c r="C91" s="53" t="s">
        <v>80</v>
      </c>
      <c r="D91" s="53" t="s">
        <v>115</v>
      </c>
      <c r="E91" s="53" t="s">
        <v>158</v>
      </c>
      <c r="F91" s="53" t="s">
        <v>116</v>
      </c>
      <c r="G91" s="53" t="s">
        <v>119</v>
      </c>
      <c r="H91" s="142">
        <f>'Cuota Industrial'!K64</f>
        <v>570.37400000000002</v>
      </c>
      <c r="I91" s="142">
        <f>'Cuota Industrial'!L64</f>
        <v>0</v>
      </c>
      <c r="J91" s="142">
        <f>'Cuota Industrial'!M64</f>
        <v>570.37400000000002</v>
      </c>
      <c r="K91" s="142">
        <f>'Cuota Industrial'!N64</f>
        <v>0</v>
      </c>
      <c r="L91" s="142">
        <f>'Cuota Industrial'!O64</f>
        <v>570.37400000000002</v>
      </c>
      <c r="M91" s="173">
        <f>'Cuota Industrial'!P64</f>
        <v>0</v>
      </c>
      <c r="N91" s="179" t="s">
        <v>154</v>
      </c>
      <c r="O91" s="180">
        <f>Resumen!$B$3</f>
        <v>43689</v>
      </c>
    </row>
    <row r="92" spans="1:15" s="181" customFormat="1">
      <c r="A92" s="54" t="s">
        <v>129</v>
      </c>
      <c r="B92" s="53" t="s">
        <v>114</v>
      </c>
      <c r="C92" s="53" t="s">
        <v>80</v>
      </c>
      <c r="D92" s="53" t="s">
        <v>115</v>
      </c>
      <c r="E92" s="53" t="s">
        <v>127</v>
      </c>
      <c r="F92" s="53" t="s">
        <v>116</v>
      </c>
      <c r="G92" s="53" t="s">
        <v>117</v>
      </c>
      <c r="H92" s="142">
        <f>'Cuota Industrial'!E66</f>
        <v>12769.829</v>
      </c>
      <c r="I92" s="142">
        <f>'Cuota Industrial'!F66</f>
        <v>411.40100000000001</v>
      </c>
      <c r="J92" s="142">
        <f>'Cuota Industrial'!G66</f>
        <v>13181.23</v>
      </c>
      <c r="K92" s="142">
        <f>'Cuota Industrial'!H66</f>
        <v>13257.933000000001</v>
      </c>
      <c r="L92" s="142">
        <f>'Cuota Industrial'!I66</f>
        <v>-76.703000000001339</v>
      </c>
      <c r="M92" s="173">
        <f>'Cuota Industrial'!J66</f>
        <v>1.0058191079284711</v>
      </c>
      <c r="N92" s="179" t="s">
        <v>154</v>
      </c>
      <c r="O92" s="180">
        <f>Resumen!$B$3</f>
        <v>43689</v>
      </c>
    </row>
    <row r="93" spans="1:15" s="181" customFormat="1">
      <c r="A93" s="54" t="s">
        <v>129</v>
      </c>
      <c r="B93" s="53" t="s">
        <v>114</v>
      </c>
      <c r="C93" s="53" t="s">
        <v>80</v>
      </c>
      <c r="D93" s="53" t="s">
        <v>115</v>
      </c>
      <c r="E93" s="53" t="s">
        <v>127</v>
      </c>
      <c r="F93" s="53" t="s">
        <v>118</v>
      </c>
      <c r="G93" s="53" t="s">
        <v>119</v>
      </c>
      <c r="H93" s="142">
        <f>'Cuota Industrial'!E67</f>
        <v>260.60700000000003</v>
      </c>
      <c r="I93" s="142">
        <f>'Cuota Industrial'!F67</f>
        <v>0</v>
      </c>
      <c r="J93" s="142">
        <f>'Cuota Industrial'!G67</f>
        <v>183.90399999999869</v>
      </c>
      <c r="K93" s="142">
        <f>'Cuota Industrial'!H67</f>
        <v>0</v>
      </c>
      <c r="L93" s="142">
        <f>'Cuota Industrial'!I67</f>
        <v>183.90399999999869</v>
      </c>
      <c r="M93" s="173">
        <f>'Cuota Industrial'!J67</f>
        <v>0</v>
      </c>
      <c r="N93" s="179" t="s">
        <v>154</v>
      </c>
      <c r="O93" s="180">
        <f>Resumen!$B$3</f>
        <v>43689</v>
      </c>
    </row>
    <row r="94" spans="1:15" s="181" customFormat="1">
      <c r="A94" s="54" t="s">
        <v>129</v>
      </c>
      <c r="B94" s="53" t="s">
        <v>114</v>
      </c>
      <c r="C94" s="53" t="s">
        <v>80</v>
      </c>
      <c r="D94" s="53" t="s">
        <v>115</v>
      </c>
      <c r="E94" s="53" t="s">
        <v>127</v>
      </c>
      <c r="F94" s="53" t="s">
        <v>116</v>
      </c>
      <c r="G94" s="53" t="s">
        <v>119</v>
      </c>
      <c r="H94" s="142">
        <f>'Cuota Industrial'!K66</f>
        <v>13030.436</v>
      </c>
      <c r="I94" s="142">
        <f>'Cuota Industrial'!L66</f>
        <v>411.40100000000001</v>
      </c>
      <c r="J94" s="142">
        <f>'Cuota Industrial'!M66</f>
        <v>13441.837</v>
      </c>
      <c r="K94" s="142">
        <f>'Cuota Industrial'!N66</f>
        <v>13257.933000000001</v>
      </c>
      <c r="L94" s="142">
        <f>'Cuota Industrial'!O66</f>
        <v>183.90399999999863</v>
      </c>
      <c r="M94" s="173">
        <f>'Cuota Industrial'!P66</f>
        <v>0</v>
      </c>
      <c r="N94" s="179" t="s">
        <v>154</v>
      </c>
      <c r="O94" s="180">
        <f>Resumen!$B$3</f>
        <v>43689</v>
      </c>
    </row>
    <row r="95" spans="1:15" s="181" customFormat="1">
      <c r="A95" s="54" t="s">
        <v>129</v>
      </c>
      <c r="B95" s="53" t="s">
        <v>114</v>
      </c>
      <c r="C95" s="53" t="s">
        <v>80</v>
      </c>
      <c r="D95" s="53" t="s">
        <v>115</v>
      </c>
      <c r="E95" s="53" t="s">
        <v>165</v>
      </c>
      <c r="F95" s="53" t="s">
        <v>116</v>
      </c>
      <c r="G95" s="53" t="s">
        <v>117</v>
      </c>
      <c r="H95" s="142">
        <f>'Cuota Industrial'!E68</f>
        <v>24225.337</v>
      </c>
      <c r="I95" s="142">
        <f>'Cuota Industrial'!F68</f>
        <v>5219.0959999999995</v>
      </c>
      <c r="J95" s="142">
        <f>'Cuota Industrial'!G68</f>
        <v>29444.432999999997</v>
      </c>
      <c r="K95" s="142">
        <f>'Cuota Industrial'!H68</f>
        <v>29759.476999999999</v>
      </c>
      <c r="L95" s="142">
        <f>'Cuota Industrial'!I68</f>
        <v>-315.04400000000169</v>
      </c>
      <c r="M95" s="173">
        <f>'Cuota Industrial'!J68</f>
        <v>1.0106996117058868</v>
      </c>
      <c r="N95" s="179" t="s">
        <v>154</v>
      </c>
      <c r="O95" s="180">
        <f>Resumen!$B$3</f>
        <v>43689</v>
      </c>
    </row>
    <row r="96" spans="1:15" s="181" customFormat="1">
      <c r="A96" s="54" t="s">
        <v>129</v>
      </c>
      <c r="B96" s="53" t="s">
        <v>114</v>
      </c>
      <c r="C96" s="53" t="s">
        <v>80</v>
      </c>
      <c r="D96" s="53" t="s">
        <v>115</v>
      </c>
      <c r="E96" s="53" t="s">
        <v>165</v>
      </c>
      <c r="F96" s="53" t="s">
        <v>118</v>
      </c>
      <c r="G96" s="53" t="s">
        <v>119</v>
      </c>
      <c r="H96" s="142">
        <f>'Cuota Industrial'!E69</f>
        <v>494.39499999999998</v>
      </c>
      <c r="I96" s="142">
        <f>'Cuota Industrial'!F69</f>
        <v>0</v>
      </c>
      <c r="J96" s="142">
        <f>'Cuota Industrial'!G69</f>
        <v>179.35099999999829</v>
      </c>
      <c r="K96" s="142">
        <f>'Cuota Industrial'!H69</f>
        <v>0</v>
      </c>
      <c r="L96" s="142">
        <f>'Cuota Industrial'!I69</f>
        <v>179.35099999999829</v>
      </c>
      <c r="M96" s="173">
        <f>'Cuota Industrial'!J69</f>
        <v>0</v>
      </c>
      <c r="N96" s="179" t="s">
        <v>154</v>
      </c>
      <c r="O96" s="180">
        <f>Resumen!$B$3</f>
        <v>43689</v>
      </c>
    </row>
    <row r="97" spans="1:15" s="181" customFormat="1">
      <c r="A97" s="54" t="s">
        <v>129</v>
      </c>
      <c r="B97" s="53" t="s">
        <v>114</v>
      </c>
      <c r="C97" s="53" t="s">
        <v>80</v>
      </c>
      <c r="D97" s="53" t="s">
        <v>115</v>
      </c>
      <c r="E97" s="53" t="s">
        <v>165</v>
      </c>
      <c r="F97" s="53" t="s">
        <v>116</v>
      </c>
      <c r="G97" s="53" t="s">
        <v>119</v>
      </c>
      <c r="H97" s="142">
        <f>'Cuota Industrial'!K68</f>
        <v>24719.732</v>
      </c>
      <c r="I97" s="142">
        <f>'Cuota Industrial'!L68</f>
        <v>5219.0959999999995</v>
      </c>
      <c r="J97" s="142">
        <f>'Cuota Industrial'!M68</f>
        <v>29938.828000000001</v>
      </c>
      <c r="K97" s="142">
        <f>'Cuota Industrial'!N68</f>
        <v>29759.476999999999</v>
      </c>
      <c r="L97" s="142">
        <f>'Cuota Industrial'!O68</f>
        <v>179.35100000000239</v>
      </c>
      <c r="M97" s="173">
        <f>'Cuota Industrial'!P68</f>
        <v>0.99400941813754362</v>
      </c>
      <c r="N97" s="179" t="s">
        <v>154</v>
      </c>
      <c r="O97" s="180">
        <f>Resumen!$B$3</f>
        <v>43689</v>
      </c>
    </row>
    <row r="98" spans="1:15" s="181" customFormat="1">
      <c r="A98" s="54" t="s">
        <v>129</v>
      </c>
      <c r="B98" s="53" t="s">
        <v>114</v>
      </c>
      <c r="C98" s="53" t="s">
        <v>80</v>
      </c>
      <c r="D98" s="53" t="s">
        <v>115</v>
      </c>
      <c r="E98" s="53" t="s">
        <v>169</v>
      </c>
      <c r="F98" s="53" t="s">
        <v>116</v>
      </c>
      <c r="G98" s="53" t="s">
        <v>117</v>
      </c>
      <c r="H98" s="142">
        <f>'Cuota Industrial'!E70</f>
        <v>2.008</v>
      </c>
      <c r="I98" s="142">
        <f>'Cuota Industrial'!F70</f>
        <v>0</v>
      </c>
      <c r="J98" s="142">
        <f>'Cuota Industrial'!G70</f>
        <v>2.008</v>
      </c>
      <c r="K98" s="142">
        <f>'Cuota Industrial'!H70</f>
        <v>0</v>
      </c>
      <c r="L98" s="142">
        <f>'Cuota Industrial'!I70</f>
        <v>2.008</v>
      </c>
      <c r="M98" s="173">
        <f>'Cuota Industrial'!J70</f>
        <v>0</v>
      </c>
      <c r="N98" s="179" t="s">
        <v>154</v>
      </c>
      <c r="O98" s="180">
        <f>Resumen!$B$3</f>
        <v>43689</v>
      </c>
    </row>
    <row r="99" spans="1:15" s="181" customFormat="1">
      <c r="A99" s="54" t="s">
        <v>129</v>
      </c>
      <c r="B99" s="53" t="s">
        <v>114</v>
      </c>
      <c r="C99" s="53" t="s">
        <v>80</v>
      </c>
      <c r="D99" s="53" t="s">
        <v>115</v>
      </c>
      <c r="E99" s="53" t="s">
        <v>169</v>
      </c>
      <c r="F99" s="53" t="s">
        <v>118</v>
      </c>
      <c r="G99" s="53" t="s">
        <v>119</v>
      </c>
      <c r="H99" s="142">
        <f>'Cuota Industrial'!E71</f>
        <v>4.1000000000000002E-2</v>
      </c>
      <c r="I99" s="142">
        <f>'Cuota Industrial'!F71</f>
        <v>0</v>
      </c>
      <c r="J99" s="142">
        <f>'Cuota Industrial'!G71</f>
        <v>2.0489999999999999</v>
      </c>
      <c r="K99" s="142">
        <f>'Cuota Industrial'!H71</f>
        <v>0</v>
      </c>
      <c r="L99" s="142">
        <f>'Cuota Industrial'!I71</f>
        <v>2.0489999999999999</v>
      </c>
      <c r="M99" s="173">
        <f>'Cuota Industrial'!J71</f>
        <v>0</v>
      </c>
      <c r="N99" s="179" t="s">
        <v>154</v>
      </c>
      <c r="O99" s="180">
        <f>Resumen!$B$3</f>
        <v>43689</v>
      </c>
    </row>
    <row r="100" spans="1:15" s="181" customFormat="1">
      <c r="A100" s="54" t="s">
        <v>129</v>
      </c>
      <c r="B100" s="53" t="s">
        <v>114</v>
      </c>
      <c r="C100" s="53" t="s">
        <v>80</v>
      </c>
      <c r="D100" s="53" t="s">
        <v>115</v>
      </c>
      <c r="E100" s="53" t="s">
        <v>169</v>
      </c>
      <c r="F100" s="53" t="s">
        <v>116</v>
      </c>
      <c r="G100" s="53" t="s">
        <v>119</v>
      </c>
      <c r="H100" s="142">
        <f>'Cuota Industrial'!K70</f>
        <v>2.0489999999999999</v>
      </c>
      <c r="I100" s="142">
        <f>'Cuota Industrial'!L70</f>
        <v>0</v>
      </c>
      <c r="J100" s="142">
        <f>'Cuota Industrial'!M70</f>
        <v>2.0489999999999999</v>
      </c>
      <c r="K100" s="142">
        <f>'Cuota Industrial'!N70</f>
        <v>0</v>
      </c>
      <c r="L100" s="142">
        <f>'Cuota Industrial'!O70</f>
        <v>2.0489999999999999</v>
      </c>
      <c r="M100" s="173">
        <f>'Cuota Industrial'!P70</f>
        <v>0</v>
      </c>
      <c r="N100" s="179" t="s">
        <v>154</v>
      </c>
      <c r="O100" s="180">
        <f>Resumen!$B$3</f>
        <v>43689</v>
      </c>
    </row>
    <row r="101" spans="1:15" s="181" customFormat="1">
      <c r="A101" s="54" t="s">
        <v>129</v>
      </c>
      <c r="B101" s="53" t="s">
        <v>114</v>
      </c>
      <c r="C101" s="53" t="s">
        <v>80</v>
      </c>
      <c r="D101" s="53" t="s">
        <v>115</v>
      </c>
      <c r="E101" s="53" t="s">
        <v>161</v>
      </c>
      <c r="F101" s="53" t="s">
        <v>116</v>
      </c>
      <c r="G101" s="53" t="s">
        <v>117</v>
      </c>
      <c r="H101" s="142">
        <f>'Cuota Industrial'!E72</f>
        <v>17535.633000000002</v>
      </c>
      <c r="I101" s="142">
        <f>'Cuota Industrial'!F72</f>
        <v>6216.9950000000008</v>
      </c>
      <c r="J101" s="142">
        <f>'Cuota Industrial'!G72</f>
        <v>23752.628000000004</v>
      </c>
      <c r="K101" s="142">
        <f>'Cuota Industrial'!H72</f>
        <v>23428.596000000001</v>
      </c>
      <c r="L101" s="142">
        <f>'Cuota Industrial'!I72</f>
        <v>324.03200000000288</v>
      </c>
      <c r="M101" s="173">
        <f>'Cuota Industrial'!J72</f>
        <v>0.98635805688532641</v>
      </c>
      <c r="N101" s="179" t="s">
        <v>154</v>
      </c>
      <c r="O101" s="180">
        <f>Resumen!$B$3</f>
        <v>43689</v>
      </c>
    </row>
    <row r="102" spans="1:15" s="181" customFormat="1">
      <c r="A102" s="54" t="s">
        <v>129</v>
      </c>
      <c r="B102" s="53" t="s">
        <v>114</v>
      </c>
      <c r="C102" s="53" t="s">
        <v>80</v>
      </c>
      <c r="D102" s="53" t="s">
        <v>115</v>
      </c>
      <c r="E102" s="53" t="s">
        <v>161</v>
      </c>
      <c r="F102" s="53" t="s">
        <v>118</v>
      </c>
      <c r="G102" s="53" t="s">
        <v>119</v>
      </c>
      <c r="H102" s="142">
        <f>'Cuota Industrial'!E73</f>
        <v>357.87</v>
      </c>
      <c r="I102" s="142">
        <f>'Cuota Industrial'!F73</f>
        <v>0</v>
      </c>
      <c r="J102" s="142">
        <f>'Cuota Industrial'!G73</f>
        <v>681.90200000000289</v>
      </c>
      <c r="K102" s="142">
        <f>'Cuota Industrial'!H73</f>
        <v>0</v>
      </c>
      <c r="L102" s="142">
        <f>'Cuota Industrial'!I73</f>
        <v>681.90200000000289</v>
      </c>
      <c r="M102" s="173">
        <f>'Cuota Industrial'!J73</f>
        <v>0</v>
      </c>
      <c r="N102" s="179" t="s">
        <v>154</v>
      </c>
      <c r="O102" s="180">
        <f>Resumen!$B$3</f>
        <v>43689</v>
      </c>
    </row>
    <row r="103" spans="1:15" s="181" customFormat="1">
      <c r="A103" s="54" t="s">
        <v>129</v>
      </c>
      <c r="B103" s="53" t="s">
        <v>114</v>
      </c>
      <c r="C103" s="53" t="s">
        <v>80</v>
      </c>
      <c r="D103" s="53" t="s">
        <v>115</v>
      </c>
      <c r="E103" s="53" t="s">
        <v>161</v>
      </c>
      <c r="F103" s="53" t="s">
        <v>116</v>
      </c>
      <c r="G103" s="53" t="s">
        <v>119</v>
      </c>
      <c r="H103" s="142">
        <f>'Cuota Industrial'!K72</f>
        <v>17893.503000000001</v>
      </c>
      <c r="I103" s="142">
        <f>'Cuota Industrial'!L72</f>
        <v>6216.9950000000008</v>
      </c>
      <c r="J103" s="142">
        <f>'Cuota Industrial'!M72</f>
        <v>24110.498</v>
      </c>
      <c r="K103" s="142">
        <f>'Cuota Industrial'!N72</f>
        <v>23428.596000000001</v>
      </c>
      <c r="L103" s="142">
        <f>'Cuota Industrial'!O72</f>
        <v>681.90199999999822</v>
      </c>
      <c r="M103" s="173">
        <f>'Cuota Industrial'!P72</f>
        <v>0.97171763105017583</v>
      </c>
      <c r="N103" s="179" t="s">
        <v>154</v>
      </c>
      <c r="O103" s="180">
        <f>Resumen!$B$3</f>
        <v>43689</v>
      </c>
    </row>
    <row r="104" spans="1:15" s="181" customFormat="1">
      <c r="A104" s="54" t="s">
        <v>129</v>
      </c>
      <c r="B104" s="53" t="s">
        <v>114</v>
      </c>
      <c r="C104" s="53" t="s">
        <v>80</v>
      </c>
      <c r="D104" s="53" t="s">
        <v>115</v>
      </c>
      <c r="E104" s="53" t="s">
        <v>167</v>
      </c>
      <c r="F104" s="53" t="s">
        <v>116</v>
      </c>
      <c r="G104" s="53" t="s">
        <v>117</v>
      </c>
      <c r="H104" s="142">
        <f>'Cuota Industrial'!E74</f>
        <v>3263.6060000000002</v>
      </c>
      <c r="I104" s="142">
        <f>'Cuota Industrial'!F74</f>
        <v>210.67999999999998</v>
      </c>
      <c r="J104" s="142">
        <f>'Cuota Industrial'!G74</f>
        <v>3474.2860000000001</v>
      </c>
      <c r="K104" s="142">
        <f>'Cuota Industrial'!H74</f>
        <v>3475.4940000000001</v>
      </c>
      <c r="L104" s="142">
        <f>'Cuota Industrial'!I74</f>
        <v>-1.2080000000000837</v>
      </c>
      <c r="M104" s="173">
        <f>'Cuota Industrial'!J74</f>
        <v>1.0003476973398275</v>
      </c>
      <c r="N104" s="179" t="s">
        <v>154</v>
      </c>
      <c r="O104" s="180">
        <f>Resumen!$B$3</f>
        <v>43689</v>
      </c>
    </row>
    <row r="105" spans="1:15" s="181" customFormat="1">
      <c r="A105" s="54" t="s">
        <v>129</v>
      </c>
      <c r="B105" s="53" t="s">
        <v>114</v>
      </c>
      <c r="C105" s="53" t="s">
        <v>80</v>
      </c>
      <c r="D105" s="53" t="s">
        <v>115</v>
      </c>
      <c r="E105" s="53" t="s">
        <v>167</v>
      </c>
      <c r="F105" s="53" t="s">
        <v>118</v>
      </c>
      <c r="G105" s="53" t="s">
        <v>119</v>
      </c>
      <c r="H105" s="142">
        <f>'Cuota Industrial'!E75</f>
        <v>66.603999999999999</v>
      </c>
      <c r="I105" s="142">
        <f>'Cuota Industrial'!F75</f>
        <v>0</v>
      </c>
      <c r="J105" s="142">
        <f>'Cuota Industrial'!G75</f>
        <v>65.395999999999916</v>
      </c>
      <c r="K105" s="142">
        <f>'Cuota Industrial'!H75</f>
        <v>0</v>
      </c>
      <c r="L105" s="142">
        <f>'Cuota Industrial'!I75</f>
        <v>65.395999999999916</v>
      </c>
      <c r="M105" s="173">
        <f>'Cuota Industrial'!J75</f>
        <v>0</v>
      </c>
      <c r="N105" s="179" t="s">
        <v>154</v>
      </c>
      <c r="O105" s="180">
        <f>Resumen!$B$3</f>
        <v>43689</v>
      </c>
    </row>
    <row r="106" spans="1:15" s="181" customFormat="1">
      <c r="A106" s="54" t="s">
        <v>129</v>
      </c>
      <c r="B106" s="53" t="s">
        <v>114</v>
      </c>
      <c r="C106" s="53" t="s">
        <v>80</v>
      </c>
      <c r="D106" s="53" t="s">
        <v>115</v>
      </c>
      <c r="E106" s="53" t="s">
        <v>167</v>
      </c>
      <c r="F106" s="53" t="s">
        <v>116</v>
      </c>
      <c r="G106" s="53" t="s">
        <v>119</v>
      </c>
      <c r="H106" s="142">
        <f>'Cuota Industrial'!K74</f>
        <v>3330.21</v>
      </c>
      <c r="I106" s="142">
        <f>'Cuota Industrial'!L74</f>
        <v>210.67999999999998</v>
      </c>
      <c r="J106" s="142">
        <f>'Cuota Industrial'!M74</f>
        <v>3540.89</v>
      </c>
      <c r="K106" s="142">
        <f>'Cuota Industrial'!N74</f>
        <v>3475.4940000000001</v>
      </c>
      <c r="L106" s="142">
        <f>'Cuota Industrial'!O74</f>
        <v>65.395999999999731</v>
      </c>
      <c r="M106" s="173">
        <f>'Cuota Industrial'!P74</f>
        <v>0.98153119695895674</v>
      </c>
      <c r="N106" s="179" t="s">
        <v>154</v>
      </c>
      <c r="O106" s="180">
        <f>Resumen!$B$3</f>
        <v>43689</v>
      </c>
    </row>
    <row r="107" spans="1:15" s="181" customFormat="1">
      <c r="A107" s="54" t="s">
        <v>129</v>
      </c>
      <c r="B107" s="53" t="s">
        <v>114</v>
      </c>
      <c r="C107" s="53" t="s">
        <v>80</v>
      </c>
      <c r="D107" s="53" t="s">
        <v>115</v>
      </c>
      <c r="E107" s="53" t="s">
        <v>160</v>
      </c>
      <c r="F107" s="53" t="s">
        <v>116</v>
      </c>
      <c r="G107" s="53" t="s">
        <v>117</v>
      </c>
      <c r="H107" s="142">
        <f>'Cuota Industrial'!E76</f>
        <v>59686.158000000003</v>
      </c>
      <c r="I107" s="142">
        <f>'Cuota Industrial'!F76</f>
        <v>43114.929000000004</v>
      </c>
      <c r="J107" s="142">
        <f>'Cuota Industrial'!G76</f>
        <v>102801.087</v>
      </c>
      <c r="K107" s="142">
        <f>'Cuota Industrial'!H76</f>
        <v>100053.86499999999</v>
      </c>
      <c r="L107" s="142">
        <f>'Cuota Industrial'!I76</f>
        <v>2747.2220000000088</v>
      </c>
      <c r="M107" s="173">
        <f>'Cuota Industrial'!J76</f>
        <v>0.97327633315783901</v>
      </c>
      <c r="N107" s="179" t="s">
        <v>154</v>
      </c>
      <c r="O107" s="180">
        <f>Resumen!$B$3</f>
        <v>43689</v>
      </c>
    </row>
    <row r="108" spans="1:15" s="181" customFormat="1">
      <c r="A108" s="54" t="s">
        <v>129</v>
      </c>
      <c r="B108" s="53" t="s">
        <v>114</v>
      </c>
      <c r="C108" s="53" t="s">
        <v>80</v>
      </c>
      <c r="D108" s="53" t="s">
        <v>115</v>
      </c>
      <c r="E108" s="53" t="s">
        <v>160</v>
      </c>
      <c r="F108" s="53" t="s">
        <v>118</v>
      </c>
      <c r="G108" s="53" t="s">
        <v>119</v>
      </c>
      <c r="H108" s="142">
        <f>'Cuota Industrial'!E77</f>
        <v>1218.085</v>
      </c>
      <c r="I108" s="142">
        <f>'Cuota Industrial'!F77</f>
        <v>0</v>
      </c>
      <c r="J108" s="142">
        <f>'Cuota Industrial'!G77</f>
        <v>3965.3070000000089</v>
      </c>
      <c r="K108" s="142">
        <f>'Cuota Industrial'!H77</f>
        <v>0</v>
      </c>
      <c r="L108" s="142">
        <f>'Cuota Industrial'!I77</f>
        <v>3965.3070000000089</v>
      </c>
      <c r="M108" s="173">
        <f>'Cuota Industrial'!J77</f>
        <v>0</v>
      </c>
      <c r="N108" s="179" t="s">
        <v>154</v>
      </c>
      <c r="O108" s="180">
        <f>Resumen!$B$3</f>
        <v>43689</v>
      </c>
    </row>
    <row r="109" spans="1:15" s="181" customFormat="1">
      <c r="A109" s="54" t="s">
        <v>129</v>
      </c>
      <c r="B109" s="53" t="s">
        <v>114</v>
      </c>
      <c r="C109" s="53" t="s">
        <v>80</v>
      </c>
      <c r="D109" s="53" t="s">
        <v>115</v>
      </c>
      <c r="E109" s="53" t="s">
        <v>160</v>
      </c>
      <c r="F109" s="53" t="s">
        <v>116</v>
      </c>
      <c r="G109" s="53" t="s">
        <v>119</v>
      </c>
      <c r="H109" s="142">
        <f>'Cuota Industrial'!K76</f>
        <v>60904.243000000002</v>
      </c>
      <c r="I109" s="142">
        <f>'Cuota Industrial'!L76</f>
        <v>43114.929000000004</v>
      </c>
      <c r="J109" s="142">
        <f>'Cuota Industrial'!M76</f>
        <v>104019.17200000001</v>
      </c>
      <c r="K109" s="142">
        <f>'Cuota Industrial'!N76</f>
        <v>100053.86499999999</v>
      </c>
      <c r="L109" s="142">
        <f>'Cuota Industrial'!O76</f>
        <v>3965.3070000000153</v>
      </c>
      <c r="M109" s="173">
        <f>'Cuota Industrial'!P76</f>
        <v>0.96187907552273133</v>
      </c>
      <c r="N109" s="179" t="s">
        <v>154</v>
      </c>
      <c r="O109" s="180">
        <f>Resumen!$B$3</f>
        <v>43689</v>
      </c>
    </row>
    <row r="110" spans="1:15" s="181" customFormat="1">
      <c r="A110" s="182" t="s">
        <v>129</v>
      </c>
      <c r="B110" s="53" t="s">
        <v>114</v>
      </c>
      <c r="C110" s="53" t="s">
        <v>80</v>
      </c>
      <c r="D110" s="53" t="s">
        <v>115</v>
      </c>
      <c r="E110" s="53" t="s">
        <v>25</v>
      </c>
      <c r="F110" s="53" t="s">
        <v>116</v>
      </c>
      <c r="G110" s="53" t="s">
        <v>117</v>
      </c>
      <c r="H110" s="142">
        <f>'Cuota Industrial'!E78</f>
        <v>77.491</v>
      </c>
      <c r="I110" s="142">
        <f>'Cuota Industrial'!F78</f>
        <v>0</v>
      </c>
      <c r="J110" s="142">
        <f>'Cuota Industrial'!G78</f>
        <v>77.491</v>
      </c>
      <c r="K110" s="142">
        <f>'Cuota Industrial'!H78</f>
        <v>0</v>
      </c>
      <c r="L110" s="142">
        <f>'Cuota Industrial'!I78</f>
        <v>77.491</v>
      </c>
      <c r="M110" s="173">
        <f>'Cuota Industrial'!J78</f>
        <v>0</v>
      </c>
      <c r="N110" s="179" t="s">
        <v>154</v>
      </c>
      <c r="O110" s="180">
        <f>Resumen!$B$3</f>
        <v>43689</v>
      </c>
    </row>
    <row r="111" spans="1:15" s="181" customFormat="1">
      <c r="A111" s="182" t="s">
        <v>129</v>
      </c>
      <c r="B111" s="53" t="s">
        <v>114</v>
      </c>
      <c r="C111" s="53" t="s">
        <v>80</v>
      </c>
      <c r="D111" s="53" t="s">
        <v>115</v>
      </c>
      <c r="E111" s="53" t="s">
        <v>25</v>
      </c>
      <c r="F111" s="53" t="s">
        <v>118</v>
      </c>
      <c r="G111" s="53" t="s">
        <v>119</v>
      </c>
      <c r="H111" s="142">
        <f>'Cuota Industrial'!E79</f>
        <v>1.581</v>
      </c>
      <c r="I111" s="142">
        <f>'Cuota Industrial'!F79</f>
        <v>0</v>
      </c>
      <c r="J111" s="142">
        <f>'Cuota Industrial'!G79</f>
        <v>79.072000000000003</v>
      </c>
      <c r="K111" s="142">
        <f>'Cuota Industrial'!H79</f>
        <v>0</v>
      </c>
      <c r="L111" s="142">
        <f>'Cuota Industrial'!I79</f>
        <v>79.072000000000003</v>
      </c>
      <c r="M111" s="173">
        <f>'Cuota Industrial'!J79</f>
        <v>0</v>
      </c>
      <c r="N111" s="179" t="s">
        <v>154</v>
      </c>
      <c r="O111" s="180">
        <f>Resumen!$B$3</f>
        <v>43689</v>
      </c>
    </row>
    <row r="112" spans="1:15" s="181" customFormat="1">
      <c r="A112" s="182" t="s">
        <v>129</v>
      </c>
      <c r="B112" s="53" t="s">
        <v>114</v>
      </c>
      <c r="C112" s="53" t="s">
        <v>80</v>
      </c>
      <c r="D112" s="53" t="s">
        <v>115</v>
      </c>
      <c r="E112" s="53" t="s">
        <v>25</v>
      </c>
      <c r="F112" s="53" t="s">
        <v>116</v>
      </c>
      <c r="G112" s="53" t="s">
        <v>119</v>
      </c>
      <c r="H112" s="142">
        <f>'Cuota Industrial'!K78</f>
        <v>79.072000000000003</v>
      </c>
      <c r="I112" s="142">
        <f>'Cuota Industrial'!L78</f>
        <v>0</v>
      </c>
      <c r="J112" s="142">
        <f>'Cuota Industrial'!M78</f>
        <v>79.072000000000003</v>
      </c>
      <c r="K112" s="142">
        <f>'Cuota Industrial'!N78</f>
        <v>0</v>
      </c>
      <c r="L112" s="142">
        <f>'Cuota Industrial'!O78</f>
        <v>79.072000000000003</v>
      </c>
      <c r="M112" s="173">
        <f>'Cuota Industrial'!P78</f>
        <v>0</v>
      </c>
      <c r="N112" s="179" t="s">
        <v>154</v>
      </c>
      <c r="O112" s="180">
        <f>Resumen!$B$3</f>
        <v>43689</v>
      </c>
    </row>
    <row r="113" spans="1:15" s="181" customFormat="1">
      <c r="A113" s="54" t="s">
        <v>129</v>
      </c>
      <c r="B113" s="53" t="s">
        <v>114</v>
      </c>
      <c r="C113" s="53" t="s">
        <v>80</v>
      </c>
      <c r="D113" s="53" t="s">
        <v>115</v>
      </c>
      <c r="E113" s="53" t="s">
        <v>233</v>
      </c>
      <c r="F113" s="53" t="s">
        <v>116</v>
      </c>
      <c r="G113" s="53" t="s">
        <v>117</v>
      </c>
      <c r="H113" s="142">
        <f>'Cuota Industrial'!E80</f>
        <v>40.151000000000003</v>
      </c>
      <c r="I113" s="142">
        <f>'Cuota Industrial'!F80</f>
        <v>0</v>
      </c>
      <c r="J113" s="142">
        <f>'Cuota Industrial'!G80</f>
        <v>40.151000000000003</v>
      </c>
      <c r="K113" s="142">
        <f>'Cuota Industrial'!H80</f>
        <v>9.1739999999999995</v>
      </c>
      <c r="L113" s="142">
        <f>'Cuota Industrial'!I80</f>
        <v>30.977000000000004</v>
      </c>
      <c r="M113" s="173">
        <f>'Cuota Industrial'!J80</f>
        <v>0.22848745983910734</v>
      </c>
      <c r="N113" s="179" t="s">
        <v>154</v>
      </c>
      <c r="O113" s="180">
        <f>Resumen!$B$3</f>
        <v>43689</v>
      </c>
    </row>
    <row r="114" spans="1:15" s="181" customFormat="1">
      <c r="A114" s="54" t="s">
        <v>129</v>
      </c>
      <c r="B114" s="53" t="s">
        <v>114</v>
      </c>
      <c r="C114" s="53" t="s">
        <v>80</v>
      </c>
      <c r="D114" s="53" t="s">
        <v>115</v>
      </c>
      <c r="E114" s="53" t="s">
        <v>233</v>
      </c>
      <c r="F114" s="53" t="s">
        <v>118</v>
      </c>
      <c r="G114" s="53" t="s">
        <v>119</v>
      </c>
      <c r="H114" s="142">
        <f>'Cuota Industrial'!E81</f>
        <v>0.81899999999999995</v>
      </c>
      <c r="I114" s="142">
        <f>'Cuota Industrial'!F81</f>
        <v>0</v>
      </c>
      <c r="J114" s="142">
        <f>'Cuota Industrial'!G81</f>
        <v>31.796000000000003</v>
      </c>
      <c r="K114" s="142">
        <f>'Cuota Industrial'!H81</f>
        <v>0</v>
      </c>
      <c r="L114" s="142">
        <f>'Cuota Industrial'!I81</f>
        <v>31.796000000000003</v>
      </c>
      <c r="M114" s="173">
        <f>'Cuota Industrial'!J81</f>
        <v>0</v>
      </c>
      <c r="N114" s="179" t="s">
        <v>154</v>
      </c>
      <c r="O114" s="180">
        <f>Resumen!$B$3</f>
        <v>43689</v>
      </c>
    </row>
    <row r="115" spans="1:15" s="181" customFormat="1">
      <c r="A115" s="54" t="s">
        <v>129</v>
      </c>
      <c r="B115" s="53" t="s">
        <v>114</v>
      </c>
      <c r="C115" s="53" t="s">
        <v>80</v>
      </c>
      <c r="D115" s="53" t="s">
        <v>115</v>
      </c>
      <c r="E115" s="53" t="s">
        <v>233</v>
      </c>
      <c r="F115" s="53" t="s">
        <v>116</v>
      </c>
      <c r="G115" s="53" t="s">
        <v>119</v>
      </c>
      <c r="H115" s="142">
        <f>'Cuota Industrial'!K80</f>
        <v>40.970000000000006</v>
      </c>
      <c r="I115" s="142">
        <f>'Cuota Industrial'!L80</f>
        <v>0</v>
      </c>
      <c r="J115" s="142">
        <f>'Cuota Industrial'!M80</f>
        <v>40.970000000000006</v>
      </c>
      <c r="K115" s="142">
        <f>'Cuota Industrial'!N80</f>
        <v>9.1739999999999995</v>
      </c>
      <c r="L115" s="142">
        <f>'Cuota Industrial'!O80</f>
        <v>31.796000000000006</v>
      </c>
      <c r="M115" s="173">
        <f>'Cuota Industrial'!P80</f>
        <v>0.22391994142055158</v>
      </c>
      <c r="N115" s="179" t="s">
        <v>154</v>
      </c>
      <c r="O115" s="180">
        <f>Resumen!$B$3</f>
        <v>43689</v>
      </c>
    </row>
    <row r="116" spans="1:15" s="181" customFormat="1">
      <c r="A116" s="54" t="s">
        <v>129</v>
      </c>
      <c r="B116" s="53" t="s">
        <v>114</v>
      </c>
      <c r="C116" s="53" t="s">
        <v>80</v>
      </c>
      <c r="D116" s="53" t="s">
        <v>115</v>
      </c>
      <c r="E116" s="53" t="s">
        <v>27</v>
      </c>
      <c r="F116" s="53" t="s">
        <v>116</v>
      </c>
      <c r="G116" s="53" t="s">
        <v>117</v>
      </c>
      <c r="H116" s="142">
        <f>'Cuota Industrial'!E82</f>
        <v>354.27</v>
      </c>
      <c r="I116" s="142">
        <f>'Cuota Industrial'!F82</f>
        <v>-361.5</v>
      </c>
      <c r="J116" s="142">
        <f>'Cuota Industrial'!G82</f>
        <v>-7.2300000000000182</v>
      </c>
      <c r="K116" s="142">
        <f>'Cuota Industrial'!H82</f>
        <v>0</v>
      </c>
      <c r="L116" s="142">
        <f>'Cuota Industrial'!I82</f>
        <v>-7.2300000000000182</v>
      </c>
      <c r="M116" s="173">
        <f>'Cuota Industrial'!J82</f>
        <v>0</v>
      </c>
      <c r="N116" s="179" t="s">
        <v>154</v>
      </c>
      <c r="O116" s="180">
        <f>Resumen!$B$3</f>
        <v>43689</v>
      </c>
    </row>
    <row r="117" spans="1:15" s="181" customFormat="1">
      <c r="A117" s="54" t="s">
        <v>129</v>
      </c>
      <c r="B117" s="53" t="s">
        <v>114</v>
      </c>
      <c r="C117" s="53" t="s">
        <v>80</v>
      </c>
      <c r="D117" s="53" t="s">
        <v>115</v>
      </c>
      <c r="E117" s="53" t="s">
        <v>27</v>
      </c>
      <c r="F117" s="53" t="s">
        <v>118</v>
      </c>
      <c r="G117" s="53" t="s">
        <v>119</v>
      </c>
      <c r="H117" s="142">
        <f>'Cuota Industrial'!E83</f>
        <v>7.23</v>
      </c>
      <c r="I117" s="142">
        <f>'Cuota Industrial'!F83</f>
        <v>0</v>
      </c>
      <c r="J117" s="142">
        <f>'Cuota Industrial'!G83</f>
        <v>0</v>
      </c>
      <c r="K117" s="142">
        <f>'Cuota Industrial'!H83</f>
        <v>0</v>
      </c>
      <c r="L117" s="142">
        <f>'Cuota Industrial'!I83</f>
        <v>0</v>
      </c>
      <c r="M117" s="173">
        <f>'Cuota Industrial'!J83</f>
        <v>0</v>
      </c>
      <c r="N117" s="179" t="s">
        <v>154</v>
      </c>
      <c r="O117" s="180">
        <f>Resumen!$B$3</f>
        <v>43689</v>
      </c>
    </row>
    <row r="118" spans="1:15" s="181" customFormat="1">
      <c r="A118" s="54" t="s">
        <v>129</v>
      </c>
      <c r="B118" s="53" t="s">
        <v>114</v>
      </c>
      <c r="C118" s="53" t="s">
        <v>80</v>
      </c>
      <c r="D118" s="53" t="s">
        <v>115</v>
      </c>
      <c r="E118" s="53" t="s">
        <v>27</v>
      </c>
      <c r="F118" s="53" t="s">
        <v>116</v>
      </c>
      <c r="G118" s="53" t="s">
        <v>119</v>
      </c>
      <c r="H118" s="142">
        <f>'Cuota Industrial'!K82</f>
        <v>361.5</v>
      </c>
      <c r="I118" s="142">
        <f>'Cuota Industrial'!L82</f>
        <v>-361.5</v>
      </c>
      <c r="J118" s="142">
        <f>'Cuota Industrial'!M82</f>
        <v>0</v>
      </c>
      <c r="K118" s="142">
        <f>'Cuota Industrial'!N82</f>
        <v>0</v>
      </c>
      <c r="L118" s="142">
        <f>'Cuota Industrial'!O82</f>
        <v>0</v>
      </c>
      <c r="M118" s="173">
        <f>'Cuota Industrial'!P82</f>
        <v>0</v>
      </c>
      <c r="N118" s="179" t="s">
        <v>154</v>
      </c>
      <c r="O118" s="180">
        <f>Resumen!$B$3</f>
        <v>43689</v>
      </c>
    </row>
    <row r="119" spans="1:15" s="181" customFormat="1">
      <c r="A119" s="54" t="s">
        <v>129</v>
      </c>
      <c r="B119" s="53" t="s">
        <v>114</v>
      </c>
      <c r="C119" s="53" t="s">
        <v>80</v>
      </c>
      <c r="D119" s="53" t="s">
        <v>115</v>
      </c>
      <c r="E119" s="53" t="s">
        <v>90</v>
      </c>
      <c r="F119" s="53" t="s">
        <v>116</v>
      </c>
      <c r="G119" s="53" t="s">
        <v>117</v>
      </c>
      <c r="H119" s="142">
        <f>'Cuota Industrial'!E84</f>
        <v>11.808999999999999</v>
      </c>
      <c r="I119" s="142">
        <f>'Cuota Industrial'!F84</f>
        <v>0</v>
      </c>
      <c r="J119" s="142">
        <f>'Cuota Industrial'!G84</f>
        <v>11.808999999999999</v>
      </c>
      <c r="K119" s="142">
        <f>'Cuota Industrial'!H84</f>
        <v>0</v>
      </c>
      <c r="L119" s="142">
        <f>'Cuota Industrial'!I84</f>
        <v>11.808999999999999</v>
      </c>
      <c r="M119" s="173">
        <f>'Cuota Industrial'!J84</f>
        <v>0</v>
      </c>
      <c r="N119" s="179" t="s">
        <v>154</v>
      </c>
      <c r="O119" s="180">
        <f>Resumen!$B$3</f>
        <v>43689</v>
      </c>
    </row>
    <row r="120" spans="1:15" s="181" customFormat="1">
      <c r="A120" s="54" t="s">
        <v>129</v>
      </c>
      <c r="B120" s="53" t="s">
        <v>114</v>
      </c>
      <c r="C120" s="53" t="s">
        <v>80</v>
      </c>
      <c r="D120" s="53" t="s">
        <v>115</v>
      </c>
      <c r="E120" s="53" t="s">
        <v>90</v>
      </c>
      <c r="F120" s="53" t="s">
        <v>118</v>
      </c>
      <c r="G120" s="53" t="s">
        <v>119</v>
      </c>
      <c r="H120" s="142">
        <f>'Cuota Industrial'!E85</f>
        <v>0.24099999999999999</v>
      </c>
      <c r="I120" s="142">
        <f>'Cuota Industrial'!F85</f>
        <v>0</v>
      </c>
      <c r="J120" s="142">
        <f>'Cuota Industrial'!G85</f>
        <v>12.049999999999999</v>
      </c>
      <c r="K120" s="142">
        <f>'Cuota Industrial'!H85</f>
        <v>0</v>
      </c>
      <c r="L120" s="142">
        <f>'Cuota Industrial'!I85</f>
        <v>12.049999999999999</v>
      </c>
      <c r="M120" s="173">
        <f>'Cuota Industrial'!J85</f>
        <v>0</v>
      </c>
      <c r="N120" s="179" t="s">
        <v>154</v>
      </c>
      <c r="O120" s="180">
        <f>Resumen!$B$3</f>
        <v>43689</v>
      </c>
    </row>
    <row r="121" spans="1:15" s="181" customFormat="1">
      <c r="A121" s="54" t="s">
        <v>129</v>
      </c>
      <c r="B121" s="53" t="s">
        <v>114</v>
      </c>
      <c r="C121" s="53" t="s">
        <v>80</v>
      </c>
      <c r="D121" s="53" t="s">
        <v>115</v>
      </c>
      <c r="E121" s="53" t="s">
        <v>90</v>
      </c>
      <c r="F121" s="53" t="s">
        <v>116</v>
      </c>
      <c r="G121" s="53" t="s">
        <v>119</v>
      </c>
      <c r="H121" s="142">
        <f>'Cuota Industrial'!K84</f>
        <v>12.049999999999999</v>
      </c>
      <c r="I121" s="142">
        <f>'Cuota Industrial'!L84</f>
        <v>0</v>
      </c>
      <c r="J121" s="142">
        <f>'Cuota Industrial'!M84</f>
        <v>12.049999999999999</v>
      </c>
      <c r="K121" s="142">
        <f>'Cuota Industrial'!N84</f>
        <v>0</v>
      </c>
      <c r="L121" s="142">
        <f>'Cuota Industrial'!O84</f>
        <v>12.049999999999999</v>
      </c>
      <c r="M121" s="173">
        <f>'Cuota Industrial'!P84</f>
        <v>0</v>
      </c>
      <c r="N121" s="179" t="s">
        <v>154</v>
      </c>
      <c r="O121" s="180">
        <f>Resumen!$B$3</f>
        <v>43689</v>
      </c>
    </row>
    <row r="122" spans="1:15" s="181" customFormat="1">
      <c r="A122" s="54" t="s">
        <v>129</v>
      </c>
      <c r="B122" s="53" t="s">
        <v>114</v>
      </c>
      <c r="C122" s="53" t="s">
        <v>80</v>
      </c>
      <c r="D122" s="53" t="s">
        <v>115</v>
      </c>
      <c r="E122" s="53" t="s">
        <v>128</v>
      </c>
      <c r="F122" s="53" t="s">
        <v>116</v>
      </c>
      <c r="G122" s="53" t="s">
        <v>117</v>
      </c>
      <c r="H122" s="142">
        <f>'Cuota Industrial'!E86</f>
        <v>177.13499999999999</v>
      </c>
      <c r="I122" s="142">
        <f>'Cuota Industrial'!F86</f>
        <v>-176</v>
      </c>
      <c r="J122" s="142">
        <f>'Cuota Industrial'!G86</f>
        <v>1.1349999999999909</v>
      </c>
      <c r="K122" s="142">
        <f>'Cuota Industrial'!H86</f>
        <v>0</v>
      </c>
      <c r="L122" s="142">
        <f>'Cuota Industrial'!I86</f>
        <v>1.1349999999999909</v>
      </c>
      <c r="M122" s="173">
        <f>'Cuota Industrial'!J86</f>
        <v>0</v>
      </c>
      <c r="N122" s="179" t="s">
        <v>154</v>
      </c>
      <c r="O122" s="180">
        <f>Resumen!$B$3</f>
        <v>43689</v>
      </c>
    </row>
    <row r="123" spans="1:15" s="181" customFormat="1">
      <c r="A123" s="54" t="s">
        <v>129</v>
      </c>
      <c r="B123" s="53" t="s">
        <v>114</v>
      </c>
      <c r="C123" s="53" t="s">
        <v>80</v>
      </c>
      <c r="D123" s="53" t="s">
        <v>115</v>
      </c>
      <c r="E123" s="53" t="s">
        <v>128</v>
      </c>
      <c r="F123" s="53" t="s">
        <v>118</v>
      </c>
      <c r="G123" s="53" t="s">
        <v>119</v>
      </c>
      <c r="H123" s="142">
        <f>'Cuota Industrial'!E87</f>
        <v>3.6150000000000002</v>
      </c>
      <c r="I123" s="142">
        <f>'Cuota Industrial'!F87</f>
        <v>0</v>
      </c>
      <c r="J123" s="142">
        <f>'Cuota Industrial'!G87</f>
        <v>4.7499999999999911</v>
      </c>
      <c r="K123" s="142">
        <f>'Cuota Industrial'!H87</f>
        <v>0</v>
      </c>
      <c r="L123" s="142">
        <f>'Cuota Industrial'!I87</f>
        <v>4.7499999999999911</v>
      </c>
      <c r="M123" s="173">
        <f>'Cuota Industrial'!J87</f>
        <v>0</v>
      </c>
      <c r="N123" s="179" t="s">
        <v>154</v>
      </c>
      <c r="O123" s="180">
        <f>Resumen!$B$3</f>
        <v>43689</v>
      </c>
    </row>
    <row r="124" spans="1:15" s="181" customFormat="1">
      <c r="A124" s="54" t="s">
        <v>129</v>
      </c>
      <c r="B124" s="53" t="s">
        <v>114</v>
      </c>
      <c r="C124" s="53" t="s">
        <v>80</v>
      </c>
      <c r="D124" s="53" t="s">
        <v>115</v>
      </c>
      <c r="E124" s="53" t="s">
        <v>128</v>
      </c>
      <c r="F124" s="53" t="s">
        <v>116</v>
      </c>
      <c r="G124" s="53" t="s">
        <v>119</v>
      </c>
      <c r="H124" s="142">
        <f>'Cuota Industrial'!K86</f>
        <v>180.75</v>
      </c>
      <c r="I124" s="142">
        <f>'Cuota Industrial'!L86</f>
        <v>-176</v>
      </c>
      <c r="J124" s="142">
        <f>'Cuota Industrial'!M86</f>
        <v>4.75</v>
      </c>
      <c r="K124" s="142">
        <f>'Cuota Industrial'!N86</f>
        <v>0</v>
      </c>
      <c r="L124" s="142">
        <f>'Cuota Industrial'!O86</f>
        <v>4.75</v>
      </c>
      <c r="M124" s="173">
        <f>'Cuota Industrial'!P86</f>
        <v>0</v>
      </c>
      <c r="N124" s="179" t="s">
        <v>154</v>
      </c>
      <c r="O124" s="180">
        <f>Resumen!$B$3</f>
        <v>43689</v>
      </c>
    </row>
    <row r="125" spans="1:15" s="181" customFormat="1">
      <c r="A125" s="54" t="s">
        <v>130</v>
      </c>
      <c r="B125" s="53" t="s">
        <v>114</v>
      </c>
      <c r="C125" s="53" t="s">
        <v>86</v>
      </c>
      <c r="D125" s="53" t="s">
        <v>115</v>
      </c>
      <c r="E125" s="53" t="s">
        <v>232</v>
      </c>
      <c r="F125" s="53" t="s">
        <v>116</v>
      </c>
      <c r="G125" s="53" t="s">
        <v>117</v>
      </c>
      <c r="H125" s="142">
        <f>'Cuota Industrial'!E88</f>
        <v>0</v>
      </c>
      <c r="I125" s="142">
        <f>'Cuota Industrial'!F88</f>
        <v>0</v>
      </c>
      <c r="J125" s="142">
        <f>'Cuota Industrial'!G88</f>
        <v>0</v>
      </c>
      <c r="K125" s="142">
        <f>'Cuota Industrial'!H88</f>
        <v>0</v>
      </c>
      <c r="L125" s="142">
        <f>'Cuota Industrial'!I88</f>
        <v>0</v>
      </c>
      <c r="M125" s="173">
        <f>'Cuota Industrial'!J88</f>
        <v>0</v>
      </c>
      <c r="N125" s="179" t="s">
        <v>154</v>
      </c>
      <c r="O125" s="180">
        <f>Resumen!$B$3</f>
        <v>43689</v>
      </c>
    </row>
    <row r="126" spans="1:15" s="181" customFormat="1">
      <c r="A126" s="54" t="s">
        <v>130</v>
      </c>
      <c r="B126" s="53" t="s">
        <v>114</v>
      </c>
      <c r="C126" s="53" t="s">
        <v>86</v>
      </c>
      <c r="D126" s="53" t="s">
        <v>115</v>
      </c>
      <c r="E126" s="53" t="s">
        <v>232</v>
      </c>
      <c r="F126" s="53" t="s">
        <v>118</v>
      </c>
      <c r="G126" s="53" t="s">
        <v>119</v>
      </c>
      <c r="H126" s="142">
        <f>'Cuota Industrial'!E89</f>
        <v>0</v>
      </c>
      <c r="I126" s="142">
        <f>'Cuota Industrial'!F89</f>
        <v>0</v>
      </c>
      <c r="J126" s="142">
        <f>'Cuota Industrial'!G89</f>
        <v>0</v>
      </c>
      <c r="K126" s="142">
        <f>'Cuota Industrial'!H89</f>
        <v>0</v>
      </c>
      <c r="L126" s="142">
        <f>'Cuota Industrial'!I89</f>
        <v>0</v>
      </c>
      <c r="M126" s="173">
        <f>'Cuota Industrial'!J89</f>
        <v>0</v>
      </c>
      <c r="N126" s="179" t="s">
        <v>154</v>
      </c>
      <c r="O126" s="180">
        <f>Resumen!$B$3</f>
        <v>43689</v>
      </c>
    </row>
    <row r="127" spans="1:15" s="181" customFormat="1">
      <c r="A127" s="54" t="s">
        <v>130</v>
      </c>
      <c r="B127" s="53" t="s">
        <v>114</v>
      </c>
      <c r="C127" s="53" t="s">
        <v>86</v>
      </c>
      <c r="D127" s="53" t="s">
        <v>115</v>
      </c>
      <c r="E127" s="53" t="s">
        <v>232</v>
      </c>
      <c r="F127" s="53" t="s">
        <v>116</v>
      </c>
      <c r="G127" s="53" t="s">
        <v>119</v>
      </c>
      <c r="H127" s="142">
        <f>'Cuota Industrial'!K88</f>
        <v>0</v>
      </c>
      <c r="I127" s="142">
        <f>'Cuota Industrial'!L88</f>
        <v>0</v>
      </c>
      <c r="J127" s="142">
        <f>'Cuota Industrial'!M88</f>
        <v>0</v>
      </c>
      <c r="K127" s="142">
        <f>'Cuota Industrial'!N88</f>
        <v>0</v>
      </c>
      <c r="L127" s="142">
        <f>'Cuota Industrial'!O88</f>
        <v>0</v>
      </c>
      <c r="M127" s="173">
        <f>'Cuota Industrial'!P88</f>
        <v>0</v>
      </c>
      <c r="N127" s="179" t="s">
        <v>154</v>
      </c>
      <c r="O127" s="180">
        <f>Resumen!$B$3</f>
        <v>43689</v>
      </c>
    </row>
    <row r="128" spans="1:15" s="181" customFormat="1">
      <c r="A128" s="54" t="s">
        <v>130</v>
      </c>
      <c r="B128" s="53" t="s">
        <v>114</v>
      </c>
      <c r="C128" s="53" t="s">
        <v>86</v>
      </c>
      <c r="D128" s="53" t="s">
        <v>115</v>
      </c>
      <c r="E128" s="53" t="s">
        <v>230</v>
      </c>
      <c r="F128" s="53" t="s">
        <v>116</v>
      </c>
      <c r="G128" s="53" t="s">
        <v>117</v>
      </c>
      <c r="H128" s="142">
        <f>'Cuota Industrial'!E90</f>
        <v>0</v>
      </c>
      <c r="I128" s="142">
        <f>'Cuota Industrial'!F90</f>
        <v>2169</v>
      </c>
      <c r="J128" s="142">
        <f>'Cuota Industrial'!G90</f>
        <v>2169</v>
      </c>
      <c r="K128" s="142">
        <f>'Cuota Industrial'!H90</f>
        <v>506.42700000000002</v>
      </c>
      <c r="L128" s="142">
        <f>'Cuota Industrial'!I90</f>
        <v>1662.5729999999999</v>
      </c>
      <c r="M128" s="173">
        <f>'Cuota Industrial'!J90</f>
        <v>0.23348409405255879</v>
      </c>
      <c r="N128" s="179" t="s">
        <v>154</v>
      </c>
      <c r="O128" s="180">
        <f>Resumen!$B$3</f>
        <v>43689</v>
      </c>
    </row>
    <row r="129" spans="1:15" s="181" customFormat="1">
      <c r="A129" s="54" t="s">
        <v>130</v>
      </c>
      <c r="B129" s="53" t="s">
        <v>114</v>
      </c>
      <c r="C129" s="53" t="s">
        <v>86</v>
      </c>
      <c r="D129" s="53" t="s">
        <v>115</v>
      </c>
      <c r="E129" s="53" t="s">
        <v>230</v>
      </c>
      <c r="F129" s="53" t="s">
        <v>118</v>
      </c>
      <c r="G129" s="53" t="s">
        <v>119</v>
      </c>
      <c r="H129" s="142">
        <f>'Cuota Industrial'!E91</f>
        <v>0</v>
      </c>
      <c r="I129" s="142">
        <f>'Cuota Industrial'!F91</f>
        <v>0</v>
      </c>
      <c r="J129" s="142">
        <f>'Cuota Industrial'!G91</f>
        <v>1662.5729999999999</v>
      </c>
      <c r="K129" s="142">
        <f>'Cuota Industrial'!H91</f>
        <v>0</v>
      </c>
      <c r="L129" s="142">
        <f>'Cuota Industrial'!I91</f>
        <v>1662.5729999999999</v>
      </c>
      <c r="M129" s="173">
        <f>'Cuota Industrial'!J91</f>
        <v>0</v>
      </c>
      <c r="N129" s="179" t="s">
        <v>154</v>
      </c>
      <c r="O129" s="180">
        <f>Resumen!$B$3</f>
        <v>43689</v>
      </c>
    </row>
    <row r="130" spans="1:15" s="181" customFormat="1">
      <c r="A130" s="54" t="s">
        <v>130</v>
      </c>
      <c r="B130" s="53" t="s">
        <v>114</v>
      </c>
      <c r="C130" s="53" t="s">
        <v>86</v>
      </c>
      <c r="D130" s="53" t="s">
        <v>115</v>
      </c>
      <c r="E130" s="53" t="s">
        <v>230</v>
      </c>
      <c r="F130" s="53" t="s">
        <v>116</v>
      </c>
      <c r="G130" s="53" t="s">
        <v>119</v>
      </c>
      <c r="H130" s="142">
        <f>'Cuota Industrial'!K90</f>
        <v>0</v>
      </c>
      <c r="I130" s="142">
        <f>'Cuota Industrial'!L90</f>
        <v>2169</v>
      </c>
      <c r="J130" s="142">
        <f>'Cuota Industrial'!M90</f>
        <v>2169</v>
      </c>
      <c r="K130" s="142">
        <f>'Cuota Industrial'!N90</f>
        <v>506.42700000000002</v>
      </c>
      <c r="L130" s="142">
        <f>'Cuota Industrial'!O90</f>
        <v>1662.5729999999999</v>
      </c>
      <c r="M130" s="173">
        <f>'Cuota Industrial'!P90</f>
        <v>0.23348409405255879</v>
      </c>
      <c r="N130" s="179" t="s">
        <v>154</v>
      </c>
      <c r="O130" s="180">
        <f>Resumen!$B$3</f>
        <v>43689</v>
      </c>
    </row>
    <row r="131" spans="1:15" s="181" customFormat="1">
      <c r="A131" s="54" t="s">
        <v>130</v>
      </c>
      <c r="B131" s="53" t="s">
        <v>114</v>
      </c>
      <c r="C131" s="53" t="s">
        <v>86</v>
      </c>
      <c r="D131" s="53" t="s">
        <v>115</v>
      </c>
      <c r="E131" s="53" t="s">
        <v>162</v>
      </c>
      <c r="F131" s="53" t="s">
        <v>116</v>
      </c>
      <c r="G131" s="53" t="s">
        <v>117</v>
      </c>
      <c r="H131" s="142">
        <f>'Cuota Industrial'!E92</f>
        <v>3212.8760000000002</v>
      </c>
      <c r="I131" s="142">
        <f>'Cuota Industrial'!F92</f>
        <v>-994.86900000000014</v>
      </c>
      <c r="J131" s="142">
        <f>'Cuota Industrial'!G92</f>
        <v>2218.0070000000001</v>
      </c>
      <c r="K131" s="142">
        <f>'Cuota Industrial'!H92</f>
        <v>2283.1309999999999</v>
      </c>
      <c r="L131" s="142">
        <f>'Cuota Industrial'!I92</f>
        <v>-65.123999999999796</v>
      </c>
      <c r="M131" s="173">
        <f>'Cuota Industrial'!J92</f>
        <v>1.0293614943505587</v>
      </c>
      <c r="N131" s="179" t="s">
        <v>154</v>
      </c>
      <c r="O131" s="180">
        <f>Resumen!$B$3</f>
        <v>43689</v>
      </c>
    </row>
    <row r="132" spans="1:15" s="181" customFormat="1">
      <c r="A132" s="54" t="s">
        <v>130</v>
      </c>
      <c r="B132" s="53" t="s">
        <v>114</v>
      </c>
      <c r="C132" s="53" t="s">
        <v>86</v>
      </c>
      <c r="D132" s="53" t="s">
        <v>115</v>
      </c>
      <c r="E132" s="53" t="s">
        <v>162</v>
      </c>
      <c r="F132" s="53" t="s">
        <v>118</v>
      </c>
      <c r="G132" s="53" t="s">
        <v>119</v>
      </c>
      <c r="H132" s="142">
        <f>'Cuota Industrial'!E93</f>
        <v>65.546999999999997</v>
      </c>
      <c r="I132" s="142">
        <f>'Cuota Industrial'!F93</f>
        <v>0</v>
      </c>
      <c r="J132" s="142">
        <f>'Cuota Industrial'!G93</f>
        <v>0.42300000000020077</v>
      </c>
      <c r="K132" s="142">
        <f>'Cuota Industrial'!H93</f>
        <v>0</v>
      </c>
      <c r="L132" s="142">
        <f>'Cuota Industrial'!I93</f>
        <v>0.42300000000020077</v>
      </c>
      <c r="M132" s="173">
        <f>'Cuota Industrial'!J93</f>
        <v>0</v>
      </c>
      <c r="N132" s="179" t="s">
        <v>154</v>
      </c>
      <c r="O132" s="180">
        <f>Resumen!$B$3</f>
        <v>43689</v>
      </c>
    </row>
    <row r="133" spans="1:15" s="181" customFormat="1">
      <c r="A133" s="54" t="s">
        <v>130</v>
      </c>
      <c r="B133" s="53" t="s">
        <v>114</v>
      </c>
      <c r="C133" s="53" t="s">
        <v>86</v>
      </c>
      <c r="D133" s="53" t="s">
        <v>115</v>
      </c>
      <c r="E133" s="53" t="s">
        <v>162</v>
      </c>
      <c r="F133" s="53" t="s">
        <v>116</v>
      </c>
      <c r="G133" s="53" t="s">
        <v>119</v>
      </c>
      <c r="H133" s="142">
        <f>'Cuota Industrial'!K92</f>
        <v>3278.4230000000002</v>
      </c>
      <c r="I133" s="142">
        <f>'Cuota Industrial'!L92</f>
        <v>-994.86900000000014</v>
      </c>
      <c r="J133" s="142">
        <f>'Cuota Industrial'!M92</f>
        <v>2283.5540000000001</v>
      </c>
      <c r="K133" s="142">
        <f>'Cuota Industrial'!N92</f>
        <v>2283.1309999999999</v>
      </c>
      <c r="L133" s="142">
        <f>'Cuota Industrial'!O92</f>
        <v>0.42300000000022919</v>
      </c>
      <c r="M133" s="173">
        <f>'Cuota Industrial'!P92</f>
        <v>0.99981476242733902</v>
      </c>
      <c r="N133" s="179" t="s">
        <v>154</v>
      </c>
      <c r="O133" s="180">
        <f>Resumen!$B$3</f>
        <v>43689</v>
      </c>
    </row>
    <row r="134" spans="1:15" s="181" customFormat="1">
      <c r="A134" s="54" t="s">
        <v>130</v>
      </c>
      <c r="B134" s="53" t="s">
        <v>114</v>
      </c>
      <c r="C134" s="53" t="s">
        <v>86</v>
      </c>
      <c r="D134" s="53" t="s">
        <v>115</v>
      </c>
      <c r="E134" s="53" t="s">
        <v>163</v>
      </c>
      <c r="F134" s="53" t="s">
        <v>116</v>
      </c>
      <c r="G134" s="53" t="s">
        <v>117</v>
      </c>
      <c r="H134" s="142">
        <f>'Cuota Industrial'!E94</f>
        <v>28.41</v>
      </c>
      <c r="I134" s="142">
        <f>'Cuota Industrial'!F94</f>
        <v>0</v>
      </c>
      <c r="J134" s="142">
        <f>'Cuota Industrial'!G94</f>
        <v>28.41</v>
      </c>
      <c r="K134" s="142">
        <f>'Cuota Industrial'!H94</f>
        <v>0</v>
      </c>
      <c r="L134" s="142">
        <f>'Cuota Industrial'!I94</f>
        <v>28.41</v>
      </c>
      <c r="M134" s="173">
        <f>'Cuota Industrial'!J94</f>
        <v>0</v>
      </c>
      <c r="N134" s="179" t="s">
        <v>154</v>
      </c>
      <c r="O134" s="180">
        <f>Resumen!$B$3</f>
        <v>43689</v>
      </c>
    </row>
    <row r="135" spans="1:15" s="181" customFormat="1">
      <c r="A135" s="54" t="s">
        <v>130</v>
      </c>
      <c r="B135" s="53" t="s">
        <v>114</v>
      </c>
      <c r="C135" s="53" t="s">
        <v>86</v>
      </c>
      <c r="D135" s="53" t="s">
        <v>115</v>
      </c>
      <c r="E135" s="53" t="s">
        <v>163</v>
      </c>
      <c r="F135" s="53" t="s">
        <v>118</v>
      </c>
      <c r="G135" s="53" t="s">
        <v>119</v>
      </c>
      <c r="H135" s="142">
        <f>'Cuota Industrial'!E95</f>
        <v>0.57999999999999996</v>
      </c>
      <c r="I135" s="142">
        <f>'Cuota Industrial'!F95</f>
        <v>0</v>
      </c>
      <c r="J135" s="142">
        <f>'Cuota Industrial'!G95</f>
        <v>28.99</v>
      </c>
      <c r="K135" s="142">
        <f>'Cuota Industrial'!H95</f>
        <v>0</v>
      </c>
      <c r="L135" s="142">
        <f>'Cuota Industrial'!I95</f>
        <v>28.99</v>
      </c>
      <c r="M135" s="173">
        <f>'Cuota Industrial'!J95</f>
        <v>0</v>
      </c>
      <c r="N135" s="179" t="s">
        <v>154</v>
      </c>
      <c r="O135" s="180">
        <f>Resumen!$B$3</f>
        <v>43689</v>
      </c>
    </row>
    <row r="136" spans="1:15" s="181" customFormat="1">
      <c r="A136" s="54" t="s">
        <v>130</v>
      </c>
      <c r="B136" s="53" t="s">
        <v>114</v>
      </c>
      <c r="C136" s="53" t="s">
        <v>86</v>
      </c>
      <c r="D136" s="53" t="s">
        <v>115</v>
      </c>
      <c r="E136" s="53" t="s">
        <v>163</v>
      </c>
      <c r="F136" s="53" t="s">
        <v>116</v>
      </c>
      <c r="G136" s="53" t="s">
        <v>119</v>
      </c>
      <c r="H136" s="142">
        <f>'Cuota Industrial'!K94</f>
        <v>28.99</v>
      </c>
      <c r="I136" s="142">
        <f>'Cuota Industrial'!L94</f>
        <v>0</v>
      </c>
      <c r="J136" s="142">
        <f>'Cuota Industrial'!M94</f>
        <v>28.99</v>
      </c>
      <c r="K136" s="142">
        <f>'Cuota Industrial'!N94</f>
        <v>0</v>
      </c>
      <c r="L136" s="142">
        <f>'Cuota Industrial'!O94</f>
        <v>28.99</v>
      </c>
      <c r="M136" s="173">
        <f>'Cuota Industrial'!P94</f>
        <v>0</v>
      </c>
      <c r="N136" s="179" t="s">
        <v>154</v>
      </c>
      <c r="O136" s="180">
        <f>Resumen!$B$3</f>
        <v>43689</v>
      </c>
    </row>
    <row r="137" spans="1:15" s="181" customFormat="1">
      <c r="A137" s="54" t="s">
        <v>130</v>
      </c>
      <c r="B137" s="53" t="s">
        <v>114</v>
      </c>
      <c r="C137" s="53" t="s">
        <v>86</v>
      </c>
      <c r="D137" s="53" t="s">
        <v>115</v>
      </c>
      <c r="E137" s="53" t="s">
        <v>168</v>
      </c>
      <c r="F137" s="53" t="s">
        <v>116</v>
      </c>
      <c r="G137" s="53" t="s">
        <v>117</v>
      </c>
      <c r="H137" s="142">
        <f>'Cuota Industrial'!E96</f>
        <v>4543.3130000000001</v>
      </c>
      <c r="I137" s="142">
        <f>'Cuota Industrial'!F96</f>
        <v>-4487.9610000000002</v>
      </c>
      <c r="J137" s="142">
        <f>'Cuota Industrial'!G96</f>
        <v>55.351999999999862</v>
      </c>
      <c r="K137" s="142">
        <f>'Cuota Industrial'!H96</f>
        <v>140.953</v>
      </c>
      <c r="L137" s="142">
        <f>'Cuota Industrial'!I96</f>
        <v>-85.601000000000141</v>
      </c>
      <c r="M137" s="173">
        <f>'Cuota Industrial'!J96</f>
        <v>2.5464843185431483</v>
      </c>
      <c r="N137" s="179" t="s">
        <v>154</v>
      </c>
      <c r="O137" s="180">
        <f>Resumen!$B$3</f>
        <v>43689</v>
      </c>
    </row>
    <row r="138" spans="1:15" s="181" customFormat="1">
      <c r="A138" s="54" t="s">
        <v>130</v>
      </c>
      <c r="B138" s="53" t="s">
        <v>114</v>
      </c>
      <c r="C138" s="53" t="s">
        <v>86</v>
      </c>
      <c r="D138" s="53" t="s">
        <v>115</v>
      </c>
      <c r="E138" s="53" t="s">
        <v>168</v>
      </c>
      <c r="F138" s="53" t="s">
        <v>118</v>
      </c>
      <c r="G138" s="53" t="s">
        <v>119</v>
      </c>
      <c r="H138" s="142">
        <f>'Cuota Industrial'!E97</f>
        <v>92.69</v>
      </c>
      <c r="I138" s="142">
        <f>'Cuota Industrial'!F97</f>
        <v>0</v>
      </c>
      <c r="J138" s="142">
        <f>'Cuota Industrial'!G97</f>
        <v>7.0889999999998565</v>
      </c>
      <c r="K138" s="142">
        <f>'Cuota Industrial'!H97</f>
        <v>0</v>
      </c>
      <c r="L138" s="142">
        <f>'Cuota Industrial'!I97</f>
        <v>7.0889999999998565</v>
      </c>
      <c r="M138" s="173">
        <f>'Cuota Industrial'!J97</f>
        <v>0</v>
      </c>
      <c r="N138" s="179" t="s">
        <v>154</v>
      </c>
      <c r="O138" s="180">
        <f>Resumen!$B$3</f>
        <v>43689</v>
      </c>
    </row>
    <row r="139" spans="1:15" s="181" customFormat="1">
      <c r="A139" s="54" t="s">
        <v>130</v>
      </c>
      <c r="B139" s="53" t="s">
        <v>114</v>
      </c>
      <c r="C139" s="53" t="s">
        <v>86</v>
      </c>
      <c r="D139" s="53" t="s">
        <v>115</v>
      </c>
      <c r="E139" s="53" t="s">
        <v>168</v>
      </c>
      <c r="F139" s="53" t="s">
        <v>116</v>
      </c>
      <c r="G139" s="53" t="s">
        <v>119</v>
      </c>
      <c r="H139" s="142">
        <f>'Cuota Industrial'!K96</f>
        <v>4636.0029999999997</v>
      </c>
      <c r="I139" s="142">
        <f>'Cuota Industrial'!L96</f>
        <v>-4487.9610000000002</v>
      </c>
      <c r="J139" s="142">
        <f>'Cuota Industrial'!M96</f>
        <v>148.04199999999946</v>
      </c>
      <c r="K139" s="142">
        <f>'Cuota Industrial'!N96</f>
        <v>140.953</v>
      </c>
      <c r="L139" s="142">
        <f>'Cuota Industrial'!O96</f>
        <v>7.0889999999994586</v>
      </c>
      <c r="M139" s="173">
        <f>'Cuota Industrial'!P96</f>
        <v>0.95211494035476762</v>
      </c>
      <c r="N139" s="179" t="s">
        <v>154</v>
      </c>
      <c r="O139" s="180">
        <f>Resumen!$B$3</f>
        <v>43689</v>
      </c>
    </row>
    <row r="140" spans="1:15" s="181" customFormat="1">
      <c r="A140" s="54" t="s">
        <v>130</v>
      </c>
      <c r="B140" s="53" t="s">
        <v>114</v>
      </c>
      <c r="C140" s="53" t="s">
        <v>86</v>
      </c>
      <c r="D140" s="53" t="s">
        <v>115</v>
      </c>
      <c r="E140" s="53" t="s">
        <v>170</v>
      </c>
      <c r="F140" s="53" t="s">
        <v>116</v>
      </c>
      <c r="G140" s="53" t="s">
        <v>117</v>
      </c>
      <c r="H140" s="142">
        <f>'Cuota Industrial'!E98</f>
        <v>1.1180000000000001</v>
      </c>
      <c r="I140" s="142">
        <f>'Cuota Industrial'!F98</f>
        <v>0</v>
      </c>
      <c r="J140" s="142">
        <f>'Cuota Industrial'!G98</f>
        <v>1.1180000000000001</v>
      </c>
      <c r="K140" s="142">
        <f>'Cuota Industrial'!H98</f>
        <v>0</v>
      </c>
      <c r="L140" s="142">
        <f>'Cuota Industrial'!I98</f>
        <v>1.1180000000000001</v>
      </c>
      <c r="M140" s="173">
        <f>'Cuota Industrial'!J98</f>
        <v>0</v>
      </c>
      <c r="N140" s="179" t="s">
        <v>154</v>
      </c>
      <c r="O140" s="180">
        <f>Resumen!$B$3</f>
        <v>43689</v>
      </c>
    </row>
    <row r="141" spans="1:15" s="181" customFormat="1">
      <c r="A141" s="54" t="s">
        <v>130</v>
      </c>
      <c r="B141" s="53" t="s">
        <v>114</v>
      </c>
      <c r="C141" s="53" t="s">
        <v>86</v>
      </c>
      <c r="D141" s="53" t="s">
        <v>115</v>
      </c>
      <c r="E141" s="53" t="s">
        <v>170</v>
      </c>
      <c r="F141" s="53" t="s">
        <v>118</v>
      </c>
      <c r="G141" s="53" t="s">
        <v>119</v>
      </c>
      <c r="H141" s="142">
        <f>'Cuota Industrial'!E99</f>
        <v>2.3E-2</v>
      </c>
      <c r="I141" s="142">
        <f>'Cuota Industrial'!F99</f>
        <v>0</v>
      </c>
      <c r="J141" s="142">
        <f>'Cuota Industrial'!G99</f>
        <v>1.141</v>
      </c>
      <c r="K141" s="142">
        <f>'Cuota Industrial'!H99</f>
        <v>0</v>
      </c>
      <c r="L141" s="142">
        <f>'Cuota Industrial'!I99</f>
        <v>1.141</v>
      </c>
      <c r="M141" s="173">
        <f>'Cuota Industrial'!J99</f>
        <v>0</v>
      </c>
      <c r="N141" s="179" t="s">
        <v>154</v>
      </c>
      <c r="O141" s="180">
        <f>Resumen!$B$3</f>
        <v>43689</v>
      </c>
    </row>
    <row r="142" spans="1:15" s="181" customFormat="1">
      <c r="A142" s="54" t="s">
        <v>130</v>
      </c>
      <c r="B142" s="53" t="s">
        <v>114</v>
      </c>
      <c r="C142" s="53" t="s">
        <v>86</v>
      </c>
      <c r="D142" s="53" t="s">
        <v>115</v>
      </c>
      <c r="E142" s="53" t="s">
        <v>170</v>
      </c>
      <c r="F142" s="53" t="s">
        <v>116</v>
      </c>
      <c r="G142" s="53" t="s">
        <v>119</v>
      </c>
      <c r="H142" s="142">
        <f>'Cuota Industrial'!K98</f>
        <v>1.141</v>
      </c>
      <c r="I142" s="142">
        <f>'Cuota Industrial'!L98</f>
        <v>0</v>
      </c>
      <c r="J142" s="142">
        <f>'Cuota Industrial'!M98</f>
        <v>1.141</v>
      </c>
      <c r="K142" s="142">
        <f>'Cuota Industrial'!N98</f>
        <v>0</v>
      </c>
      <c r="L142" s="142">
        <f>'Cuota Industrial'!O98</f>
        <v>1.141</v>
      </c>
      <c r="M142" s="173">
        <f>'Cuota Industrial'!P98</f>
        <v>0</v>
      </c>
      <c r="N142" s="179" t="s">
        <v>154</v>
      </c>
      <c r="O142" s="180">
        <f>Resumen!$B$3</f>
        <v>43689</v>
      </c>
    </row>
    <row r="143" spans="1:15" s="181" customFormat="1">
      <c r="A143" s="54" t="s">
        <v>130</v>
      </c>
      <c r="B143" s="53" t="s">
        <v>114</v>
      </c>
      <c r="C143" s="53" t="s">
        <v>86</v>
      </c>
      <c r="D143" s="53" t="s">
        <v>115</v>
      </c>
      <c r="E143" s="53" t="s">
        <v>164</v>
      </c>
      <c r="F143" s="53" t="s">
        <v>116</v>
      </c>
      <c r="G143" s="53" t="s">
        <v>117</v>
      </c>
      <c r="H143" s="142">
        <f>'Cuota Industrial'!E100</f>
        <v>6827.2860000000001</v>
      </c>
      <c r="I143" s="142">
        <f>'Cuota Industrial'!F100</f>
        <v>-6300</v>
      </c>
      <c r="J143" s="142">
        <f>'Cuota Industrial'!G100</f>
        <v>527.28600000000006</v>
      </c>
      <c r="K143" s="142">
        <f>'Cuota Industrial'!H100</f>
        <v>463.654</v>
      </c>
      <c r="L143" s="142">
        <f>'Cuota Industrial'!I100</f>
        <v>63.632000000000062</v>
      </c>
      <c r="M143" s="173">
        <f>'Cuota Industrial'!J100</f>
        <v>0.87932165845480426</v>
      </c>
      <c r="N143" s="179" t="s">
        <v>154</v>
      </c>
      <c r="O143" s="180">
        <f>Resumen!$B$3</f>
        <v>43689</v>
      </c>
    </row>
    <row r="144" spans="1:15" s="181" customFormat="1">
      <c r="A144" s="54" t="s">
        <v>130</v>
      </c>
      <c r="B144" s="53" t="s">
        <v>114</v>
      </c>
      <c r="C144" s="53" t="s">
        <v>86</v>
      </c>
      <c r="D144" s="53" t="s">
        <v>115</v>
      </c>
      <c r="E144" s="53" t="s">
        <v>164</v>
      </c>
      <c r="F144" s="53" t="s">
        <v>118</v>
      </c>
      <c r="G144" s="53" t="s">
        <v>119</v>
      </c>
      <c r="H144" s="142">
        <f>'Cuota Industrial'!E101</f>
        <v>139.286</v>
      </c>
      <c r="I144" s="142">
        <f>'Cuota Industrial'!F101</f>
        <v>0</v>
      </c>
      <c r="J144" s="142">
        <f>'Cuota Industrial'!G101</f>
        <v>202.91800000000006</v>
      </c>
      <c r="K144" s="142">
        <f>'Cuota Industrial'!H101</f>
        <v>0</v>
      </c>
      <c r="L144" s="142">
        <f>'Cuota Industrial'!I101</f>
        <v>202.91800000000006</v>
      </c>
      <c r="M144" s="173">
        <f>'Cuota Industrial'!J101</f>
        <v>0</v>
      </c>
      <c r="N144" s="179" t="s">
        <v>154</v>
      </c>
      <c r="O144" s="180">
        <f>Resumen!$B$3</f>
        <v>43689</v>
      </c>
    </row>
    <row r="145" spans="1:15" s="181" customFormat="1">
      <c r="A145" s="54" t="s">
        <v>130</v>
      </c>
      <c r="B145" s="53" t="s">
        <v>114</v>
      </c>
      <c r="C145" s="53" t="s">
        <v>86</v>
      </c>
      <c r="D145" s="53" t="s">
        <v>115</v>
      </c>
      <c r="E145" s="53" t="s">
        <v>164</v>
      </c>
      <c r="F145" s="53" t="s">
        <v>116</v>
      </c>
      <c r="G145" s="53" t="s">
        <v>119</v>
      </c>
      <c r="H145" s="142">
        <f>'Cuota Industrial'!K100</f>
        <v>6966.5720000000001</v>
      </c>
      <c r="I145" s="142">
        <f>'Cuota Industrial'!L100</f>
        <v>-6300</v>
      </c>
      <c r="J145" s="142">
        <f>'Cuota Industrial'!M100</f>
        <v>666.57200000000012</v>
      </c>
      <c r="K145" s="142">
        <f>'Cuota Industrial'!N100</f>
        <v>463.654</v>
      </c>
      <c r="L145" s="142">
        <f>'Cuota Industrial'!O100</f>
        <v>202.91800000000012</v>
      </c>
      <c r="M145" s="173">
        <f>'Cuota Industrial'!P100</f>
        <v>0.69557977232767043</v>
      </c>
      <c r="N145" s="179" t="s">
        <v>154</v>
      </c>
      <c r="O145" s="180">
        <f>Resumen!$B$3</f>
        <v>43689</v>
      </c>
    </row>
    <row r="146" spans="1:15" s="181" customFormat="1">
      <c r="A146" s="54" t="s">
        <v>130</v>
      </c>
      <c r="B146" s="53" t="s">
        <v>114</v>
      </c>
      <c r="C146" s="53" t="s">
        <v>86</v>
      </c>
      <c r="D146" s="53" t="s">
        <v>115</v>
      </c>
      <c r="E146" s="53" t="s">
        <v>158</v>
      </c>
      <c r="F146" s="53" t="s">
        <v>116</v>
      </c>
      <c r="G146" s="53" t="s">
        <v>117</v>
      </c>
      <c r="H146" s="142">
        <f>'Cuota Industrial'!E102</f>
        <v>159.63800000000001</v>
      </c>
      <c r="I146" s="142">
        <f>'Cuota Industrial'!F102</f>
        <v>0</v>
      </c>
      <c r="J146" s="142">
        <f>'Cuota Industrial'!G102</f>
        <v>159.63800000000001</v>
      </c>
      <c r="K146" s="142">
        <f>'Cuota Industrial'!H102</f>
        <v>0</v>
      </c>
      <c r="L146" s="142">
        <f>'Cuota Industrial'!I102</f>
        <v>159.63800000000001</v>
      </c>
      <c r="M146" s="173">
        <f>'Cuota Industrial'!J102</f>
        <v>0</v>
      </c>
      <c r="N146" s="179" t="s">
        <v>154</v>
      </c>
      <c r="O146" s="180">
        <f>Resumen!$B$3</f>
        <v>43689</v>
      </c>
    </row>
    <row r="147" spans="1:15" s="181" customFormat="1">
      <c r="A147" s="54" t="s">
        <v>130</v>
      </c>
      <c r="B147" s="53" t="s">
        <v>114</v>
      </c>
      <c r="C147" s="53" t="s">
        <v>86</v>
      </c>
      <c r="D147" s="53" t="s">
        <v>115</v>
      </c>
      <c r="E147" s="53" t="s">
        <v>158</v>
      </c>
      <c r="F147" s="53" t="s">
        <v>118</v>
      </c>
      <c r="G147" s="53" t="s">
        <v>119</v>
      </c>
      <c r="H147" s="142">
        <f>'Cuota Industrial'!E103</f>
        <v>3.2570000000000001</v>
      </c>
      <c r="I147" s="142">
        <f>'Cuota Industrial'!F103</f>
        <v>0</v>
      </c>
      <c r="J147" s="142">
        <f>'Cuota Industrial'!G103</f>
        <v>162.89500000000001</v>
      </c>
      <c r="K147" s="142">
        <f>'Cuota Industrial'!H103</f>
        <v>0</v>
      </c>
      <c r="L147" s="142">
        <f>'Cuota Industrial'!I103</f>
        <v>162.89500000000001</v>
      </c>
      <c r="M147" s="173">
        <f>'Cuota Industrial'!J103</f>
        <v>0</v>
      </c>
      <c r="N147" s="179" t="s">
        <v>154</v>
      </c>
      <c r="O147" s="180">
        <f>Resumen!$B$3</f>
        <v>43689</v>
      </c>
    </row>
    <row r="148" spans="1:15" s="181" customFormat="1">
      <c r="A148" s="54" t="s">
        <v>130</v>
      </c>
      <c r="B148" s="53" t="s">
        <v>114</v>
      </c>
      <c r="C148" s="53" t="s">
        <v>86</v>
      </c>
      <c r="D148" s="53" t="s">
        <v>115</v>
      </c>
      <c r="E148" s="53" t="s">
        <v>158</v>
      </c>
      <c r="F148" s="53" t="s">
        <v>116</v>
      </c>
      <c r="G148" s="53" t="s">
        <v>119</v>
      </c>
      <c r="H148" s="142">
        <f>'Cuota Industrial'!K102</f>
        <v>162.89500000000001</v>
      </c>
      <c r="I148" s="142">
        <f>'Cuota Industrial'!L102</f>
        <v>0</v>
      </c>
      <c r="J148" s="142">
        <f>'Cuota Industrial'!M102</f>
        <v>162.89500000000001</v>
      </c>
      <c r="K148" s="142">
        <f>'Cuota Industrial'!N102</f>
        <v>0</v>
      </c>
      <c r="L148" s="142">
        <f>'Cuota Industrial'!O102</f>
        <v>162.89500000000001</v>
      </c>
      <c r="M148" s="173">
        <f>'Cuota Industrial'!P102</f>
        <v>0</v>
      </c>
      <c r="N148" s="179" t="s">
        <v>154</v>
      </c>
      <c r="O148" s="180">
        <f>Resumen!$B$3</f>
        <v>43689</v>
      </c>
    </row>
    <row r="149" spans="1:15" s="181" customFormat="1">
      <c r="A149" s="54" t="s">
        <v>130</v>
      </c>
      <c r="B149" s="53" t="s">
        <v>114</v>
      </c>
      <c r="C149" s="53" t="s">
        <v>86</v>
      </c>
      <c r="D149" s="53" t="s">
        <v>115</v>
      </c>
      <c r="E149" s="53" t="s">
        <v>127</v>
      </c>
      <c r="F149" s="53" t="s">
        <v>116</v>
      </c>
      <c r="G149" s="53" t="s">
        <v>117</v>
      </c>
      <c r="H149" s="142">
        <f>'Cuota Industrial'!E104</f>
        <v>2086.1790000000001</v>
      </c>
      <c r="I149" s="142">
        <f>'Cuota Industrial'!F104</f>
        <v>0</v>
      </c>
      <c r="J149" s="142">
        <f>'Cuota Industrial'!G104</f>
        <v>2086.1790000000001</v>
      </c>
      <c r="K149" s="142">
        <f>'Cuota Industrial'!H104</f>
        <v>2105.3029999999999</v>
      </c>
      <c r="L149" s="142">
        <f>'Cuota Industrial'!I104</f>
        <v>-19.123999999999796</v>
      </c>
      <c r="M149" s="173">
        <f>'Cuota Industrial'!J104</f>
        <v>1.0091669986132541</v>
      </c>
      <c r="N149" s="179" t="s">
        <v>154</v>
      </c>
      <c r="O149" s="180">
        <f>Resumen!$B$3</f>
        <v>43689</v>
      </c>
    </row>
    <row r="150" spans="1:15" s="181" customFormat="1">
      <c r="A150" s="54" t="s">
        <v>130</v>
      </c>
      <c r="B150" s="53" t="s">
        <v>114</v>
      </c>
      <c r="C150" s="53" t="s">
        <v>86</v>
      </c>
      <c r="D150" s="53" t="s">
        <v>115</v>
      </c>
      <c r="E150" s="53" t="s">
        <v>127</v>
      </c>
      <c r="F150" s="53" t="s">
        <v>118</v>
      </c>
      <c r="G150" s="53" t="s">
        <v>119</v>
      </c>
      <c r="H150" s="142">
        <f>'Cuota Industrial'!E105</f>
        <v>42.56</v>
      </c>
      <c r="I150" s="142">
        <f>'Cuota Industrial'!F105</f>
        <v>0</v>
      </c>
      <c r="J150" s="142">
        <f>'Cuota Industrial'!G105</f>
        <v>23.436000000000206</v>
      </c>
      <c r="K150" s="142">
        <f>'Cuota Industrial'!H105</f>
        <v>0</v>
      </c>
      <c r="L150" s="142">
        <f>'Cuota Industrial'!I105</f>
        <v>23.436000000000206</v>
      </c>
      <c r="M150" s="173">
        <f>'Cuota Industrial'!J105</f>
        <v>0</v>
      </c>
      <c r="N150" s="179" t="s">
        <v>154</v>
      </c>
      <c r="O150" s="180">
        <f>Resumen!$B$3</f>
        <v>43689</v>
      </c>
    </row>
    <row r="151" spans="1:15" s="181" customFormat="1">
      <c r="A151" s="54" t="s">
        <v>130</v>
      </c>
      <c r="B151" s="53" t="s">
        <v>114</v>
      </c>
      <c r="C151" s="53" t="s">
        <v>86</v>
      </c>
      <c r="D151" s="53" t="s">
        <v>115</v>
      </c>
      <c r="E151" s="53" t="s">
        <v>127</v>
      </c>
      <c r="F151" s="53" t="s">
        <v>116</v>
      </c>
      <c r="G151" s="53" t="s">
        <v>119</v>
      </c>
      <c r="H151" s="142">
        <f>'Cuota Industrial'!K104</f>
        <v>2128.739</v>
      </c>
      <c r="I151" s="142">
        <f>'Cuota Industrial'!L104</f>
        <v>0</v>
      </c>
      <c r="J151" s="142">
        <f>'Cuota Industrial'!M104</f>
        <v>2128.739</v>
      </c>
      <c r="K151" s="142">
        <f>'Cuota Industrial'!N104</f>
        <v>2105.3029999999999</v>
      </c>
      <c r="L151" s="142">
        <f>'Cuota Industrial'!O104</f>
        <v>23.436000000000149</v>
      </c>
      <c r="M151" s="173">
        <f>'Cuota Industrial'!P104</f>
        <v>0</v>
      </c>
      <c r="N151" s="179" t="s">
        <v>154</v>
      </c>
      <c r="O151" s="180">
        <f>Resumen!$B$3</f>
        <v>43689</v>
      </c>
    </row>
    <row r="152" spans="1:15" s="181" customFormat="1">
      <c r="A152" s="54" t="s">
        <v>130</v>
      </c>
      <c r="B152" s="53" t="s">
        <v>114</v>
      </c>
      <c r="C152" s="53" t="s">
        <v>86</v>
      </c>
      <c r="D152" s="53" t="s">
        <v>115</v>
      </c>
      <c r="E152" s="53" t="s">
        <v>165</v>
      </c>
      <c r="F152" s="53" t="s">
        <v>116</v>
      </c>
      <c r="G152" s="53" t="s">
        <v>117</v>
      </c>
      <c r="H152" s="142">
        <f>'Cuota Industrial'!E106</f>
        <v>3280.6950000000002</v>
      </c>
      <c r="I152" s="142">
        <f>'Cuota Industrial'!F106</f>
        <v>-3150</v>
      </c>
      <c r="J152" s="142">
        <f>'Cuota Industrial'!G106</f>
        <v>130.69500000000016</v>
      </c>
      <c r="K152" s="142">
        <f>'Cuota Industrial'!H106</f>
        <v>0</v>
      </c>
      <c r="L152" s="142">
        <f>'Cuota Industrial'!I106</f>
        <v>130.69500000000016</v>
      </c>
      <c r="M152" s="173">
        <f>'Cuota Industrial'!J106</f>
        <v>0</v>
      </c>
      <c r="N152" s="179" t="s">
        <v>154</v>
      </c>
      <c r="O152" s="180">
        <f>Resumen!$B$3</f>
        <v>43689</v>
      </c>
    </row>
    <row r="153" spans="1:15" s="181" customFormat="1">
      <c r="A153" s="54" t="s">
        <v>130</v>
      </c>
      <c r="B153" s="53" t="s">
        <v>114</v>
      </c>
      <c r="C153" s="53" t="s">
        <v>86</v>
      </c>
      <c r="D153" s="53" t="s">
        <v>115</v>
      </c>
      <c r="E153" s="53" t="s">
        <v>165</v>
      </c>
      <c r="F153" s="53" t="s">
        <v>118</v>
      </c>
      <c r="G153" s="53" t="s">
        <v>119</v>
      </c>
      <c r="H153" s="142">
        <f>'Cuota Industrial'!E107</f>
        <v>66.930999999999997</v>
      </c>
      <c r="I153" s="142">
        <f>'Cuota Industrial'!F107</f>
        <v>0</v>
      </c>
      <c r="J153" s="142">
        <f>'Cuota Industrial'!G107</f>
        <v>197.62600000000015</v>
      </c>
      <c r="K153" s="142">
        <f>'Cuota Industrial'!H107</f>
        <v>0</v>
      </c>
      <c r="L153" s="142">
        <f>'Cuota Industrial'!I107</f>
        <v>197.62600000000015</v>
      </c>
      <c r="M153" s="173">
        <f>'Cuota Industrial'!J107</f>
        <v>0</v>
      </c>
      <c r="N153" s="179" t="s">
        <v>154</v>
      </c>
      <c r="O153" s="180">
        <f>Resumen!$B$3</f>
        <v>43689</v>
      </c>
    </row>
    <row r="154" spans="1:15" s="181" customFormat="1">
      <c r="A154" s="54" t="s">
        <v>130</v>
      </c>
      <c r="B154" s="53" t="s">
        <v>114</v>
      </c>
      <c r="C154" s="53" t="s">
        <v>86</v>
      </c>
      <c r="D154" s="53" t="s">
        <v>115</v>
      </c>
      <c r="E154" s="53" t="s">
        <v>165</v>
      </c>
      <c r="F154" s="53" t="s">
        <v>116</v>
      </c>
      <c r="G154" s="53" t="s">
        <v>119</v>
      </c>
      <c r="H154" s="142">
        <f>'Cuota Industrial'!K106</f>
        <v>3347.6260000000002</v>
      </c>
      <c r="I154" s="142">
        <f>'Cuota Industrial'!L106</f>
        <v>-3150</v>
      </c>
      <c r="J154" s="142">
        <f>'Cuota Industrial'!M106</f>
        <v>197.6260000000002</v>
      </c>
      <c r="K154" s="142">
        <f>'Cuota Industrial'!N106</f>
        <v>0</v>
      </c>
      <c r="L154" s="142">
        <f>'Cuota Industrial'!O106</f>
        <v>197.6260000000002</v>
      </c>
      <c r="M154" s="173">
        <f>'Cuota Industrial'!P106</f>
        <v>0</v>
      </c>
      <c r="N154" s="179" t="s">
        <v>154</v>
      </c>
      <c r="O154" s="180">
        <f>Resumen!$B$3</f>
        <v>43689</v>
      </c>
    </row>
    <row r="155" spans="1:15" s="181" customFormat="1">
      <c r="A155" s="54" t="s">
        <v>130</v>
      </c>
      <c r="B155" s="53" t="s">
        <v>114</v>
      </c>
      <c r="C155" s="53" t="s">
        <v>86</v>
      </c>
      <c r="D155" s="53" t="s">
        <v>115</v>
      </c>
      <c r="E155" s="53" t="s">
        <v>90</v>
      </c>
      <c r="F155" s="53" t="s">
        <v>116</v>
      </c>
      <c r="G155" s="53" t="s">
        <v>117</v>
      </c>
      <c r="H155" s="142">
        <f>'Cuota Industrial'!E108</f>
        <v>0.28000000000000003</v>
      </c>
      <c r="I155" s="142">
        <f>'Cuota Industrial'!F108</f>
        <v>0</v>
      </c>
      <c r="J155" s="142">
        <f>'Cuota Industrial'!G108</f>
        <v>0.28000000000000003</v>
      </c>
      <c r="K155" s="142">
        <f>'Cuota Industrial'!H108</f>
        <v>0</v>
      </c>
      <c r="L155" s="142">
        <f>'Cuota Industrial'!I108</f>
        <v>0.28000000000000003</v>
      </c>
      <c r="M155" s="173">
        <f>'Cuota Industrial'!J108</f>
        <v>0</v>
      </c>
      <c r="N155" s="179" t="s">
        <v>154</v>
      </c>
      <c r="O155" s="180">
        <f>Resumen!$B$3</f>
        <v>43689</v>
      </c>
    </row>
    <row r="156" spans="1:15" s="181" customFormat="1">
      <c r="A156" s="54" t="s">
        <v>130</v>
      </c>
      <c r="B156" s="53" t="s">
        <v>114</v>
      </c>
      <c r="C156" s="53" t="s">
        <v>86</v>
      </c>
      <c r="D156" s="53" t="s">
        <v>115</v>
      </c>
      <c r="E156" s="53" t="s">
        <v>90</v>
      </c>
      <c r="F156" s="53" t="s">
        <v>118</v>
      </c>
      <c r="G156" s="53" t="s">
        <v>119</v>
      </c>
      <c r="H156" s="142">
        <f>'Cuota Industrial'!E109</f>
        <v>6.0000000000000001E-3</v>
      </c>
      <c r="I156" s="142">
        <f>'Cuota Industrial'!F109</f>
        <v>0</v>
      </c>
      <c r="J156" s="142">
        <f>'Cuota Industrial'!G109</f>
        <v>0.28600000000000003</v>
      </c>
      <c r="K156" s="142">
        <f>'Cuota Industrial'!H109</f>
        <v>0</v>
      </c>
      <c r="L156" s="142">
        <f>'Cuota Industrial'!I109</f>
        <v>0.28600000000000003</v>
      </c>
      <c r="M156" s="173">
        <f>'Cuota Industrial'!J109</f>
        <v>0</v>
      </c>
      <c r="N156" s="179" t="s">
        <v>154</v>
      </c>
      <c r="O156" s="180">
        <f>Resumen!$B$3</f>
        <v>43689</v>
      </c>
    </row>
    <row r="157" spans="1:15" s="181" customFormat="1">
      <c r="A157" s="54" t="s">
        <v>130</v>
      </c>
      <c r="B157" s="53" t="s">
        <v>114</v>
      </c>
      <c r="C157" s="53" t="s">
        <v>86</v>
      </c>
      <c r="D157" s="53" t="s">
        <v>115</v>
      </c>
      <c r="E157" s="53" t="s">
        <v>90</v>
      </c>
      <c r="F157" s="53" t="s">
        <v>116</v>
      </c>
      <c r="G157" s="53" t="s">
        <v>119</v>
      </c>
      <c r="H157" s="142">
        <f>'Cuota Industrial'!K108</f>
        <v>0.28600000000000003</v>
      </c>
      <c r="I157" s="142">
        <f>'Cuota Industrial'!L108</f>
        <v>0</v>
      </c>
      <c r="J157" s="142">
        <f>'Cuota Industrial'!M108</f>
        <v>0.28600000000000003</v>
      </c>
      <c r="K157" s="142">
        <f>'Cuota Industrial'!N108</f>
        <v>0</v>
      </c>
      <c r="L157" s="142">
        <f>'Cuota Industrial'!O108</f>
        <v>0.28600000000000003</v>
      </c>
      <c r="M157" s="173">
        <f>'Cuota Industrial'!P108</f>
        <v>0</v>
      </c>
      <c r="N157" s="179" t="s">
        <v>154</v>
      </c>
      <c r="O157" s="180">
        <f>Resumen!$B$3</f>
        <v>43689</v>
      </c>
    </row>
    <row r="158" spans="1:15" s="181" customFormat="1">
      <c r="A158" s="54" t="s">
        <v>130</v>
      </c>
      <c r="B158" s="53" t="s">
        <v>114</v>
      </c>
      <c r="C158" s="53" t="s">
        <v>86</v>
      </c>
      <c r="D158" s="53" t="s">
        <v>115</v>
      </c>
      <c r="E158" s="53" t="s">
        <v>161</v>
      </c>
      <c r="F158" s="53" t="s">
        <v>116</v>
      </c>
      <c r="G158" s="53" t="s">
        <v>117</v>
      </c>
      <c r="H158" s="142">
        <f>'Cuota Industrial'!E110</f>
        <v>2666.277</v>
      </c>
      <c r="I158" s="142">
        <f>'Cuota Industrial'!F110</f>
        <v>-2700.5619999999999</v>
      </c>
      <c r="J158" s="142">
        <f>'Cuota Industrial'!G110</f>
        <v>-34.284999999999854</v>
      </c>
      <c r="K158" s="142">
        <f>'Cuota Industrial'!H110</f>
        <v>0</v>
      </c>
      <c r="L158" s="142">
        <f>'Cuota Industrial'!I110</f>
        <v>-34.284999999999854</v>
      </c>
      <c r="M158" s="173">
        <f>'Cuota Industrial'!J110</f>
        <v>0</v>
      </c>
      <c r="N158" s="179" t="s">
        <v>154</v>
      </c>
      <c r="O158" s="180">
        <f>Resumen!$B$3</f>
        <v>43689</v>
      </c>
    </row>
    <row r="159" spans="1:15" s="181" customFormat="1">
      <c r="A159" s="54" t="s">
        <v>130</v>
      </c>
      <c r="B159" s="53" t="s">
        <v>114</v>
      </c>
      <c r="C159" s="53" t="s">
        <v>86</v>
      </c>
      <c r="D159" s="53" t="s">
        <v>115</v>
      </c>
      <c r="E159" s="53" t="s">
        <v>161</v>
      </c>
      <c r="F159" s="53" t="s">
        <v>118</v>
      </c>
      <c r="G159" s="53" t="s">
        <v>119</v>
      </c>
      <c r="H159" s="142">
        <f>'Cuota Industrial'!E111</f>
        <v>54.396000000000001</v>
      </c>
      <c r="I159" s="142">
        <f>'Cuota Industrial'!F111</f>
        <v>0</v>
      </c>
      <c r="J159" s="142">
        <f>'Cuota Industrial'!G111</f>
        <v>20.111000000000146</v>
      </c>
      <c r="K159" s="142">
        <f>'Cuota Industrial'!H111</f>
        <v>0</v>
      </c>
      <c r="L159" s="142">
        <f>'Cuota Industrial'!I111</f>
        <v>20.111000000000146</v>
      </c>
      <c r="M159" s="173">
        <f>'Cuota Industrial'!J111</f>
        <v>0</v>
      </c>
      <c r="N159" s="179" t="s">
        <v>154</v>
      </c>
      <c r="O159" s="180">
        <f>Resumen!$B$3</f>
        <v>43689</v>
      </c>
    </row>
    <row r="160" spans="1:15" s="181" customFormat="1">
      <c r="A160" s="54" t="s">
        <v>130</v>
      </c>
      <c r="B160" s="53" t="s">
        <v>114</v>
      </c>
      <c r="C160" s="53" t="s">
        <v>86</v>
      </c>
      <c r="D160" s="53" t="s">
        <v>115</v>
      </c>
      <c r="E160" s="53" t="s">
        <v>161</v>
      </c>
      <c r="F160" s="53" t="s">
        <v>116</v>
      </c>
      <c r="G160" s="53" t="s">
        <v>119</v>
      </c>
      <c r="H160" s="142">
        <f>'Cuota Industrial'!K110</f>
        <v>2720.6730000000002</v>
      </c>
      <c r="I160" s="142">
        <f>'Cuota Industrial'!L110</f>
        <v>-2700.5619999999999</v>
      </c>
      <c r="J160" s="142">
        <f>'Cuota Industrial'!M110</f>
        <v>20.111000000000331</v>
      </c>
      <c r="K160" s="142">
        <f>'Cuota Industrial'!N110</f>
        <v>0</v>
      </c>
      <c r="L160" s="142">
        <f>'Cuota Industrial'!O110</f>
        <v>20.111000000000331</v>
      </c>
      <c r="M160" s="173">
        <f>'Cuota Industrial'!P110</f>
        <v>0</v>
      </c>
      <c r="N160" s="179" t="s">
        <v>154</v>
      </c>
      <c r="O160" s="180">
        <f>Resumen!$B$3</f>
        <v>43689</v>
      </c>
    </row>
    <row r="161" spans="1:15" s="181" customFormat="1">
      <c r="A161" s="54" t="s">
        <v>130</v>
      </c>
      <c r="B161" s="53" t="s">
        <v>114</v>
      </c>
      <c r="C161" s="53" t="s">
        <v>86</v>
      </c>
      <c r="D161" s="53" t="s">
        <v>115</v>
      </c>
      <c r="E161" s="53" t="s">
        <v>167</v>
      </c>
      <c r="F161" s="53" t="s">
        <v>116</v>
      </c>
      <c r="G161" s="53" t="s">
        <v>117</v>
      </c>
      <c r="H161" s="142">
        <f>'Cuota Industrial'!E112</f>
        <v>1346.7139999999999</v>
      </c>
      <c r="I161" s="142">
        <f>'Cuota Industrial'!F112</f>
        <v>-206.84899999999999</v>
      </c>
      <c r="J161" s="142">
        <f>'Cuota Industrial'!G112</f>
        <v>1139.865</v>
      </c>
      <c r="K161" s="142">
        <f>'Cuota Industrial'!H112</f>
        <v>1147.3399999999999</v>
      </c>
      <c r="L161" s="142">
        <f>'Cuota Industrial'!I112</f>
        <v>-7.4749999999999091</v>
      </c>
      <c r="M161" s="173">
        <f>'Cuota Industrial'!J112</f>
        <v>1.0065577941247428</v>
      </c>
      <c r="N161" s="179" t="s">
        <v>154</v>
      </c>
      <c r="O161" s="180">
        <f>Resumen!$B$3</f>
        <v>43689</v>
      </c>
    </row>
    <row r="162" spans="1:15" s="181" customFormat="1">
      <c r="A162" s="54" t="s">
        <v>130</v>
      </c>
      <c r="B162" s="53" t="s">
        <v>114</v>
      </c>
      <c r="C162" s="53" t="s">
        <v>86</v>
      </c>
      <c r="D162" s="53" t="s">
        <v>115</v>
      </c>
      <c r="E162" s="53" t="s">
        <v>167</v>
      </c>
      <c r="F162" s="53" t="s">
        <v>118</v>
      </c>
      <c r="G162" s="53" t="s">
        <v>119</v>
      </c>
      <c r="H162" s="142">
        <f>'Cuota Industrial'!E113</f>
        <v>27.475000000000001</v>
      </c>
      <c r="I162" s="142">
        <f>'Cuota Industrial'!F113</f>
        <v>0</v>
      </c>
      <c r="J162" s="142">
        <f>'Cuota Industrial'!G113</f>
        <v>20.000000000000092</v>
      </c>
      <c r="K162" s="142">
        <f>'Cuota Industrial'!H113</f>
        <v>0</v>
      </c>
      <c r="L162" s="142">
        <f>'Cuota Industrial'!I113</f>
        <v>20.000000000000092</v>
      </c>
      <c r="M162" s="173">
        <f>'Cuota Industrial'!J113</f>
        <v>0</v>
      </c>
      <c r="N162" s="179" t="s">
        <v>154</v>
      </c>
      <c r="O162" s="180">
        <f>Resumen!$B$3</f>
        <v>43689</v>
      </c>
    </row>
    <row r="163" spans="1:15" s="181" customFormat="1">
      <c r="A163" s="54" t="s">
        <v>130</v>
      </c>
      <c r="B163" s="53" t="s">
        <v>114</v>
      </c>
      <c r="C163" s="53" t="s">
        <v>86</v>
      </c>
      <c r="D163" s="53" t="s">
        <v>115</v>
      </c>
      <c r="E163" s="53" t="s">
        <v>167</v>
      </c>
      <c r="F163" s="53" t="s">
        <v>116</v>
      </c>
      <c r="G163" s="53" t="s">
        <v>119</v>
      </c>
      <c r="H163" s="142">
        <f>'Cuota Industrial'!K112</f>
        <v>1374.1889999999999</v>
      </c>
      <c r="I163" s="142">
        <f>'Cuota Industrial'!L112</f>
        <v>-206.84899999999999</v>
      </c>
      <c r="J163" s="142">
        <f>'Cuota Industrial'!M112</f>
        <v>1167.3399999999999</v>
      </c>
      <c r="K163" s="142">
        <f>'Cuota Industrial'!N112</f>
        <v>1147.3399999999999</v>
      </c>
      <c r="L163" s="142">
        <f>'Cuota Industrial'!O112</f>
        <v>20</v>
      </c>
      <c r="M163" s="173">
        <f>'Cuota Industrial'!P112</f>
        <v>0.98286703102780681</v>
      </c>
      <c r="N163" s="179" t="s">
        <v>154</v>
      </c>
      <c r="O163" s="180">
        <f>Resumen!$B$3</f>
        <v>43689</v>
      </c>
    </row>
    <row r="164" spans="1:15" s="181" customFormat="1">
      <c r="A164" s="54" t="s">
        <v>130</v>
      </c>
      <c r="B164" s="53" t="s">
        <v>114</v>
      </c>
      <c r="C164" s="53" t="s">
        <v>86</v>
      </c>
      <c r="D164" s="53" t="s">
        <v>115</v>
      </c>
      <c r="E164" s="53" t="s">
        <v>160</v>
      </c>
      <c r="F164" s="53" t="s">
        <v>116</v>
      </c>
      <c r="G164" s="53" t="s">
        <v>117</v>
      </c>
      <c r="H164" s="142">
        <f>'Cuota Industrial'!E114</f>
        <v>8583.3160000000007</v>
      </c>
      <c r="I164" s="142">
        <f>'Cuota Industrial'!F114</f>
        <v>-8657.7459999999992</v>
      </c>
      <c r="J164" s="142">
        <f>'Cuota Industrial'!G114</f>
        <v>-74.429999999998472</v>
      </c>
      <c r="K164" s="142">
        <f>'Cuota Industrial'!H114</f>
        <v>0</v>
      </c>
      <c r="L164" s="142">
        <f>'Cuota Industrial'!I114</f>
        <v>-74.429999999998472</v>
      </c>
      <c r="M164" s="173">
        <f>'Cuota Industrial'!J114</f>
        <v>0</v>
      </c>
      <c r="N164" s="179" t="s">
        <v>154</v>
      </c>
      <c r="O164" s="180">
        <f>Resumen!$B$3</f>
        <v>43689</v>
      </c>
    </row>
    <row r="165" spans="1:15" s="181" customFormat="1">
      <c r="A165" s="54" t="s">
        <v>130</v>
      </c>
      <c r="B165" s="53" t="s">
        <v>114</v>
      </c>
      <c r="C165" s="53" t="s">
        <v>86</v>
      </c>
      <c r="D165" s="53" t="s">
        <v>115</v>
      </c>
      <c r="E165" s="53" t="s">
        <v>160</v>
      </c>
      <c r="F165" s="53" t="s">
        <v>118</v>
      </c>
      <c r="G165" s="53" t="s">
        <v>119</v>
      </c>
      <c r="H165" s="142">
        <f>'Cuota Industrial'!E115</f>
        <v>175.11399999999998</v>
      </c>
      <c r="I165" s="142">
        <f>'Cuota Industrial'!F115</f>
        <v>0</v>
      </c>
      <c r="J165" s="142">
        <f>'Cuota Industrial'!G115</f>
        <v>100.6840000000015</v>
      </c>
      <c r="K165" s="142">
        <f>'Cuota Industrial'!H115</f>
        <v>0</v>
      </c>
      <c r="L165" s="142">
        <f>'Cuota Industrial'!I115</f>
        <v>100.6840000000015</v>
      </c>
      <c r="M165" s="173">
        <f>'Cuota Industrial'!J115</f>
        <v>0</v>
      </c>
      <c r="N165" s="179" t="s">
        <v>154</v>
      </c>
      <c r="O165" s="180">
        <f>Resumen!$B$3</f>
        <v>43689</v>
      </c>
    </row>
    <row r="166" spans="1:15" s="181" customFormat="1">
      <c r="A166" s="54" t="s">
        <v>130</v>
      </c>
      <c r="B166" s="53" t="s">
        <v>114</v>
      </c>
      <c r="C166" s="53" t="s">
        <v>86</v>
      </c>
      <c r="D166" s="53" t="s">
        <v>115</v>
      </c>
      <c r="E166" s="53" t="s">
        <v>160</v>
      </c>
      <c r="F166" s="53" t="s">
        <v>116</v>
      </c>
      <c r="G166" s="53" t="s">
        <v>119</v>
      </c>
      <c r="H166" s="142">
        <f>'Cuota Industrial'!K114</f>
        <v>8758.43</v>
      </c>
      <c r="I166" s="142">
        <f>'Cuota Industrial'!L114</f>
        <v>-8657.7459999999992</v>
      </c>
      <c r="J166" s="142">
        <f>'Cuota Industrial'!M114</f>
        <v>100.68400000000111</v>
      </c>
      <c r="K166" s="142">
        <f>'Cuota Industrial'!N114</f>
        <v>0</v>
      </c>
      <c r="L166" s="142">
        <f>'Cuota Industrial'!O114</f>
        <v>100.68400000000111</v>
      </c>
      <c r="M166" s="173">
        <f>'Cuota Industrial'!P114</f>
        <v>0</v>
      </c>
      <c r="N166" s="179" t="s">
        <v>154</v>
      </c>
      <c r="O166" s="180">
        <f>Resumen!$B$3</f>
        <v>43689</v>
      </c>
    </row>
    <row r="167" spans="1:15" s="181" customFormat="1">
      <c r="A167" s="182" t="s">
        <v>130</v>
      </c>
      <c r="B167" s="53" t="s">
        <v>114</v>
      </c>
      <c r="C167" s="53" t="s">
        <v>86</v>
      </c>
      <c r="D167" s="53" t="s">
        <v>115</v>
      </c>
      <c r="E167" s="53" t="s">
        <v>25</v>
      </c>
      <c r="F167" s="53" t="s">
        <v>116</v>
      </c>
      <c r="G167" s="53" t="s">
        <v>117</v>
      </c>
      <c r="H167" s="142">
        <f>'Cuota Industrial'!E116</f>
        <v>55.222000000000001</v>
      </c>
      <c r="I167" s="142">
        <f>'Cuota Industrial'!F116</f>
        <v>0</v>
      </c>
      <c r="J167" s="142">
        <f>'Cuota Industrial'!G116</f>
        <v>55.222000000000001</v>
      </c>
      <c r="K167" s="142">
        <f>'Cuota Industrial'!H116</f>
        <v>0</v>
      </c>
      <c r="L167" s="142">
        <f>'Cuota Industrial'!I116</f>
        <v>55.222000000000001</v>
      </c>
      <c r="M167" s="173">
        <f>'Cuota Industrial'!J116</f>
        <v>0</v>
      </c>
      <c r="N167" s="179" t="s">
        <v>154</v>
      </c>
      <c r="O167" s="180">
        <f>Resumen!$B$3</f>
        <v>43689</v>
      </c>
    </row>
    <row r="168" spans="1:15" s="181" customFormat="1">
      <c r="A168" s="182" t="s">
        <v>130</v>
      </c>
      <c r="B168" s="53" t="s">
        <v>114</v>
      </c>
      <c r="C168" s="53" t="s">
        <v>86</v>
      </c>
      <c r="D168" s="53" t="s">
        <v>115</v>
      </c>
      <c r="E168" s="53" t="s">
        <v>25</v>
      </c>
      <c r="F168" s="53" t="s">
        <v>118</v>
      </c>
      <c r="G168" s="53" t="s">
        <v>119</v>
      </c>
      <c r="H168" s="142">
        <f>'Cuota Industrial'!E117</f>
        <v>1.127</v>
      </c>
      <c r="I168" s="142">
        <f>'Cuota Industrial'!F117</f>
        <v>0</v>
      </c>
      <c r="J168" s="142">
        <f>'Cuota Industrial'!G117</f>
        <v>56.349000000000004</v>
      </c>
      <c r="K168" s="142">
        <f>'Cuota Industrial'!H117</f>
        <v>0</v>
      </c>
      <c r="L168" s="142">
        <f>'Cuota Industrial'!I117</f>
        <v>56.349000000000004</v>
      </c>
      <c r="M168" s="173">
        <f>'Cuota Industrial'!J117</f>
        <v>0</v>
      </c>
      <c r="N168" s="179" t="s">
        <v>154</v>
      </c>
      <c r="O168" s="180">
        <f>Resumen!$B$3</f>
        <v>43689</v>
      </c>
    </row>
    <row r="169" spans="1:15" s="181" customFormat="1">
      <c r="A169" s="182" t="s">
        <v>130</v>
      </c>
      <c r="B169" s="53" t="s">
        <v>114</v>
      </c>
      <c r="C169" s="53" t="s">
        <v>86</v>
      </c>
      <c r="D169" s="53" t="s">
        <v>115</v>
      </c>
      <c r="E169" s="53" t="s">
        <v>25</v>
      </c>
      <c r="F169" s="53" t="s">
        <v>116</v>
      </c>
      <c r="G169" s="53" t="s">
        <v>119</v>
      </c>
      <c r="H169" s="142">
        <f>'Cuota Industrial'!K116</f>
        <v>56.349000000000004</v>
      </c>
      <c r="I169" s="142">
        <f>'Cuota Industrial'!L116</f>
        <v>0</v>
      </c>
      <c r="J169" s="142">
        <f>'Cuota Industrial'!M116</f>
        <v>56.349000000000004</v>
      </c>
      <c r="K169" s="142">
        <f>'Cuota Industrial'!N116</f>
        <v>0</v>
      </c>
      <c r="L169" s="142">
        <f>'Cuota Industrial'!O116</f>
        <v>56.349000000000004</v>
      </c>
      <c r="M169" s="173">
        <f>'Cuota Industrial'!P116</f>
        <v>0</v>
      </c>
      <c r="N169" s="179" t="s">
        <v>154</v>
      </c>
      <c r="O169" s="180">
        <f>Resumen!$B$3</f>
        <v>43689</v>
      </c>
    </row>
    <row r="170" spans="1:15" s="181" customFormat="1">
      <c r="A170" s="54" t="s">
        <v>130</v>
      </c>
      <c r="B170" s="53" t="s">
        <v>114</v>
      </c>
      <c r="C170" s="53" t="s">
        <v>86</v>
      </c>
      <c r="D170" s="53" t="s">
        <v>115</v>
      </c>
      <c r="E170" s="53" t="s">
        <v>27</v>
      </c>
      <c r="F170" s="53" t="s">
        <v>116</v>
      </c>
      <c r="G170" s="53" t="s">
        <v>117</v>
      </c>
      <c r="H170" s="142">
        <f>'Cuota Industrial'!E118</f>
        <v>98.67</v>
      </c>
      <c r="I170" s="142">
        <f>'Cuota Industrial'!F118</f>
        <v>-100.68300000000001</v>
      </c>
      <c r="J170" s="142">
        <f>'Cuota Industrial'!G118</f>
        <v>-2.0130000000000052</v>
      </c>
      <c r="K170" s="142">
        <f>'Cuota Industrial'!H118</f>
        <v>0</v>
      </c>
      <c r="L170" s="142">
        <f>'Cuota Industrial'!I118</f>
        <v>-2.0130000000000052</v>
      </c>
      <c r="M170" s="173">
        <f>'Cuota Industrial'!J118</f>
        <v>0</v>
      </c>
      <c r="N170" s="179" t="s">
        <v>154</v>
      </c>
      <c r="O170" s="180">
        <f>Resumen!$B$3</f>
        <v>43689</v>
      </c>
    </row>
    <row r="171" spans="1:15" s="181" customFormat="1">
      <c r="A171" s="54" t="s">
        <v>130</v>
      </c>
      <c r="B171" s="53" t="s">
        <v>114</v>
      </c>
      <c r="C171" s="53" t="s">
        <v>86</v>
      </c>
      <c r="D171" s="53" t="s">
        <v>115</v>
      </c>
      <c r="E171" s="53" t="s">
        <v>27</v>
      </c>
      <c r="F171" s="53" t="s">
        <v>118</v>
      </c>
      <c r="G171" s="53" t="s">
        <v>119</v>
      </c>
      <c r="H171" s="142">
        <f>'Cuota Industrial'!E119</f>
        <v>2.0129999999999999</v>
      </c>
      <c r="I171" s="142">
        <f>'Cuota Industrial'!F119</f>
        <v>0</v>
      </c>
      <c r="J171" s="142">
        <f>'Cuota Industrial'!G119</f>
        <v>0</v>
      </c>
      <c r="K171" s="142">
        <f>'Cuota Industrial'!H119</f>
        <v>0</v>
      </c>
      <c r="L171" s="142">
        <f>'Cuota Industrial'!I119</f>
        <v>0</v>
      </c>
      <c r="M171" s="173">
        <f>'Cuota Industrial'!J119</f>
        <v>0</v>
      </c>
      <c r="N171" s="179" t="s">
        <v>154</v>
      </c>
      <c r="O171" s="180">
        <f>Resumen!$B$3</f>
        <v>43689</v>
      </c>
    </row>
    <row r="172" spans="1:15" s="181" customFormat="1">
      <c r="A172" s="54" t="s">
        <v>130</v>
      </c>
      <c r="B172" s="53" t="s">
        <v>114</v>
      </c>
      <c r="C172" s="53" t="s">
        <v>86</v>
      </c>
      <c r="D172" s="53" t="s">
        <v>115</v>
      </c>
      <c r="E172" s="53" t="s">
        <v>27</v>
      </c>
      <c r="F172" s="53" t="s">
        <v>116</v>
      </c>
      <c r="G172" s="53" t="s">
        <v>119</v>
      </c>
      <c r="H172" s="142">
        <f>'Cuota Industrial'!K118</f>
        <v>100.68300000000001</v>
      </c>
      <c r="I172" s="142">
        <f>'Cuota Industrial'!L118</f>
        <v>-100.68300000000001</v>
      </c>
      <c r="J172" s="142">
        <f>'Cuota Industrial'!M118</f>
        <v>0</v>
      </c>
      <c r="K172" s="142">
        <f>'Cuota Industrial'!N118</f>
        <v>0</v>
      </c>
      <c r="L172" s="142">
        <f>'Cuota Industrial'!O118</f>
        <v>0</v>
      </c>
      <c r="M172" s="173">
        <f>'Cuota Industrial'!P118</f>
        <v>0</v>
      </c>
      <c r="N172" s="179" t="s">
        <v>154</v>
      </c>
      <c r="O172" s="180">
        <f>Resumen!$B$3</f>
        <v>43689</v>
      </c>
    </row>
    <row r="173" spans="1:15" s="181" customFormat="1">
      <c r="A173" s="54" t="s">
        <v>130</v>
      </c>
      <c r="B173" s="53" t="s">
        <v>114</v>
      </c>
      <c r="C173" s="53" t="s">
        <v>86</v>
      </c>
      <c r="D173" s="53" t="s">
        <v>115</v>
      </c>
      <c r="E173" s="53" t="s">
        <v>232</v>
      </c>
      <c r="F173" s="53" t="s">
        <v>116</v>
      </c>
      <c r="G173" s="53" t="s">
        <v>117</v>
      </c>
      <c r="H173" s="142">
        <f>'Cuota Industrial'!E120</f>
        <v>0</v>
      </c>
      <c r="I173" s="142">
        <f>'Cuota Industrial'!F120</f>
        <v>0</v>
      </c>
      <c r="J173" s="142">
        <f>'Cuota Industrial'!G120</f>
        <v>0</v>
      </c>
      <c r="K173" s="142">
        <f>'Cuota Industrial'!H120</f>
        <v>0</v>
      </c>
      <c r="L173" s="142">
        <f>'Cuota Industrial'!I120</f>
        <v>0</v>
      </c>
      <c r="M173" s="173">
        <f>'Cuota Industrial'!J120</f>
        <v>0</v>
      </c>
      <c r="N173" s="179" t="s">
        <v>154</v>
      </c>
      <c r="O173" s="180">
        <f>Resumen!$B$3</f>
        <v>43689</v>
      </c>
    </row>
    <row r="174" spans="1:15" s="181" customFormat="1">
      <c r="A174" s="54" t="s">
        <v>130</v>
      </c>
      <c r="B174" s="53" t="s">
        <v>114</v>
      </c>
      <c r="C174" s="53" t="s">
        <v>86</v>
      </c>
      <c r="D174" s="53" t="s">
        <v>115</v>
      </c>
      <c r="E174" s="53" t="s">
        <v>232</v>
      </c>
      <c r="F174" s="53" t="s">
        <v>118</v>
      </c>
      <c r="G174" s="53" t="s">
        <v>119</v>
      </c>
      <c r="H174" s="142">
        <f>'Cuota Industrial'!E121</f>
        <v>0</v>
      </c>
      <c r="I174" s="142">
        <f>'Cuota Industrial'!F121</f>
        <v>0</v>
      </c>
      <c r="J174" s="142">
        <f>'Cuota Industrial'!G121</f>
        <v>0</v>
      </c>
      <c r="K174" s="142">
        <f>'Cuota Industrial'!H121</f>
        <v>0</v>
      </c>
      <c r="L174" s="142">
        <f>'Cuota Industrial'!I121</f>
        <v>0</v>
      </c>
      <c r="M174" s="173">
        <f>'Cuota Industrial'!J121</f>
        <v>0</v>
      </c>
      <c r="N174" s="179" t="s">
        <v>154</v>
      </c>
      <c r="O174" s="180">
        <f>Resumen!$B$3</f>
        <v>43689</v>
      </c>
    </row>
    <row r="175" spans="1:15" s="181" customFormat="1">
      <c r="A175" s="54" t="s">
        <v>130</v>
      </c>
      <c r="B175" s="53" t="s">
        <v>114</v>
      </c>
      <c r="C175" s="53" t="s">
        <v>86</v>
      </c>
      <c r="D175" s="53" t="s">
        <v>115</v>
      </c>
      <c r="E175" s="53" t="s">
        <v>232</v>
      </c>
      <c r="F175" s="53" t="s">
        <v>116</v>
      </c>
      <c r="G175" s="53" t="s">
        <v>119</v>
      </c>
      <c r="H175" s="142">
        <f>'Cuota Industrial'!K120</f>
        <v>0</v>
      </c>
      <c r="I175" s="142">
        <f>'Cuota Industrial'!L120</f>
        <v>0</v>
      </c>
      <c r="J175" s="142">
        <f>'Cuota Industrial'!M120</f>
        <v>0</v>
      </c>
      <c r="K175" s="142">
        <f>'Cuota Industrial'!N120</f>
        <v>0</v>
      </c>
      <c r="L175" s="142">
        <f>'Cuota Industrial'!O120</f>
        <v>0</v>
      </c>
      <c r="M175" s="173">
        <f>'Cuota Industrial'!P120</f>
        <v>0</v>
      </c>
      <c r="N175" s="179" t="s">
        <v>154</v>
      </c>
      <c r="O175" s="180">
        <f>Resumen!$B$3</f>
        <v>43689</v>
      </c>
    </row>
    <row r="176" spans="1:15" s="181" customFormat="1">
      <c r="A176" s="54" t="s">
        <v>130</v>
      </c>
      <c r="B176" s="53" t="s">
        <v>114</v>
      </c>
      <c r="C176" s="53" t="s">
        <v>86</v>
      </c>
      <c r="D176" s="53" t="s">
        <v>115</v>
      </c>
      <c r="E176" s="53" t="s">
        <v>230</v>
      </c>
      <c r="F176" s="53" t="s">
        <v>116</v>
      </c>
      <c r="G176" s="53" t="s">
        <v>117</v>
      </c>
      <c r="H176" s="142">
        <f>'Cuota Industrial'!E122</f>
        <v>0</v>
      </c>
      <c r="I176" s="142">
        <f>'Cuota Industrial'!F122</f>
        <v>0</v>
      </c>
      <c r="J176" s="142">
        <f>'Cuota Industrial'!G122</f>
        <v>0</v>
      </c>
      <c r="K176" s="142">
        <f>'Cuota Industrial'!H122</f>
        <v>0</v>
      </c>
      <c r="L176" s="142">
        <f>'Cuota Industrial'!I122</f>
        <v>0</v>
      </c>
      <c r="M176" s="173">
        <f>'Cuota Industrial'!J122</f>
        <v>0</v>
      </c>
      <c r="N176" s="179" t="s">
        <v>154</v>
      </c>
      <c r="O176" s="180">
        <f>Resumen!$B$3</f>
        <v>43689</v>
      </c>
    </row>
    <row r="177" spans="1:15" s="181" customFormat="1">
      <c r="A177" s="54" t="s">
        <v>130</v>
      </c>
      <c r="B177" s="53" t="s">
        <v>114</v>
      </c>
      <c r="C177" s="53" t="s">
        <v>86</v>
      </c>
      <c r="D177" s="53" t="s">
        <v>115</v>
      </c>
      <c r="E177" s="53" t="s">
        <v>230</v>
      </c>
      <c r="F177" s="53" t="s">
        <v>118</v>
      </c>
      <c r="G177" s="53" t="s">
        <v>119</v>
      </c>
      <c r="H177" s="142">
        <f>'Cuota Industrial'!E123</f>
        <v>0</v>
      </c>
      <c r="I177" s="142">
        <f>'Cuota Industrial'!F123</f>
        <v>0</v>
      </c>
      <c r="J177" s="142">
        <f>'Cuota Industrial'!G123</f>
        <v>0</v>
      </c>
      <c r="K177" s="142">
        <f>'Cuota Industrial'!H123</f>
        <v>0</v>
      </c>
      <c r="L177" s="142">
        <f>'Cuota Industrial'!I123</f>
        <v>0</v>
      </c>
      <c r="M177" s="173">
        <f>'Cuota Industrial'!J123</f>
        <v>0</v>
      </c>
      <c r="N177" s="179" t="s">
        <v>154</v>
      </c>
      <c r="O177" s="180">
        <f>Resumen!$B$3</f>
        <v>43689</v>
      </c>
    </row>
    <row r="178" spans="1:15" s="181" customFormat="1">
      <c r="A178" s="54" t="s">
        <v>130</v>
      </c>
      <c r="B178" s="53" t="s">
        <v>114</v>
      </c>
      <c r="C178" s="53" t="s">
        <v>86</v>
      </c>
      <c r="D178" s="53" t="s">
        <v>115</v>
      </c>
      <c r="E178" s="53" t="s">
        <v>230</v>
      </c>
      <c r="F178" s="53" t="s">
        <v>116</v>
      </c>
      <c r="G178" s="53" t="s">
        <v>119</v>
      </c>
      <c r="H178" s="142">
        <f>'Cuota Industrial'!K122</f>
        <v>0</v>
      </c>
      <c r="I178" s="142">
        <f>'Cuota Industrial'!L122</f>
        <v>0</v>
      </c>
      <c r="J178" s="142">
        <f>'Cuota Industrial'!M122</f>
        <v>0</v>
      </c>
      <c r="K178" s="142">
        <f>'Cuota Industrial'!N122</f>
        <v>0</v>
      </c>
      <c r="L178" s="142">
        <f>'Cuota Industrial'!O122</f>
        <v>0</v>
      </c>
      <c r="M178" s="173">
        <f>'Cuota Industrial'!P122</f>
        <v>0</v>
      </c>
      <c r="N178" s="179" t="s">
        <v>154</v>
      </c>
      <c r="O178" s="180">
        <f>Resumen!$B$3</f>
        <v>43689</v>
      </c>
    </row>
    <row r="179" spans="1:15" s="181" customFormat="1">
      <c r="A179" s="54" t="s">
        <v>113</v>
      </c>
      <c r="B179" s="53" t="s">
        <v>114</v>
      </c>
      <c r="C179" s="53" t="s">
        <v>131</v>
      </c>
      <c r="D179" s="53" t="s">
        <v>120</v>
      </c>
      <c r="E179" s="53" t="s">
        <v>121</v>
      </c>
      <c r="F179" s="53" t="s">
        <v>116</v>
      </c>
      <c r="G179" s="53" t="s">
        <v>117</v>
      </c>
      <c r="H179" s="142">
        <f>'Cuota Artesanal'!E7</f>
        <v>1260</v>
      </c>
      <c r="I179" s="142">
        <f>'Cuota Artesanal'!F7</f>
        <v>0</v>
      </c>
      <c r="J179" s="142">
        <f>'Cuota Artesanal'!G7</f>
        <v>1260</v>
      </c>
      <c r="K179" s="142">
        <f>'Cuota Artesanal'!H7</f>
        <v>1.0940000000000001</v>
      </c>
      <c r="L179" s="142">
        <f>'Cuota Artesanal'!I7</f>
        <v>1258.9059999999999</v>
      </c>
      <c r="M179" s="173">
        <f>'Cuota Artesanal'!J7</f>
        <v>8.6825396825396836E-4</v>
      </c>
      <c r="N179" s="179" t="str">
        <f>'Cuota Artesanal'!Q7</f>
        <v>-</v>
      </c>
      <c r="O179" s="180">
        <f>Resumen!$B$3</f>
        <v>43689</v>
      </c>
    </row>
    <row r="180" spans="1:15" s="181" customFormat="1">
      <c r="A180" s="54" t="s">
        <v>113</v>
      </c>
      <c r="B180" s="53" t="s">
        <v>114</v>
      </c>
      <c r="C180" s="53" t="s">
        <v>131</v>
      </c>
      <c r="D180" s="53" t="s">
        <v>120</v>
      </c>
      <c r="E180" s="53" t="s">
        <v>121</v>
      </c>
      <c r="F180" s="53" t="s">
        <v>118</v>
      </c>
      <c r="G180" s="53" t="s">
        <v>119</v>
      </c>
      <c r="H180" s="142">
        <f>'Cuota Artesanal'!E8</f>
        <v>66</v>
      </c>
      <c r="I180" s="142">
        <f>'Cuota Artesanal'!F8</f>
        <v>0</v>
      </c>
      <c r="J180" s="142">
        <f>'Cuota Artesanal'!G8</f>
        <v>1324.9059999999999</v>
      </c>
      <c r="K180" s="142">
        <f>'Cuota Artesanal'!H8</f>
        <v>0</v>
      </c>
      <c r="L180" s="142">
        <f>'Cuota Artesanal'!I8</f>
        <v>1324.9059999999999</v>
      </c>
      <c r="M180" s="173">
        <f>'Cuota Artesanal'!J8</f>
        <v>0</v>
      </c>
      <c r="N180" s="179" t="str">
        <f>'Cuota Artesanal'!Q8</f>
        <v>-</v>
      </c>
      <c r="O180" s="180">
        <f>Resumen!$B$3</f>
        <v>43689</v>
      </c>
    </row>
    <row r="181" spans="1:15" s="181" customFormat="1">
      <c r="A181" s="54" t="s">
        <v>113</v>
      </c>
      <c r="B181" s="53" t="s">
        <v>114</v>
      </c>
      <c r="C181" s="53" t="s">
        <v>131</v>
      </c>
      <c r="D181" s="53" t="s">
        <v>120</v>
      </c>
      <c r="E181" s="53" t="s">
        <v>121</v>
      </c>
      <c r="F181" s="53" t="s">
        <v>116</v>
      </c>
      <c r="G181" s="53" t="s">
        <v>119</v>
      </c>
      <c r="H181" s="142">
        <f>'Cuota Artesanal'!K7</f>
        <v>1326</v>
      </c>
      <c r="I181" s="142">
        <f>'Cuota Artesanal'!L7</f>
        <v>0</v>
      </c>
      <c r="J181" s="142">
        <f>'Cuota Artesanal'!M7</f>
        <v>1326</v>
      </c>
      <c r="K181" s="142">
        <f>'Cuota Artesanal'!N7</f>
        <v>1.0940000000000001</v>
      </c>
      <c r="L181" s="142">
        <f>'Cuota Artesanal'!O7</f>
        <v>1324.9059999999999</v>
      </c>
      <c r="M181" s="173">
        <f>'Cuota Artesanal'!P7</f>
        <v>8.2503770739064859E-4</v>
      </c>
      <c r="N181" s="179" t="s">
        <v>154</v>
      </c>
      <c r="O181" s="180">
        <f>Resumen!$B$3</f>
        <v>43689</v>
      </c>
    </row>
    <row r="182" spans="1:15" s="181" customFormat="1">
      <c r="A182" s="54" t="s">
        <v>113</v>
      </c>
      <c r="B182" s="53" t="s">
        <v>114</v>
      </c>
      <c r="C182" s="53" t="s">
        <v>35</v>
      </c>
      <c r="D182" s="53" t="s">
        <v>122</v>
      </c>
      <c r="E182" s="53" t="s">
        <v>123</v>
      </c>
      <c r="F182" s="53" t="s">
        <v>116</v>
      </c>
      <c r="G182" s="53" t="s">
        <v>117</v>
      </c>
      <c r="H182" s="142">
        <f>'Cuota Artesanal'!E10</f>
        <v>1260</v>
      </c>
      <c r="I182" s="142">
        <f>'Cuota Artesanal'!F10</f>
        <v>0</v>
      </c>
      <c r="J182" s="142">
        <f>'Cuota Artesanal'!G10</f>
        <v>1260</v>
      </c>
      <c r="K182" s="142">
        <f>'Cuota Artesanal'!H10</f>
        <v>32.582000000000001</v>
      </c>
      <c r="L182" s="142">
        <f>'Cuota Artesanal'!I10</f>
        <v>1227.4179999999999</v>
      </c>
      <c r="M182" s="173">
        <f>'Cuota Artesanal'!J10</f>
        <v>2.5858730158730161E-2</v>
      </c>
      <c r="N182" s="179" t="str">
        <f>'Cuota Artesanal'!Q10</f>
        <v>-</v>
      </c>
      <c r="O182" s="180">
        <f>Resumen!$B$3</f>
        <v>43689</v>
      </c>
    </row>
    <row r="183" spans="1:15" s="181" customFormat="1">
      <c r="A183" s="54" t="s">
        <v>113</v>
      </c>
      <c r="B183" s="53" t="s">
        <v>114</v>
      </c>
      <c r="C183" s="53" t="s">
        <v>35</v>
      </c>
      <c r="D183" s="53" t="s">
        <v>122</v>
      </c>
      <c r="E183" s="53" t="s">
        <v>123</v>
      </c>
      <c r="F183" s="53" t="s">
        <v>118</v>
      </c>
      <c r="G183" s="53" t="s">
        <v>119</v>
      </c>
      <c r="H183" s="142">
        <f>'Cuota Artesanal'!E11</f>
        <v>66</v>
      </c>
      <c r="I183" s="142">
        <f>'Cuota Artesanal'!F11</f>
        <v>0</v>
      </c>
      <c r="J183" s="142">
        <f>'Cuota Artesanal'!G11</f>
        <v>1293.4179999999999</v>
      </c>
      <c r="K183" s="142">
        <f>'Cuota Artesanal'!H11</f>
        <v>0</v>
      </c>
      <c r="L183" s="142">
        <f>'Cuota Artesanal'!I11</f>
        <v>1293.4179999999999</v>
      </c>
      <c r="M183" s="173">
        <f>'Cuota Artesanal'!J11</f>
        <v>0</v>
      </c>
      <c r="N183" s="179" t="str">
        <f>'Cuota Artesanal'!Q11</f>
        <v>-</v>
      </c>
      <c r="O183" s="180">
        <f>Resumen!$B$3</f>
        <v>43689</v>
      </c>
    </row>
    <row r="184" spans="1:15" s="181" customFormat="1">
      <c r="A184" s="54" t="s">
        <v>113</v>
      </c>
      <c r="B184" s="53" t="s">
        <v>114</v>
      </c>
      <c r="C184" s="53" t="s">
        <v>35</v>
      </c>
      <c r="D184" s="53" t="s">
        <v>122</v>
      </c>
      <c r="E184" s="53" t="s">
        <v>123</v>
      </c>
      <c r="F184" s="53" t="s">
        <v>116</v>
      </c>
      <c r="G184" s="53" t="s">
        <v>119</v>
      </c>
      <c r="H184" s="142">
        <f>'Cuota Artesanal'!K7</f>
        <v>1326</v>
      </c>
      <c r="I184" s="142">
        <f>'Cuota Artesanal'!L10</f>
        <v>0</v>
      </c>
      <c r="J184" s="142">
        <f>'Cuota Artesanal'!M10</f>
        <v>1326</v>
      </c>
      <c r="K184" s="142">
        <f>'Cuota Artesanal'!N10</f>
        <v>32.582000000000001</v>
      </c>
      <c r="L184" s="142">
        <f>'Cuota Artesanal'!O10</f>
        <v>1293.4179999999999</v>
      </c>
      <c r="M184" s="173">
        <f>'Cuota Artesanal'!P10</f>
        <v>2.4571644042232277E-2</v>
      </c>
      <c r="N184" s="179" t="s">
        <v>154</v>
      </c>
      <c r="O184" s="180">
        <f>Resumen!$B$3</f>
        <v>43689</v>
      </c>
    </row>
    <row r="185" spans="1:15" s="181" customFormat="1">
      <c r="A185" s="54" t="s">
        <v>125</v>
      </c>
      <c r="B185" s="53" t="s">
        <v>114</v>
      </c>
      <c r="C185" s="53" t="s">
        <v>36</v>
      </c>
      <c r="D185" s="53" t="s">
        <v>122</v>
      </c>
      <c r="E185" s="53" t="s">
        <v>134</v>
      </c>
      <c r="F185" s="53" t="s">
        <v>116</v>
      </c>
      <c r="G185" s="53" t="s">
        <v>117</v>
      </c>
      <c r="H185" s="142">
        <f>'Cuota Artesanal'!E15</f>
        <v>3531</v>
      </c>
      <c r="I185" s="142">
        <f>'Cuota Artesanal'!F15</f>
        <v>0</v>
      </c>
      <c r="J185" s="142">
        <f>'Cuota Artesanal'!G10</f>
        <v>1260</v>
      </c>
      <c r="K185" s="142">
        <f>'Cuota Artesanal'!H15</f>
        <v>3217.8240000000001</v>
      </c>
      <c r="L185" s="142">
        <f>'Cuota Artesanal'!I15</f>
        <v>313.17599999999993</v>
      </c>
      <c r="M185" s="173">
        <f>'Cuota Artesanal'!J15</f>
        <v>0.91130671197960922</v>
      </c>
      <c r="N185" s="179" t="str">
        <f>'Cuota Artesanal'!Q15</f>
        <v>-</v>
      </c>
      <c r="O185" s="180">
        <f>Resumen!$B$3</f>
        <v>43689</v>
      </c>
    </row>
    <row r="186" spans="1:15" s="181" customFormat="1">
      <c r="A186" s="54" t="s">
        <v>125</v>
      </c>
      <c r="B186" s="53" t="s">
        <v>114</v>
      </c>
      <c r="C186" s="53" t="s">
        <v>36</v>
      </c>
      <c r="D186" s="53" t="s">
        <v>122</v>
      </c>
      <c r="E186" s="53" t="s">
        <v>134</v>
      </c>
      <c r="F186" s="53" t="s">
        <v>118</v>
      </c>
      <c r="G186" s="53" t="s">
        <v>119</v>
      </c>
      <c r="H186" s="142">
        <f>'Cuota Artesanal'!E16</f>
        <v>0</v>
      </c>
      <c r="I186" s="142">
        <f>'Cuota Artesanal'!F16</f>
        <v>0</v>
      </c>
      <c r="J186" s="142">
        <f>'Cuota Artesanal'!G16</f>
        <v>0</v>
      </c>
      <c r="K186" s="142">
        <f>'Cuota Artesanal'!H16</f>
        <v>0</v>
      </c>
      <c r="L186" s="142">
        <f>'Cuota Artesanal'!I16</f>
        <v>0</v>
      </c>
      <c r="M186" s="173">
        <f>'Cuota Artesanal'!J16</f>
        <v>0</v>
      </c>
      <c r="N186" s="179" t="str">
        <f>'Cuota Artesanal'!Q16</f>
        <v>-</v>
      </c>
      <c r="O186" s="180">
        <f>Resumen!$B$3</f>
        <v>43689</v>
      </c>
    </row>
    <row r="187" spans="1:15" s="181" customFormat="1">
      <c r="A187" s="54" t="s">
        <v>125</v>
      </c>
      <c r="B187" s="53" t="s">
        <v>114</v>
      </c>
      <c r="C187" s="53" t="s">
        <v>36</v>
      </c>
      <c r="D187" s="53" t="s">
        <v>122</v>
      </c>
      <c r="E187" s="53" t="s">
        <v>134</v>
      </c>
      <c r="F187" s="53" t="s">
        <v>116</v>
      </c>
      <c r="G187" s="53" t="s">
        <v>119</v>
      </c>
      <c r="H187" s="142">
        <f>'Cuota Artesanal'!K15</f>
        <v>3531</v>
      </c>
      <c r="I187" s="142">
        <f>'Cuota Artesanal'!L15</f>
        <v>0</v>
      </c>
      <c r="J187" s="142">
        <f>'Cuota Artesanal'!M15</f>
        <v>3531</v>
      </c>
      <c r="K187" s="142">
        <f>'Cuota Artesanal'!N15</f>
        <v>3217.8240000000001</v>
      </c>
      <c r="L187" s="142">
        <f>'Cuota Artesanal'!O15</f>
        <v>313.17599999999993</v>
      </c>
      <c r="M187" s="173">
        <f>'Cuota Artesanal'!P15</f>
        <v>0.91130671197960922</v>
      </c>
      <c r="N187" s="179" t="s">
        <v>154</v>
      </c>
      <c r="O187" s="180">
        <f>Resumen!$B$3</f>
        <v>43689</v>
      </c>
    </row>
    <row r="188" spans="1:15" s="181" customFormat="1" ht="45">
      <c r="A188" s="54" t="s">
        <v>125</v>
      </c>
      <c r="B188" s="53" t="s">
        <v>114</v>
      </c>
      <c r="C188" s="53" t="s">
        <v>135</v>
      </c>
      <c r="D188" s="53" t="s">
        <v>155</v>
      </c>
      <c r="E188" s="183" t="s">
        <v>171</v>
      </c>
      <c r="F188" s="53" t="s">
        <v>116</v>
      </c>
      <c r="G188" s="53" t="s">
        <v>117</v>
      </c>
      <c r="H188" s="142">
        <f>'Cuota Artesanal'!E18</f>
        <v>1154.201</v>
      </c>
      <c r="I188" s="142">
        <f>'Cuota Artesanal'!F18</f>
        <v>0</v>
      </c>
      <c r="J188" s="142">
        <f>'Cuota Artesanal'!G18</f>
        <v>1154.201</v>
      </c>
      <c r="K188" s="142">
        <f>'Cuota Artesanal'!H18</f>
        <v>68.831999999999994</v>
      </c>
      <c r="L188" s="142">
        <f>'Cuota Artesanal'!I18</f>
        <v>1085.3690000000001</v>
      </c>
      <c r="M188" s="173">
        <f>'Cuota Artesanal'!J18</f>
        <v>5.9636059923704791E-2</v>
      </c>
      <c r="N188" s="179" t="str">
        <f>'Cuota Artesanal'!Q18</f>
        <v>-</v>
      </c>
      <c r="O188" s="180">
        <f>Resumen!$B$3</f>
        <v>43689</v>
      </c>
    </row>
    <row r="189" spans="1:15" s="181" customFormat="1" ht="45">
      <c r="A189" s="54" t="s">
        <v>125</v>
      </c>
      <c r="B189" s="53" t="s">
        <v>114</v>
      </c>
      <c r="C189" s="53" t="s">
        <v>135</v>
      </c>
      <c r="D189" s="53" t="s">
        <v>155</v>
      </c>
      <c r="E189" s="184" t="s">
        <v>171</v>
      </c>
      <c r="F189" s="53" t="s">
        <v>118</v>
      </c>
      <c r="G189" s="53" t="s">
        <v>119</v>
      </c>
      <c r="H189" s="142">
        <f>'Cuota Artesanal'!E19</f>
        <v>60.74</v>
      </c>
      <c r="I189" s="142">
        <f>'Cuota Artesanal'!F19</f>
        <v>0</v>
      </c>
      <c r="J189" s="142">
        <f>'Cuota Artesanal'!G19</f>
        <v>1146.1090000000002</v>
      </c>
      <c r="K189" s="142">
        <f>'Cuota Artesanal'!H19</f>
        <v>0</v>
      </c>
      <c r="L189" s="142">
        <f>'Cuota Artesanal'!I19</f>
        <v>1146.1090000000002</v>
      </c>
      <c r="M189" s="173">
        <f>'Cuota Artesanal'!J19</f>
        <v>0</v>
      </c>
      <c r="N189" s="179" t="str">
        <f>'Cuota Artesanal'!Q19</f>
        <v>-</v>
      </c>
      <c r="O189" s="180">
        <f>Resumen!$B$3</f>
        <v>43689</v>
      </c>
    </row>
    <row r="190" spans="1:15" s="181" customFormat="1" ht="45">
      <c r="A190" s="54" t="s">
        <v>125</v>
      </c>
      <c r="B190" s="53" t="s">
        <v>114</v>
      </c>
      <c r="C190" s="53" t="s">
        <v>135</v>
      </c>
      <c r="D190" s="53" t="s">
        <v>155</v>
      </c>
      <c r="E190" s="184" t="s">
        <v>171</v>
      </c>
      <c r="F190" s="53" t="s">
        <v>116</v>
      </c>
      <c r="G190" s="53" t="s">
        <v>119</v>
      </c>
      <c r="H190" s="142">
        <f>'Cuota Artesanal'!K18</f>
        <v>1214.941</v>
      </c>
      <c r="I190" s="142">
        <f>'Cuota Artesanal'!L18</f>
        <v>0</v>
      </c>
      <c r="J190" s="142">
        <f>'Cuota Artesanal'!M18</f>
        <v>1214.941</v>
      </c>
      <c r="K190" s="142">
        <f>'Cuota Artesanal'!N18</f>
        <v>68.831999999999994</v>
      </c>
      <c r="L190" s="142">
        <f>'Cuota Artesanal'!O18</f>
        <v>1146.1089999999999</v>
      </c>
      <c r="M190" s="173">
        <f>'Cuota Artesanal'!P18</f>
        <v>5.6654602980720871E-2</v>
      </c>
      <c r="N190" s="179" t="s">
        <v>154</v>
      </c>
      <c r="O190" s="180">
        <f>Resumen!$B$3</f>
        <v>43689</v>
      </c>
    </row>
    <row r="191" spans="1:15" s="181" customFormat="1" ht="30">
      <c r="A191" s="54" t="s">
        <v>125</v>
      </c>
      <c r="B191" s="53" t="s">
        <v>114</v>
      </c>
      <c r="C191" s="53" t="s">
        <v>135</v>
      </c>
      <c r="D191" s="53" t="s">
        <v>155</v>
      </c>
      <c r="E191" s="184" t="s">
        <v>137</v>
      </c>
      <c r="F191" s="53" t="s">
        <v>116</v>
      </c>
      <c r="G191" s="53" t="s">
        <v>117</v>
      </c>
      <c r="H191" s="142">
        <f>'Cuota Artesanal'!E20</f>
        <v>5303.6490000000003</v>
      </c>
      <c r="I191" s="142">
        <f>'Cuota Artesanal'!F20</f>
        <v>-2200</v>
      </c>
      <c r="J191" s="142">
        <f>'Cuota Artesanal'!G20</f>
        <v>3103.6490000000003</v>
      </c>
      <c r="K191" s="142">
        <f>'Cuota Artesanal'!H20</f>
        <v>3004.7689999999998</v>
      </c>
      <c r="L191" s="142">
        <f>'Cuota Artesanal'!I20</f>
        <v>98.880000000000564</v>
      </c>
      <c r="M191" s="173">
        <f>'Cuota Artesanal'!J20</f>
        <v>0.96814072725362932</v>
      </c>
      <c r="N191" s="179" t="str">
        <f>'Cuota Artesanal'!Q20</f>
        <v>-</v>
      </c>
      <c r="O191" s="180">
        <f>Resumen!$B$3</f>
        <v>43689</v>
      </c>
    </row>
    <row r="192" spans="1:15" s="181" customFormat="1" ht="30">
      <c r="A192" s="54" t="s">
        <v>125</v>
      </c>
      <c r="B192" s="53" t="s">
        <v>114</v>
      </c>
      <c r="C192" s="53" t="s">
        <v>135</v>
      </c>
      <c r="D192" s="53" t="s">
        <v>155</v>
      </c>
      <c r="E192" s="184" t="s">
        <v>137</v>
      </c>
      <c r="F192" s="53" t="s">
        <v>118</v>
      </c>
      <c r="G192" s="53" t="s">
        <v>119</v>
      </c>
      <c r="H192" s="142">
        <f>'Cuota Artesanal'!E21</f>
        <v>279.10399999999998</v>
      </c>
      <c r="I192" s="142">
        <f>'Cuota Artesanal'!F21</f>
        <v>0</v>
      </c>
      <c r="J192" s="142">
        <f>'Cuota Artesanal'!G21</f>
        <v>377.98400000000055</v>
      </c>
      <c r="K192" s="142">
        <f>'Cuota Artesanal'!H21</f>
        <v>0</v>
      </c>
      <c r="L192" s="142">
        <f>'Cuota Artesanal'!I21</f>
        <v>377.98400000000055</v>
      </c>
      <c r="M192" s="173">
        <f>'Cuota Artesanal'!J21</f>
        <v>0</v>
      </c>
      <c r="N192" s="179" t="str">
        <f>'Cuota Artesanal'!Q21</f>
        <v>-</v>
      </c>
      <c r="O192" s="180">
        <f>Resumen!$B$3</f>
        <v>43689</v>
      </c>
    </row>
    <row r="193" spans="1:15" s="181" customFormat="1" ht="30">
      <c r="A193" s="54" t="s">
        <v>125</v>
      </c>
      <c r="B193" s="53" t="s">
        <v>114</v>
      </c>
      <c r="C193" s="53" t="s">
        <v>135</v>
      </c>
      <c r="D193" s="53" t="s">
        <v>155</v>
      </c>
      <c r="E193" s="184" t="s">
        <v>137</v>
      </c>
      <c r="F193" s="53" t="s">
        <v>116</v>
      </c>
      <c r="G193" s="53" t="s">
        <v>119</v>
      </c>
      <c r="H193" s="142">
        <f>'Cuota Artesanal'!K20</f>
        <v>5582.7530000000006</v>
      </c>
      <c r="I193" s="142">
        <f>'Cuota Artesanal'!L20</f>
        <v>-2200</v>
      </c>
      <c r="J193" s="142">
        <f>'Cuota Artesanal'!M20</f>
        <v>3382.7530000000006</v>
      </c>
      <c r="K193" s="142">
        <f>'Cuota Artesanal'!N20</f>
        <v>3004.7689999999998</v>
      </c>
      <c r="L193" s="142">
        <f>'Cuota Artesanal'!O20</f>
        <v>377.98400000000083</v>
      </c>
      <c r="M193" s="173">
        <f>'Cuota Artesanal'!P20</f>
        <v>0.88826142493998206</v>
      </c>
      <c r="N193" s="179" t="s">
        <v>154</v>
      </c>
      <c r="O193" s="180">
        <f>Resumen!$B$3</f>
        <v>43689</v>
      </c>
    </row>
    <row r="194" spans="1:15" s="181" customFormat="1">
      <c r="A194" s="54" t="s">
        <v>125</v>
      </c>
      <c r="B194" s="53" t="s">
        <v>114</v>
      </c>
      <c r="C194" s="53" t="s">
        <v>135</v>
      </c>
      <c r="D194" s="53" t="s">
        <v>150</v>
      </c>
      <c r="E194" s="53" t="s">
        <v>150</v>
      </c>
      <c r="F194" s="53" t="s">
        <v>116</v>
      </c>
      <c r="G194" s="53" t="s">
        <v>117</v>
      </c>
      <c r="H194" s="142">
        <f>'Cuota Artesanal'!E22</f>
        <v>1371.15</v>
      </c>
      <c r="I194" s="142">
        <f>'Cuota Artesanal'!F22</f>
        <v>0</v>
      </c>
      <c r="J194" s="142">
        <f>'Cuota Artesanal'!G22</f>
        <v>1371.15</v>
      </c>
      <c r="K194" s="142">
        <f>'Cuota Artesanal'!H22</f>
        <v>324.32299999999998</v>
      </c>
      <c r="L194" s="142">
        <f>'Cuota Artesanal'!I22</f>
        <v>1046.8270000000002</v>
      </c>
      <c r="M194" s="173">
        <f>'Cuota Artesanal'!J22</f>
        <v>0.23653356671407211</v>
      </c>
      <c r="N194" s="179" t="str">
        <f>'Cuota Artesanal'!Q22</f>
        <v>-</v>
      </c>
      <c r="O194" s="180">
        <f>Resumen!$B$3</f>
        <v>43689</v>
      </c>
    </row>
    <row r="195" spans="1:15" s="181" customFormat="1">
      <c r="A195" s="54" t="s">
        <v>125</v>
      </c>
      <c r="B195" s="53" t="s">
        <v>114</v>
      </c>
      <c r="C195" s="53" t="s">
        <v>135</v>
      </c>
      <c r="D195" s="53" t="s">
        <v>150</v>
      </c>
      <c r="E195" s="53" t="s">
        <v>150</v>
      </c>
      <c r="F195" s="53" t="s">
        <v>118</v>
      </c>
      <c r="G195" s="53" t="s">
        <v>119</v>
      </c>
      <c r="H195" s="142">
        <f>'Cuota Artesanal'!E23</f>
        <v>72.156999999999996</v>
      </c>
      <c r="I195" s="142">
        <f>'Cuota Artesanal'!F23</f>
        <v>0</v>
      </c>
      <c r="J195" s="142">
        <f>'Cuota Artesanal'!G23</f>
        <v>1118.9840000000002</v>
      </c>
      <c r="K195" s="142">
        <f>'Cuota Artesanal'!H23</f>
        <v>0</v>
      </c>
      <c r="L195" s="142">
        <f>'Cuota Artesanal'!I23</f>
        <v>1118.9840000000002</v>
      </c>
      <c r="M195" s="173">
        <f>'Cuota Artesanal'!J23</f>
        <v>0</v>
      </c>
      <c r="N195" s="179" t="str">
        <f>'Cuota Artesanal'!Q23</f>
        <v>-</v>
      </c>
      <c r="O195" s="180">
        <f>Resumen!$B$3</f>
        <v>43689</v>
      </c>
    </row>
    <row r="196" spans="1:15" s="181" customFormat="1">
      <c r="A196" s="54" t="s">
        <v>125</v>
      </c>
      <c r="B196" s="53" t="s">
        <v>114</v>
      </c>
      <c r="C196" s="53" t="s">
        <v>135</v>
      </c>
      <c r="D196" s="53" t="s">
        <v>150</v>
      </c>
      <c r="E196" s="53" t="s">
        <v>150</v>
      </c>
      <c r="F196" s="53" t="s">
        <v>116</v>
      </c>
      <c r="G196" s="53" t="s">
        <v>119</v>
      </c>
      <c r="H196" s="142">
        <f>'Cuota Artesanal'!K22</f>
        <v>1443.307</v>
      </c>
      <c r="I196" s="142">
        <f>'Cuota Artesanal'!L22</f>
        <v>0</v>
      </c>
      <c r="J196" s="142">
        <f>'Cuota Artesanal'!M22</f>
        <v>1443.307</v>
      </c>
      <c r="K196" s="142">
        <f>'Cuota Artesanal'!N22</f>
        <v>324.32299999999998</v>
      </c>
      <c r="L196" s="142">
        <f>'Cuota Artesanal'!O22</f>
        <v>1118.9839999999999</v>
      </c>
      <c r="M196" s="173">
        <f>'Cuota Artesanal'!P22</f>
        <v>0.22470825680191392</v>
      </c>
      <c r="N196" s="179" t="s">
        <v>154</v>
      </c>
      <c r="O196" s="180">
        <f>Resumen!$B$3</f>
        <v>43689</v>
      </c>
    </row>
    <row r="197" spans="1:15" s="181" customFormat="1" ht="30">
      <c r="A197" s="54" t="s">
        <v>129</v>
      </c>
      <c r="B197" s="53" t="s">
        <v>114</v>
      </c>
      <c r="C197" s="53" t="s">
        <v>138</v>
      </c>
      <c r="D197" s="53" t="s">
        <v>155</v>
      </c>
      <c r="E197" s="185" t="s">
        <v>179</v>
      </c>
      <c r="F197" s="53" t="s">
        <v>116</v>
      </c>
      <c r="G197" s="53" t="s">
        <v>117</v>
      </c>
      <c r="H197" s="142">
        <f>'Cuota Artesanal'!E25</f>
        <v>3017.0590000000002</v>
      </c>
      <c r="I197" s="142">
        <f>'Cuota Artesanal'!F25</f>
        <v>-2900</v>
      </c>
      <c r="J197" s="142">
        <f>'Cuota Artesanal'!G25</f>
        <v>117.0590000000002</v>
      </c>
      <c r="K197" s="142">
        <f>'Cuota Artesanal'!H25</f>
        <v>43.725000000000001</v>
      </c>
      <c r="L197" s="142">
        <f>'Cuota Artesanal'!I25</f>
        <v>73.334000000000202</v>
      </c>
      <c r="M197" s="173">
        <f>'Cuota Artesanal'!J25</f>
        <v>0.37352958764383709</v>
      </c>
      <c r="N197" s="186" t="str">
        <f>'Cuota Artesanal'!Q25</f>
        <v>-</v>
      </c>
      <c r="O197" s="180">
        <f>Resumen!$B$3</f>
        <v>43689</v>
      </c>
    </row>
    <row r="198" spans="1:15" s="181" customFormat="1" ht="30">
      <c r="A198" s="54" t="s">
        <v>129</v>
      </c>
      <c r="B198" s="53" t="s">
        <v>114</v>
      </c>
      <c r="C198" s="53" t="s">
        <v>138</v>
      </c>
      <c r="D198" s="53" t="s">
        <v>155</v>
      </c>
      <c r="E198" s="185" t="s">
        <v>179</v>
      </c>
      <c r="F198" s="53" t="s">
        <v>118</v>
      </c>
      <c r="G198" s="53" t="s">
        <v>119</v>
      </c>
      <c r="H198" s="142">
        <f>'Cuota Artesanal'!E26</f>
        <v>158.79300000000001</v>
      </c>
      <c r="I198" s="142">
        <f>'Cuota Artesanal'!F26</f>
        <v>0</v>
      </c>
      <c r="J198" s="142">
        <f>'Cuota Artesanal'!G26</f>
        <v>232.12700000000021</v>
      </c>
      <c r="K198" s="142">
        <f>'Cuota Artesanal'!H26</f>
        <v>0</v>
      </c>
      <c r="L198" s="142">
        <f>'Cuota Artesanal'!I26</f>
        <v>232.12700000000021</v>
      </c>
      <c r="M198" s="173">
        <f>'Cuota Artesanal'!J26</f>
        <v>0</v>
      </c>
      <c r="N198" s="186" t="str">
        <f>'Cuota Artesanal'!Q26</f>
        <v>-</v>
      </c>
      <c r="O198" s="180">
        <f>Resumen!$B$3</f>
        <v>43689</v>
      </c>
    </row>
    <row r="199" spans="1:15" s="181" customFormat="1" ht="30">
      <c r="A199" s="54" t="s">
        <v>129</v>
      </c>
      <c r="B199" s="53" t="s">
        <v>114</v>
      </c>
      <c r="C199" s="53" t="s">
        <v>138</v>
      </c>
      <c r="D199" s="53" t="s">
        <v>155</v>
      </c>
      <c r="E199" s="185" t="s">
        <v>179</v>
      </c>
      <c r="F199" s="53" t="s">
        <v>116</v>
      </c>
      <c r="G199" s="53" t="s">
        <v>119</v>
      </c>
      <c r="H199" s="142">
        <f>'Cuota Artesanal'!K25</f>
        <v>3175.8520000000003</v>
      </c>
      <c r="I199" s="142">
        <f>'Cuota Artesanal'!L25</f>
        <v>-2900</v>
      </c>
      <c r="J199" s="142">
        <f>'Cuota Artesanal'!M25</f>
        <v>275.85200000000032</v>
      </c>
      <c r="K199" s="142">
        <f>'Cuota Artesanal'!N25</f>
        <v>43.725000000000001</v>
      </c>
      <c r="L199" s="142">
        <f>'Cuota Artesanal'!O25</f>
        <v>232.12700000000032</v>
      </c>
      <c r="M199" s="173">
        <f>'Cuota Artesanal'!P25</f>
        <v>0.15850891057523581</v>
      </c>
      <c r="N199" s="179" t="s">
        <v>154</v>
      </c>
      <c r="O199" s="180">
        <f>Resumen!$B$3</f>
        <v>43689</v>
      </c>
    </row>
    <row r="200" spans="1:15" s="181" customFormat="1">
      <c r="A200" s="54" t="s">
        <v>129</v>
      </c>
      <c r="B200" s="53" t="s">
        <v>114</v>
      </c>
      <c r="C200" s="53" t="s">
        <v>138</v>
      </c>
      <c r="D200" s="53" t="s">
        <v>155</v>
      </c>
      <c r="E200" s="185" t="s">
        <v>139</v>
      </c>
      <c r="F200" s="53" t="s">
        <v>116</v>
      </c>
      <c r="G200" s="53" t="s">
        <v>117</v>
      </c>
      <c r="H200" s="142">
        <f>'Cuota Artesanal'!E29</f>
        <v>39.500999999999998</v>
      </c>
      <c r="I200" s="142">
        <f>'Cuota Artesanal'!F29</f>
        <v>0</v>
      </c>
      <c r="J200" s="142">
        <f>'Cuota Artesanal'!G29</f>
        <v>39.500999999999998</v>
      </c>
      <c r="K200" s="142">
        <f>'Cuota Artesanal'!H29</f>
        <v>11.18</v>
      </c>
      <c r="L200" s="142">
        <f>'Cuota Artesanal'!I29</f>
        <v>28.320999999999998</v>
      </c>
      <c r="M200" s="173">
        <f>'Cuota Artesanal'!J29</f>
        <v>0.28303080934659886</v>
      </c>
      <c r="N200" s="179" t="str">
        <f>'Cuota Artesanal'!Q29</f>
        <v>-</v>
      </c>
      <c r="O200" s="180">
        <f>Resumen!$B$3</f>
        <v>43689</v>
      </c>
    </row>
    <row r="201" spans="1:15" s="181" customFormat="1">
      <c r="A201" s="54" t="s">
        <v>129</v>
      </c>
      <c r="B201" s="53" t="s">
        <v>114</v>
      </c>
      <c r="C201" s="53" t="s">
        <v>138</v>
      </c>
      <c r="D201" s="53" t="s">
        <v>155</v>
      </c>
      <c r="E201" s="185" t="s">
        <v>139</v>
      </c>
      <c r="F201" s="53" t="s">
        <v>118</v>
      </c>
      <c r="G201" s="53" t="s">
        <v>119</v>
      </c>
      <c r="H201" s="142">
        <f>'Cuota Artesanal'!E30</f>
        <v>2.0790000000000002</v>
      </c>
      <c r="I201" s="142">
        <f>'Cuota Artesanal'!F30</f>
        <v>0</v>
      </c>
      <c r="J201" s="142">
        <f>'Cuota Artesanal'!G30</f>
        <v>30.4</v>
      </c>
      <c r="K201" s="142">
        <f>'Cuota Artesanal'!H30</f>
        <v>0</v>
      </c>
      <c r="L201" s="142">
        <f>'Cuota Artesanal'!I30</f>
        <v>30.4</v>
      </c>
      <c r="M201" s="173">
        <f>'Cuota Artesanal'!J30</f>
        <v>0</v>
      </c>
      <c r="N201" s="179" t="str">
        <f>'Cuota Artesanal'!Q30</f>
        <v>-</v>
      </c>
      <c r="O201" s="180">
        <f>Resumen!$B$3</f>
        <v>43689</v>
      </c>
    </row>
    <row r="202" spans="1:15" s="181" customFormat="1">
      <c r="A202" s="54" t="s">
        <v>129</v>
      </c>
      <c r="B202" s="53" t="s">
        <v>114</v>
      </c>
      <c r="C202" s="53" t="s">
        <v>138</v>
      </c>
      <c r="D202" s="53" t="s">
        <v>155</v>
      </c>
      <c r="E202" s="185" t="s">
        <v>139</v>
      </c>
      <c r="F202" s="53" t="s">
        <v>116</v>
      </c>
      <c r="G202" s="53" t="s">
        <v>119</v>
      </c>
      <c r="H202" s="142">
        <f>'Cuota Artesanal'!K29</f>
        <v>41.58</v>
      </c>
      <c r="I202" s="142">
        <f>'Cuota Artesanal'!M29</f>
        <v>41.58</v>
      </c>
      <c r="J202" s="142">
        <f>'Cuota Artesanal'!M29</f>
        <v>41.58</v>
      </c>
      <c r="K202" s="142">
        <f>'Cuota Artesanal'!N29</f>
        <v>11.18</v>
      </c>
      <c r="L202" s="142">
        <f>'Cuota Artesanal'!O29</f>
        <v>30.4</v>
      </c>
      <c r="M202" s="173">
        <f>'Cuota Artesanal'!P29</f>
        <v>0.26887926887926888</v>
      </c>
      <c r="N202" s="179" t="s">
        <v>154</v>
      </c>
      <c r="O202" s="180">
        <f>Resumen!$B$3</f>
        <v>43689</v>
      </c>
    </row>
    <row r="203" spans="1:15" s="181" customFormat="1" ht="30">
      <c r="A203" s="54" t="s">
        <v>129</v>
      </c>
      <c r="B203" s="53" t="s">
        <v>114</v>
      </c>
      <c r="C203" s="53" t="s">
        <v>138</v>
      </c>
      <c r="D203" s="53" t="s">
        <v>155</v>
      </c>
      <c r="E203" s="185" t="s">
        <v>140</v>
      </c>
      <c r="F203" s="53" t="s">
        <v>116</v>
      </c>
      <c r="G203" s="53" t="s">
        <v>117</v>
      </c>
      <c r="H203" s="142">
        <f>'Cuota Artesanal'!E31</f>
        <v>75.411000000000001</v>
      </c>
      <c r="I203" s="142">
        <f>'Cuota Artesanal'!F31</f>
        <v>-79</v>
      </c>
      <c r="J203" s="142">
        <f>'Cuota Artesanal'!G31</f>
        <v>-3.5889999999999986</v>
      </c>
      <c r="K203" s="142">
        <f>'Cuota Artesanal'!H31</f>
        <v>0</v>
      </c>
      <c r="L203" s="142">
        <f>'Cuota Artesanal'!I31</f>
        <v>-3.5889999999999986</v>
      </c>
      <c r="M203" s="173">
        <f>'Cuota Artesanal'!J31</f>
        <v>0</v>
      </c>
      <c r="N203" s="179" t="str">
        <f>'Cuota Artesanal'!Q31</f>
        <v>-</v>
      </c>
      <c r="O203" s="180">
        <f>Resumen!$B$3</f>
        <v>43689</v>
      </c>
    </row>
    <row r="204" spans="1:15" s="181" customFormat="1" ht="30">
      <c r="A204" s="54" t="s">
        <v>129</v>
      </c>
      <c r="B204" s="53" t="s">
        <v>114</v>
      </c>
      <c r="C204" s="53" t="s">
        <v>138</v>
      </c>
      <c r="D204" s="53" t="s">
        <v>155</v>
      </c>
      <c r="E204" s="185" t="s">
        <v>140</v>
      </c>
      <c r="F204" s="53" t="s">
        <v>118</v>
      </c>
      <c r="G204" s="53" t="s">
        <v>119</v>
      </c>
      <c r="H204" s="142">
        <f>'Cuota Artesanal'!E32</f>
        <v>3.9689999999999999</v>
      </c>
      <c r="I204" s="142">
        <f>'Cuota Artesanal'!F32</f>
        <v>0</v>
      </c>
      <c r="J204" s="142">
        <f>'Cuota Artesanal'!G32</f>
        <v>0.38000000000000123</v>
      </c>
      <c r="K204" s="142">
        <f>'Cuota Artesanal'!H32</f>
        <v>0</v>
      </c>
      <c r="L204" s="142">
        <f>'Cuota Artesanal'!I32</f>
        <v>0.38000000000000123</v>
      </c>
      <c r="M204" s="173">
        <f>'Cuota Artesanal'!J32</f>
        <v>0</v>
      </c>
      <c r="N204" s="179" t="str">
        <f>'Cuota Artesanal'!Q32</f>
        <v>-</v>
      </c>
      <c r="O204" s="180">
        <f>Resumen!$B$3</f>
        <v>43689</v>
      </c>
    </row>
    <row r="205" spans="1:15" s="181" customFormat="1" ht="30">
      <c r="A205" s="54" t="s">
        <v>129</v>
      </c>
      <c r="B205" s="53" t="s">
        <v>114</v>
      </c>
      <c r="C205" s="53" t="s">
        <v>138</v>
      </c>
      <c r="D205" s="53" t="s">
        <v>155</v>
      </c>
      <c r="E205" s="185" t="s">
        <v>140</v>
      </c>
      <c r="F205" s="53" t="s">
        <v>116</v>
      </c>
      <c r="G205" s="53" t="s">
        <v>119</v>
      </c>
      <c r="H205" s="142">
        <f>'Cuota Artesanal'!K31</f>
        <v>79.38</v>
      </c>
      <c r="I205" s="142">
        <f>'Cuota Artesanal'!M31</f>
        <v>0.37999999999999545</v>
      </c>
      <c r="J205" s="142">
        <f>'Cuota Artesanal'!M31</f>
        <v>0.37999999999999545</v>
      </c>
      <c r="K205" s="142">
        <f>'Cuota Artesanal'!N31</f>
        <v>0</v>
      </c>
      <c r="L205" s="142">
        <f>'Cuota Artesanal'!O31</f>
        <v>0.37999999999999545</v>
      </c>
      <c r="M205" s="173">
        <f>'Cuota Artesanal'!P31</f>
        <v>0</v>
      </c>
      <c r="N205" s="179" t="s">
        <v>154</v>
      </c>
      <c r="O205" s="180">
        <f>Resumen!$B$3</f>
        <v>43689</v>
      </c>
    </row>
    <row r="206" spans="1:15" s="181" customFormat="1">
      <c r="A206" s="54" t="s">
        <v>129</v>
      </c>
      <c r="B206" s="53" t="s">
        <v>114</v>
      </c>
      <c r="C206" s="53" t="s">
        <v>138</v>
      </c>
      <c r="D206" s="53" t="s">
        <v>150</v>
      </c>
      <c r="E206" s="53" t="s">
        <v>150</v>
      </c>
      <c r="F206" s="53" t="s">
        <v>116</v>
      </c>
      <c r="G206" s="53" t="s">
        <v>117</v>
      </c>
      <c r="H206" s="142">
        <f>'Cuota Artesanal'!E33</f>
        <v>409.37400000000002</v>
      </c>
      <c r="I206" s="142">
        <f>'Cuota Artesanal'!F33</f>
        <v>0</v>
      </c>
      <c r="J206" s="142">
        <f>'Cuota Artesanal'!G33</f>
        <v>409.37400000000002</v>
      </c>
      <c r="K206" s="142">
        <f>'Cuota Artesanal'!H33</f>
        <v>116.14100000000001</v>
      </c>
      <c r="L206" s="142">
        <f>'Cuota Artesanal'!I33</f>
        <v>293.233</v>
      </c>
      <c r="M206" s="173">
        <f>'Cuota Artesanal'!J33</f>
        <v>0.28370389912402838</v>
      </c>
      <c r="N206" s="179" t="str">
        <f>'Cuota Artesanal'!Q33</f>
        <v>-</v>
      </c>
      <c r="O206" s="180">
        <f>Resumen!$B$3</f>
        <v>43689</v>
      </c>
    </row>
    <row r="207" spans="1:15" s="181" customFormat="1">
      <c r="A207" s="54" t="s">
        <v>129</v>
      </c>
      <c r="B207" s="53" t="s">
        <v>114</v>
      </c>
      <c r="C207" s="53" t="s">
        <v>138</v>
      </c>
      <c r="D207" s="53" t="s">
        <v>150</v>
      </c>
      <c r="E207" s="53" t="s">
        <v>150</v>
      </c>
      <c r="F207" s="53" t="s">
        <v>118</v>
      </c>
      <c r="G207" s="53" t="s">
        <v>119</v>
      </c>
      <c r="H207" s="142">
        <f>'Cuota Artesanal'!E34</f>
        <v>21.545999999999999</v>
      </c>
      <c r="I207" s="142">
        <f>'Cuota Artesanal'!F34</f>
        <v>0</v>
      </c>
      <c r="J207" s="142">
        <f>'Cuota Artesanal'!G34</f>
        <v>314.779</v>
      </c>
      <c r="K207" s="142">
        <f>'Cuota Artesanal'!H34</f>
        <v>0</v>
      </c>
      <c r="L207" s="142">
        <f>'Cuota Artesanal'!I34</f>
        <v>314.779</v>
      </c>
      <c r="M207" s="173">
        <f>'Cuota Artesanal'!J34</f>
        <v>0</v>
      </c>
      <c r="N207" s="179" t="str">
        <f>'Cuota Artesanal'!Q34</f>
        <v>-</v>
      </c>
      <c r="O207" s="180">
        <f>Resumen!$B$3</f>
        <v>43689</v>
      </c>
    </row>
    <row r="208" spans="1:15" s="181" customFormat="1">
      <c r="A208" s="54" t="s">
        <v>129</v>
      </c>
      <c r="B208" s="53" t="s">
        <v>114</v>
      </c>
      <c r="C208" s="53" t="s">
        <v>138</v>
      </c>
      <c r="D208" s="53" t="s">
        <v>150</v>
      </c>
      <c r="E208" s="53" t="s">
        <v>150</v>
      </c>
      <c r="F208" s="53" t="s">
        <v>116</v>
      </c>
      <c r="G208" s="53" t="s">
        <v>119</v>
      </c>
      <c r="H208" s="142">
        <f>'Cuota Artesanal'!K33</f>
        <v>430.92</v>
      </c>
      <c r="I208" s="142">
        <f>'Cuota Artesanal'!L33</f>
        <v>0</v>
      </c>
      <c r="J208" s="142">
        <f>'Cuota Artesanal'!M33</f>
        <v>430.92</v>
      </c>
      <c r="K208" s="142">
        <f>'Cuota Artesanal'!N33</f>
        <v>116.14100000000001</v>
      </c>
      <c r="L208" s="142">
        <f>'Cuota Artesanal'!O33</f>
        <v>314.779</v>
      </c>
      <c r="M208" s="173">
        <f>'Cuota Artesanal'!P33</f>
        <v>0.26951870416782697</v>
      </c>
      <c r="N208" s="179" t="s">
        <v>154</v>
      </c>
      <c r="O208" s="180">
        <f>Resumen!$B$3</f>
        <v>43689</v>
      </c>
    </row>
    <row r="209" spans="1:15" s="181" customFormat="1">
      <c r="A209" s="54" t="s">
        <v>129</v>
      </c>
      <c r="B209" s="53" t="s">
        <v>114</v>
      </c>
      <c r="C209" s="53" t="s">
        <v>141</v>
      </c>
      <c r="D209" s="53" t="s">
        <v>122</v>
      </c>
      <c r="E209" s="53" t="s">
        <v>142</v>
      </c>
      <c r="F209" s="53" t="s">
        <v>116</v>
      </c>
      <c r="G209" s="53" t="s">
        <v>117</v>
      </c>
      <c r="H209" s="142">
        <f>'Cuota Artesanal'!E36</f>
        <v>3</v>
      </c>
      <c r="I209" s="142">
        <f>'Cuota Artesanal'!F36</f>
        <v>0</v>
      </c>
      <c r="J209" s="142">
        <f>'Cuota Artesanal'!G36</f>
        <v>3</v>
      </c>
      <c r="K209" s="142">
        <f>'Cuota Artesanal'!H36</f>
        <v>9.7769999999999992</v>
      </c>
      <c r="L209" s="142">
        <f>'Cuota Artesanal'!I36</f>
        <v>-6.7769999999999992</v>
      </c>
      <c r="M209" s="173">
        <f>'Cuota Artesanal'!J36</f>
        <v>3.2589999999999999</v>
      </c>
      <c r="N209" s="179">
        <f>'Cuota Artesanal'!Q36</f>
        <v>43624</v>
      </c>
      <c r="O209" s="180">
        <f>Resumen!$B$3</f>
        <v>43689</v>
      </c>
    </row>
    <row r="210" spans="1:15" s="181" customFormat="1">
      <c r="A210" s="54" t="s">
        <v>129</v>
      </c>
      <c r="B210" s="53" t="s">
        <v>114</v>
      </c>
      <c r="C210" s="53" t="s">
        <v>141</v>
      </c>
      <c r="D210" s="53" t="s">
        <v>122</v>
      </c>
      <c r="E210" s="53" t="s">
        <v>142</v>
      </c>
      <c r="F210" s="53" t="s">
        <v>118</v>
      </c>
      <c r="G210" s="53" t="s">
        <v>119</v>
      </c>
      <c r="H210" s="142">
        <f>'Cuota Artesanal'!E37</f>
        <v>1</v>
      </c>
      <c r="I210" s="142">
        <f>'Cuota Artesanal'!F37</f>
        <v>0</v>
      </c>
      <c r="J210" s="142">
        <f>'Cuota Artesanal'!G37</f>
        <v>-5.7769999999999992</v>
      </c>
      <c r="K210" s="142">
        <f>'Cuota Artesanal'!H37</f>
        <v>0</v>
      </c>
      <c r="L210" s="142">
        <f>'Cuota Artesanal'!I37</f>
        <v>-5.7769999999999992</v>
      </c>
      <c r="M210" s="173">
        <f>'Cuota Artesanal'!J37</f>
        <v>0</v>
      </c>
      <c r="N210" s="179" t="str">
        <f>'Cuota Artesanal'!Q37</f>
        <v>-</v>
      </c>
      <c r="O210" s="180">
        <f>Resumen!$B$3</f>
        <v>43689</v>
      </c>
    </row>
    <row r="211" spans="1:15" s="181" customFormat="1">
      <c r="A211" s="54" t="s">
        <v>129</v>
      </c>
      <c r="B211" s="53" t="s">
        <v>114</v>
      </c>
      <c r="C211" s="53" t="s">
        <v>141</v>
      </c>
      <c r="D211" s="53" t="s">
        <v>122</v>
      </c>
      <c r="E211" s="53" t="s">
        <v>142</v>
      </c>
      <c r="F211" s="53" t="s">
        <v>116</v>
      </c>
      <c r="G211" s="53" t="s">
        <v>119</v>
      </c>
      <c r="H211" s="142">
        <f>'Cuota Artesanal'!K36</f>
        <v>4</v>
      </c>
      <c r="I211" s="142">
        <f>'Cuota Artesanal'!L36</f>
        <v>0</v>
      </c>
      <c r="J211" s="142">
        <f>'Cuota Artesanal'!M36</f>
        <v>4</v>
      </c>
      <c r="K211" s="142">
        <f>'Cuota Artesanal'!N36</f>
        <v>9.7769999999999992</v>
      </c>
      <c r="L211" s="142">
        <f>'Cuota Artesanal'!O36</f>
        <v>-5.7769999999999992</v>
      </c>
      <c r="M211" s="173">
        <f>'Cuota Artesanal'!P36</f>
        <v>2.4442499999999998</v>
      </c>
      <c r="N211" s="179" t="s">
        <v>154</v>
      </c>
      <c r="O211" s="180">
        <f>Resumen!$B$3</f>
        <v>43689</v>
      </c>
    </row>
    <row r="212" spans="1:15" s="181" customFormat="1">
      <c r="A212" s="54" t="s">
        <v>129</v>
      </c>
      <c r="B212" s="53" t="s">
        <v>114</v>
      </c>
      <c r="C212" s="53" t="s">
        <v>87</v>
      </c>
      <c r="D212" s="53" t="s">
        <v>122</v>
      </c>
      <c r="E212" s="53" t="s">
        <v>143</v>
      </c>
      <c r="F212" s="53" t="s">
        <v>116</v>
      </c>
      <c r="G212" s="53" t="s">
        <v>117</v>
      </c>
      <c r="H212" s="142">
        <f>'Cuota Artesanal'!E39</f>
        <v>121</v>
      </c>
      <c r="I212" s="142">
        <f>'Cuota Artesanal'!F39</f>
        <v>0</v>
      </c>
      <c r="J212" s="142">
        <f>'Cuota Artesanal'!G39</f>
        <v>121</v>
      </c>
      <c r="K212" s="142">
        <f>'Cuota Artesanal'!H39</f>
        <v>130.959</v>
      </c>
      <c r="L212" s="142">
        <f>'Cuota Artesanal'!I39</f>
        <v>-9.9590000000000032</v>
      </c>
      <c r="M212" s="173">
        <f>'Cuota Artesanal'!J39</f>
        <v>1.082305785123967</v>
      </c>
      <c r="N212" s="179">
        <f>'Cuota Artesanal'!Q39</f>
        <v>43571</v>
      </c>
      <c r="O212" s="180">
        <f>Resumen!$B$3</f>
        <v>43689</v>
      </c>
    </row>
    <row r="213" spans="1:15" s="181" customFormat="1">
      <c r="A213" s="54" t="s">
        <v>129</v>
      </c>
      <c r="B213" s="53" t="s">
        <v>114</v>
      </c>
      <c r="C213" s="53" t="s">
        <v>87</v>
      </c>
      <c r="D213" s="53" t="s">
        <v>122</v>
      </c>
      <c r="E213" s="53" t="s">
        <v>143</v>
      </c>
      <c r="F213" s="53" t="s">
        <v>118</v>
      </c>
      <c r="G213" s="53" t="s">
        <v>119</v>
      </c>
      <c r="H213" s="142">
        <f>'Cuota Artesanal'!E40</f>
        <v>6</v>
      </c>
      <c r="I213" s="142">
        <f>'Cuota Artesanal'!F40</f>
        <v>0</v>
      </c>
      <c r="J213" s="142">
        <f>'Cuota Artesanal'!G40</f>
        <v>-3.9590000000000032</v>
      </c>
      <c r="K213" s="142">
        <f>'Cuota Artesanal'!H40</f>
        <v>0</v>
      </c>
      <c r="L213" s="142">
        <f>'Cuota Artesanal'!I40</f>
        <v>-3.9590000000000032</v>
      </c>
      <c r="M213" s="173">
        <f>'Cuota Artesanal'!J40</f>
        <v>0</v>
      </c>
      <c r="N213" s="179" t="str">
        <f>'Cuota Artesanal'!Q40</f>
        <v>-</v>
      </c>
      <c r="O213" s="180">
        <f>Resumen!$B$3</f>
        <v>43689</v>
      </c>
    </row>
    <row r="214" spans="1:15" s="181" customFormat="1">
      <c r="A214" s="54" t="s">
        <v>129</v>
      </c>
      <c r="B214" s="53" t="s">
        <v>114</v>
      </c>
      <c r="C214" s="53" t="s">
        <v>87</v>
      </c>
      <c r="D214" s="53" t="s">
        <v>122</v>
      </c>
      <c r="E214" s="53" t="s">
        <v>143</v>
      </c>
      <c r="F214" s="53" t="s">
        <v>116</v>
      </c>
      <c r="G214" s="53" t="s">
        <v>119</v>
      </c>
      <c r="H214" s="142">
        <f>'Cuota Artesanal'!K39</f>
        <v>127</v>
      </c>
      <c r="I214" s="142">
        <f>'Cuota Artesanal'!L39</f>
        <v>0</v>
      </c>
      <c r="J214" s="142">
        <f>'Cuota Artesanal'!M39</f>
        <v>127</v>
      </c>
      <c r="K214" s="142">
        <f>'Cuota Artesanal'!N39</f>
        <v>130.959</v>
      </c>
      <c r="L214" s="142">
        <f>'Cuota Artesanal'!O39</f>
        <v>-3.9590000000000032</v>
      </c>
      <c r="M214" s="173">
        <f>'Cuota Artesanal'!P39</f>
        <v>1.0311732283464567</v>
      </c>
      <c r="N214" s="179" t="s">
        <v>154</v>
      </c>
      <c r="O214" s="180">
        <f>Resumen!$B$3</f>
        <v>43689</v>
      </c>
    </row>
    <row r="215" spans="1:15" s="181" customFormat="1">
      <c r="A215" s="54" t="s">
        <v>129</v>
      </c>
      <c r="B215" s="53" t="s">
        <v>114</v>
      </c>
      <c r="C215" s="53" t="s">
        <v>144</v>
      </c>
      <c r="D215" s="53" t="s">
        <v>122</v>
      </c>
      <c r="E215" s="53" t="s">
        <v>145</v>
      </c>
      <c r="F215" s="53" t="s">
        <v>116</v>
      </c>
      <c r="G215" s="53" t="s">
        <v>117</v>
      </c>
      <c r="H215" s="142">
        <f>'Cuota Artesanal'!E42</f>
        <v>7853</v>
      </c>
      <c r="I215" s="142">
        <f>'Cuota Artesanal'!F42</f>
        <v>0</v>
      </c>
      <c r="J215" s="142">
        <f>'Cuota Artesanal'!G42</f>
        <v>7853</v>
      </c>
      <c r="K215" s="142">
        <f>'Cuota Artesanal'!H42</f>
        <v>9375.7250000000004</v>
      </c>
      <c r="L215" s="142">
        <f>'Cuota Artesanal'!I42</f>
        <v>-1522.7250000000004</v>
      </c>
      <c r="M215" s="173">
        <f>'Cuota Artesanal'!J42</f>
        <v>1.1939036037183242</v>
      </c>
      <c r="N215" s="179">
        <f>'Cuota Artesanal'!Q42</f>
        <v>43473</v>
      </c>
      <c r="O215" s="180">
        <f>Resumen!$B$3</f>
        <v>43689</v>
      </c>
    </row>
    <row r="216" spans="1:15" s="181" customFormat="1">
      <c r="A216" s="54" t="s">
        <v>129</v>
      </c>
      <c r="B216" s="53" t="s">
        <v>114</v>
      </c>
      <c r="C216" s="53" t="s">
        <v>144</v>
      </c>
      <c r="D216" s="53" t="s">
        <v>122</v>
      </c>
      <c r="E216" s="53" t="s">
        <v>145</v>
      </c>
      <c r="F216" s="53" t="s">
        <v>118</v>
      </c>
      <c r="G216" s="53" t="s">
        <v>119</v>
      </c>
      <c r="H216" s="142">
        <f>'Cuota Artesanal'!E43</f>
        <v>413</v>
      </c>
      <c r="I216" s="142">
        <f>'Cuota Artesanal'!F43</f>
        <v>0</v>
      </c>
      <c r="J216" s="142">
        <f>'Cuota Artesanal'!G43</f>
        <v>-1109.7250000000004</v>
      </c>
      <c r="K216" s="142">
        <f>'Cuota Artesanal'!H43</f>
        <v>0</v>
      </c>
      <c r="L216" s="142">
        <f>'Cuota Artesanal'!I43</f>
        <v>-1109.7250000000004</v>
      </c>
      <c r="M216" s="173">
        <f>'Cuota Artesanal'!J43</f>
        <v>0</v>
      </c>
      <c r="N216" s="179">
        <f>'Cuota Artesanal'!Q43</f>
        <v>43479</v>
      </c>
      <c r="O216" s="180">
        <f>Resumen!$B$3</f>
        <v>43689</v>
      </c>
    </row>
    <row r="217" spans="1:15" s="181" customFormat="1">
      <c r="A217" s="54" t="s">
        <v>129</v>
      </c>
      <c r="B217" s="53" t="s">
        <v>114</v>
      </c>
      <c r="C217" s="53" t="s">
        <v>144</v>
      </c>
      <c r="D217" s="53" t="s">
        <v>122</v>
      </c>
      <c r="E217" s="53" t="s">
        <v>145</v>
      </c>
      <c r="F217" s="53" t="s">
        <v>116</v>
      </c>
      <c r="G217" s="53" t="s">
        <v>119</v>
      </c>
      <c r="H217" s="142">
        <f>'Cuota Artesanal'!K42</f>
        <v>8266</v>
      </c>
      <c r="I217" s="142">
        <f>'Cuota Artesanal'!L42</f>
        <v>0</v>
      </c>
      <c r="J217" s="142">
        <f>'Cuota Artesanal'!M42</f>
        <v>8266</v>
      </c>
      <c r="K217" s="142">
        <f>'Cuota Artesanal'!N42</f>
        <v>9375.7250000000004</v>
      </c>
      <c r="L217" s="142">
        <f>'Cuota Artesanal'!O42</f>
        <v>-1109.7250000000004</v>
      </c>
      <c r="M217" s="173">
        <f>'Cuota Artesanal'!P42</f>
        <v>1.1342517541737238</v>
      </c>
      <c r="N217" s="179" t="s">
        <v>154</v>
      </c>
      <c r="O217" s="180">
        <f>Resumen!$B$3</f>
        <v>43689</v>
      </c>
    </row>
    <row r="218" spans="1:15" s="181" customFormat="1">
      <c r="A218" s="54" t="s">
        <v>129</v>
      </c>
      <c r="B218" s="53" t="s">
        <v>114</v>
      </c>
      <c r="C218" s="53" t="s">
        <v>45</v>
      </c>
      <c r="D218" s="53" t="s">
        <v>122</v>
      </c>
      <c r="E218" s="53" t="s">
        <v>146</v>
      </c>
      <c r="F218" s="53" t="s">
        <v>116</v>
      </c>
      <c r="G218" s="53" t="s">
        <v>117</v>
      </c>
      <c r="H218" s="142">
        <f>'Cuota Artesanal'!E45</f>
        <v>42</v>
      </c>
      <c r="I218" s="142">
        <f>'Cuota Artesanal'!F45</f>
        <v>0</v>
      </c>
      <c r="J218" s="142">
        <f>'Cuota Artesanal'!G45</f>
        <v>42</v>
      </c>
      <c r="K218" s="142">
        <f>'Cuota Artesanal'!H45</f>
        <v>5.5309999999999997</v>
      </c>
      <c r="L218" s="142">
        <f>'Cuota Artesanal'!I45</f>
        <v>36.469000000000001</v>
      </c>
      <c r="M218" s="173">
        <f>'Cuota Artesanal'!J45</f>
        <v>0.13169047619047619</v>
      </c>
      <c r="N218" s="179" t="str">
        <f>'Cuota Artesanal'!Q45</f>
        <v>-</v>
      </c>
      <c r="O218" s="180">
        <f>Resumen!$B$3</f>
        <v>43689</v>
      </c>
    </row>
    <row r="219" spans="1:15" s="181" customFormat="1">
      <c r="A219" s="54" t="s">
        <v>129</v>
      </c>
      <c r="B219" s="53" t="s">
        <v>114</v>
      </c>
      <c r="C219" s="53" t="s">
        <v>45</v>
      </c>
      <c r="D219" s="53" t="s">
        <v>122</v>
      </c>
      <c r="E219" s="53" t="s">
        <v>146</v>
      </c>
      <c r="F219" s="53" t="s">
        <v>118</v>
      </c>
      <c r="G219" s="53" t="s">
        <v>119</v>
      </c>
      <c r="H219" s="142">
        <f>'Cuota Artesanal'!E46</f>
        <v>2</v>
      </c>
      <c r="I219" s="142">
        <f>'Cuota Artesanal'!F46</f>
        <v>0</v>
      </c>
      <c r="J219" s="142">
        <f>'Cuota Artesanal'!G46</f>
        <v>38.469000000000001</v>
      </c>
      <c r="K219" s="142">
        <f>'Cuota Artesanal'!H46</f>
        <v>0</v>
      </c>
      <c r="L219" s="142">
        <f>'Cuota Artesanal'!I46</f>
        <v>38.469000000000001</v>
      </c>
      <c r="M219" s="173">
        <f>'Cuota Artesanal'!J46</f>
        <v>0</v>
      </c>
      <c r="N219" s="179" t="str">
        <f>'Cuota Artesanal'!Q46</f>
        <v>-</v>
      </c>
      <c r="O219" s="180">
        <f>Resumen!$B$3</f>
        <v>43689</v>
      </c>
    </row>
    <row r="220" spans="1:15" s="181" customFormat="1">
      <c r="A220" s="54" t="s">
        <v>129</v>
      </c>
      <c r="B220" s="53" t="s">
        <v>114</v>
      </c>
      <c r="C220" s="53" t="s">
        <v>45</v>
      </c>
      <c r="D220" s="53" t="s">
        <v>122</v>
      </c>
      <c r="E220" s="53" t="s">
        <v>146</v>
      </c>
      <c r="F220" s="53" t="s">
        <v>116</v>
      </c>
      <c r="G220" s="53" t="s">
        <v>119</v>
      </c>
      <c r="H220" s="142">
        <f>'Cuota Artesanal'!M45</f>
        <v>44</v>
      </c>
      <c r="I220" s="142">
        <f>'Cuota Artesanal'!L45</f>
        <v>0</v>
      </c>
      <c r="J220" s="142">
        <f>'Cuota Artesanal'!M45</f>
        <v>44</v>
      </c>
      <c r="K220" s="142">
        <f>'Cuota Artesanal'!N45</f>
        <v>5.5309999999999997</v>
      </c>
      <c r="L220" s="142">
        <f>'Cuota Artesanal'!O45</f>
        <v>38.469000000000001</v>
      </c>
      <c r="M220" s="173">
        <f>'Cuota Artesanal'!P45</f>
        <v>0.12570454545454546</v>
      </c>
      <c r="N220" s="179" t="s">
        <v>154</v>
      </c>
      <c r="O220" s="180">
        <f>Resumen!$B$3</f>
        <v>43689</v>
      </c>
    </row>
    <row r="221" spans="1:15" s="181" customFormat="1">
      <c r="A221" s="53" t="s">
        <v>130</v>
      </c>
      <c r="B221" s="53" t="s">
        <v>114</v>
      </c>
      <c r="C221" s="53" t="s">
        <v>46</v>
      </c>
      <c r="D221" s="53" t="s">
        <v>122</v>
      </c>
      <c r="E221" s="53" t="s">
        <v>147</v>
      </c>
      <c r="F221" s="53" t="s">
        <v>116</v>
      </c>
      <c r="G221" s="53" t="s">
        <v>117</v>
      </c>
      <c r="H221" s="142">
        <f>'Cuota Artesanal'!E48</f>
        <v>919</v>
      </c>
      <c r="I221" s="142">
        <f>'Cuota Artesanal'!F48</f>
        <v>0</v>
      </c>
      <c r="J221" s="142">
        <f>'Cuota Artesanal'!G48</f>
        <v>919</v>
      </c>
      <c r="K221" s="142">
        <f>'Cuota Artesanal'!H48</f>
        <v>856.42399999999998</v>
      </c>
      <c r="L221" s="142">
        <f>'Cuota Artesanal'!I48</f>
        <v>62.576000000000022</v>
      </c>
      <c r="M221" s="173">
        <f>'Cuota Artesanal'!J48</f>
        <v>0.93190859630032641</v>
      </c>
      <c r="N221" s="179">
        <f>'Cuota Artesanal'!Q48</f>
        <v>43557</v>
      </c>
      <c r="O221" s="180">
        <f>Resumen!$B$3</f>
        <v>43689</v>
      </c>
    </row>
    <row r="222" spans="1:15" s="181" customFormat="1">
      <c r="A222" s="53" t="s">
        <v>130</v>
      </c>
      <c r="B222" s="53" t="s">
        <v>114</v>
      </c>
      <c r="C222" s="53" t="s">
        <v>46</v>
      </c>
      <c r="D222" s="53" t="s">
        <v>122</v>
      </c>
      <c r="E222" s="53" t="s">
        <v>147</v>
      </c>
      <c r="F222" s="53" t="s">
        <v>118</v>
      </c>
      <c r="G222" s="53" t="s">
        <v>119</v>
      </c>
      <c r="H222" s="142">
        <f>'Cuota Artesanal'!E49</f>
        <v>48</v>
      </c>
      <c r="I222" s="142">
        <f>'Cuota Artesanal'!F49</f>
        <v>0</v>
      </c>
      <c r="J222" s="142">
        <f>'Cuota Artesanal'!G49</f>
        <v>110.57600000000002</v>
      </c>
      <c r="K222" s="142">
        <f>'Cuota Artesanal'!H49</f>
        <v>0</v>
      </c>
      <c r="L222" s="142">
        <f>'Cuota Artesanal'!I49</f>
        <v>110.57600000000002</v>
      </c>
      <c r="M222" s="173">
        <f>'Cuota Artesanal'!J49</f>
        <v>0</v>
      </c>
      <c r="N222" s="179" t="str">
        <f>'Cuota Artesanal'!Q49</f>
        <v>-</v>
      </c>
      <c r="O222" s="180">
        <f>Resumen!$B$3</f>
        <v>43689</v>
      </c>
    </row>
    <row r="223" spans="1:15" s="181" customFormat="1">
      <c r="A223" s="53" t="s">
        <v>130</v>
      </c>
      <c r="B223" s="53" t="s">
        <v>114</v>
      </c>
      <c r="C223" s="53" t="s">
        <v>46</v>
      </c>
      <c r="D223" s="53" t="s">
        <v>122</v>
      </c>
      <c r="E223" s="53" t="s">
        <v>147</v>
      </c>
      <c r="F223" s="53" t="s">
        <v>116</v>
      </c>
      <c r="G223" s="53" t="s">
        <v>119</v>
      </c>
      <c r="H223" s="142">
        <f>'Cuota Artesanal'!K48</f>
        <v>967</v>
      </c>
      <c r="I223" s="142">
        <f>'Cuota Artesanal'!L48</f>
        <v>0</v>
      </c>
      <c r="J223" s="142">
        <f>'Cuota Artesanal'!M48</f>
        <v>967</v>
      </c>
      <c r="K223" s="142">
        <f>'Cuota Artesanal'!N48</f>
        <v>856.42399999999998</v>
      </c>
      <c r="L223" s="142">
        <f>'Cuota Artesanal'!O48</f>
        <v>110.57600000000002</v>
      </c>
      <c r="M223" s="173">
        <f>'Cuota Artesanal'!P48</f>
        <v>0.8856504653567735</v>
      </c>
      <c r="N223" s="179" t="s">
        <v>154</v>
      </c>
      <c r="O223" s="180">
        <f>Resumen!$B$3</f>
        <v>43689</v>
      </c>
    </row>
    <row r="224" spans="1:15" s="181" customFormat="1" ht="30">
      <c r="A224" s="53" t="s">
        <v>130</v>
      </c>
      <c r="B224" s="53" t="s">
        <v>114</v>
      </c>
      <c r="C224" s="53" t="s">
        <v>75</v>
      </c>
      <c r="D224" s="53" t="s">
        <v>155</v>
      </c>
      <c r="E224" s="185" t="s">
        <v>148</v>
      </c>
      <c r="F224" s="53" t="s">
        <v>116</v>
      </c>
      <c r="G224" s="53" t="s">
        <v>117</v>
      </c>
      <c r="H224" s="142">
        <f>'Cuota Artesanal'!E51</f>
        <v>94.058999999999997</v>
      </c>
      <c r="I224" s="142">
        <f>'Cuota Artesanal'!F51</f>
        <v>-98</v>
      </c>
      <c r="J224" s="142">
        <f>'Cuota Artesanal'!G51</f>
        <v>-3.9410000000000025</v>
      </c>
      <c r="K224" s="142">
        <f>'Cuota Artesanal'!H51</f>
        <v>0</v>
      </c>
      <c r="L224" s="142">
        <f>'Cuota Artesanal'!I51</f>
        <v>-3.9410000000000025</v>
      </c>
      <c r="M224" s="173">
        <f>'Cuota Artesanal'!J51</f>
        <v>0</v>
      </c>
      <c r="N224" s="179">
        <f>'Cuota Artesanal'!Q51</f>
        <v>43581</v>
      </c>
      <c r="O224" s="180">
        <f>Resumen!$B$3</f>
        <v>43689</v>
      </c>
    </row>
    <row r="225" spans="1:15" s="181" customFormat="1" ht="30">
      <c r="A225" s="53" t="s">
        <v>130</v>
      </c>
      <c r="B225" s="53" t="s">
        <v>114</v>
      </c>
      <c r="C225" s="53" t="s">
        <v>75</v>
      </c>
      <c r="D225" s="53" t="s">
        <v>155</v>
      </c>
      <c r="E225" s="185" t="s">
        <v>148</v>
      </c>
      <c r="F225" s="53" t="s">
        <v>118</v>
      </c>
      <c r="G225" s="53" t="s">
        <v>119</v>
      </c>
      <c r="H225" s="142">
        <f>'Cuota Artesanal'!E52</f>
        <v>4.944</v>
      </c>
      <c r="I225" s="142">
        <f>'Cuota Artesanal'!F52</f>
        <v>0</v>
      </c>
      <c r="J225" s="142">
        <f>'Cuota Artesanal'!G52</f>
        <v>1.0029999999999974</v>
      </c>
      <c r="K225" s="142">
        <f>'Cuota Artesanal'!H52</f>
        <v>0</v>
      </c>
      <c r="L225" s="142">
        <f>'Cuota Artesanal'!I52</f>
        <v>1.0029999999999974</v>
      </c>
      <c r="M225" s="173">
        <f>'Cuota Artesanal'!J52</f>
        <v>0</v>
      </c>
      <c r="N225" s="179" t="str">
        <f>'Cuota Artesanal'!Q52</f>
        <v>-</v>
      </c>
      <c r="O225" s="180">
        <f>Resumen!$B$3</f>
        <v>43689</v>
      </c>
    </row>
    <row r="226" spans="1:15" s="181" customFormat="1" ht="30">
      <c r="A226" s="53" t="s">
        <v>130</v>
      </c>
      <c r="B226" s="53" t="s">
        <v>114</v>
      </c>
      <c r="C226" s="53" t="s">
        <v>75</v>
      </c>
      <c r="D226" s="53" t="s">
        <v>155</v>
      </c>
      <c r="E226" s="185" t="s">
        <v>148</v>
      </c>
      <c r="F226" s="53" t="s">
        <v>116</v>
      </c>
      <c r="G226" s="53" t="s">
        <v>119</v>
      </c>
      <c r="H226" s="142">
        <f>'Cuota Artesanal'!K51</f>
        <v>99.003</v>
      </c>
      <c r="I226" s="142">
        <f>'Cuota Artesanal'!L51</f>
        <v>-98</v>
      </c>
      <c r="J226" s="142">
        <f>'Cuota Artesanal'!M51</f>
        <v>1.0030000000000001</v>
      </c>
      <c r="K226" s="142">
        <f>'Cuota Artesanal'!N51</f>
        <v>0</v>
      </c>
      <c r="L226" s="142">
        <f>'Cuota Artesanal'!O51</f>
        <v>1.0030000000000001</v>
      </c>
      <c r="M226" s="173">
        <f>'Cuota Artesanal'!P51</f>
        <v>0</v>
      </c>
      <c r="N226" s="179" t="s">
        <v>154</v>
      </c>
      <c r="O226" s="180">
        <f>Resumen!$B$3</f>
        <v>43689</v>
      </c>
    </row>
    <row r="227" spans="1:15" s="181" customFormat="1" ht="30">
      <c r="A227" s="53" t="s">
        <v>130</v>
      </c>
      <c r="B227" s="53" t="s">
        <v>114</v>
      </c>
      <c r="C227" s="53" t="s">
        <v>75</v>
      </c>
      <c r="D227" s="53" t="s">
        <v>155</v>
      </c>
      <c r="E227" s="185" t="s">
        <v>172</v>
      </c>
      <c r="F227" s="53" t="s">
        <v>116</v>
      </c>
      <c r="G227" s="53" t="s">
        <v>117</v>
      </c>
      <c r="H227" s="142">
        <f>'Cuota Artesanal'!E53</f>
        <v>444.37200000000001</v>
      </c>
      <c r="I227" s="142">
        <f>'Cuota Artesanal'!F53</f>
        <v>-413.779</v>
      </c>
      <c r="J227" s="142">
        <f>'Cuota Artesanal'!G53</f>
        <v>30.593000000000018</v>
      </c>
      <c r="K227" s="142">
        <f>'Cuota Artesanal'!H53</f>
        <v>55.59</v>
      </c>
      <c r="L227" s="142">
        <f>'Cuota Artesanal'!I53</f>
        <v>-24.996999999999986</v>
      </c>
      <c r="M227" s="173">
        <f>'Cuota Artesanal'!J53</f>
        <v>1.8170823390971782</v>
      </c>
      <c r="N227" s="179">
        <f>'Cuota Artesanal'!Q53</f>
        <v>43525</v>
      </c>
      <c r="O227" s="180">
        <f>Resumen!$B$3</f>
        <v>43689</v>
      </c>
    </row>
    <row r="228" spans="1:15" s="181" customFormat="1" ht="30">
      <c r="A228" s="53" t="s">
        <v>130</v>
      </c>
      <c r="B228" s="53" t="s">
        <v>114</v>
      </c>
      <c r="C228" s="53" t="s">
        <v>75</v>
      </c>
      <c r="D228" s="53" t="s">
        <v>155</v>
      </c>
      <c r="E228" s="185" t="s">
        <v>172</v>
      </c>
      <c r="F228" s="53" t="s">
        <v>118</v>
      </c>
      <c r="G228" s="53" t="s">
        <v>119</v>
      </c>
      <c r="H228" s="142">
        <f>'Cuota Artesanal'!E54</f>
        <v>23.358000000000001</v>
      </c>
      <c r="I228" s="142">
        <f>'Cuota Artesanal'!F54</f>
        <v>0</v>
      </c>
      <c r="J228" s="142">
        <f>'Cuota Artesanal'!G54</f>
        <v>0</v>
      </c>
      <c r="K228" s="142">
        <f>'Cuota Artesanal'!H54</f>
        <v>0</v>
      </c>
      <c r="L228" s="142">
        <f>'Cuota Artesanal'!I54</f>
        <v>0</v>
      </c>
      <c r="M228" s="173">
        <f>'Cuota Artesanal'!J54</f>
        <v>0</v>
      </c>
      <c r="N228" s="179">
        <f>'Cuota Artesanal'!Q54</f>
        <v>43525</v>
      </c>
      <c r="O228" s="180">
        <f>Resumen!$B$3</f>
        <v>43689</v>
      </c>
    </row>
    <row r="229" spans="1:15" s="181" customFormat="1" ht="30">
      <c r="A229" s="53" t="s">
        <v>130</v>
      </c>
      <c r="B229" s="53" t="s">
        <v>114</v>
      </c>
      <c r="C229" s="53" t="s">
        <v>75</v>
      </c>
      <c r="D229" s="53" t="s">
        <v>155</v>
      </c>
      <c r="E229" s="185" t="s">
        <v>172</v>
      </c>
      <c r="F229" s="53" t="s">
        <v>116</v>
      </c>
      <c r="G229" s="53" t="s">
        <v>119</v>
      </c>
      <c r="H229" s="142">
        <f>'Cuota Artesanal'!K53</f>
        <v>467.73</v>
      </c>
      <c r="I229" s="142">
        <f>'Cuota Artesanal'!L53</f>
        <v>-413.779</v>
      </c>
      <c r="J229" s="142">
        <f>'Cuota Artesanal'!M53</f>
        <v>53.951000000000022</v>
      </c>
      <c r="K229" s="142">
        <f>'Cuota Artesanal'!N53</f>
        <v>55.59</v>
      </c>
      <c r="L229" s="142">
        <f>'Cuota Artesanal'!O53</f>
        <v>-1.6389999999999816</v>
      </c>
      <c r="M229" s="173">
        <f>'Cuota Artesanal'!P53</f>
        <v>1.030379418361105</v>
      </c>
      <c r="N229" s="179" t="s">
        <v>154</v>
      </c>
      <c r="O229" s="180">
        <f>Resumen!$B$3</f>
        <v>43689</v>
      </c>
    </row>
    <row r="230" spans="1:15" s="181" customFormat="1" ht="30">
      <c r="A230" s="53" t="s">
        <v>130</v>
      </c>
      <c r="B230" s="53" t="s">
        <v>114</v>
      </c>
      <c r="C230" s="53" t="s">
        <v>75</v>
      </c>
      <c r="D230" s="53" t="s">
        <v>155</v>
      </c>
      <c r="E230" s="185" t="s">
        <v>173</v>
      </c>
      <c r="F230" s="53" t="s">
        <v>116</v>
      </c>
      <c r="G230" s="53" t="s">
        <v>117</v>
      </c>
      <c r="H230" s="142">
        <f>'Cuota Artesanal'!E55</f>
        <v>2712.7730000000001</v>
      </c>
      <c r="I230" s="142">
        <f>'Cuota Artesanal'!F55</f>
        <v>-2710</v>
      </c>
      <c r="J230" s="142">
        <f>'Cuota Artesanal'!G55</f>
        <v>2.7730000000001382</v>
      </c>
      <c r="K230" s="142">
        <f>'Cuota Artesanal'!H55</f>
        <v>66.307000000000002</v>
      </c>
      <c r="L230" s="142">
        <f>'Cuota Artesanal'!I55</f>
        <v>-63.533999999999864</v>
      </c>
      <c r="M230" s="173">
        <f>'Cuota Artesanal'!J55</f>
        <v>23.911648034618356</v>
      </c>
      <c r="N230" s="179" t="str">
        <f>'Cuota Artesanal'!Q55</f>
        <v>-</v>
      </c>
      <c r="O230" s="180">
        <f>Resumen!$B$3</f>
        <v>43689</v>
      </c>
    </row>
    <row r="231" spans="1:15" s="181" customFormat="1" ht="30">
      <c r="A231" s="53" t="s">
        <v>130</v>
      </c>
      <c r="B231" s="53" t="s">
        <v>114</v>
      </c>
      <c r="C231" s="53" t="s">
        <v>75</v>
      </c>
      <c r="D231" s="53" t="s">
        <v>155</v>
      </c>
      <c r="E231" s="185" t="s">
        <v>173</v>
      </c>
      <c r="F231" s="53" t="s">
        <v>118</v>
      </c>
      <c r="G231" s="53" t="s">
        <v>119</v>
      </c>
      <c r="H231" s="142">
        <f>'Cuota Artesanal'!E56</f>
        <v>142.59200000000001</v>
      </c>
      <c r="I231" s="142">
        <f>'Cuota Artesanal'!F56</f>
        <v>0</v>
      </c>
      <c r="J231" s="142">
        <f>'Cuota Artesanal'!G56</f>
        <v>79.058000000000149</v>
      </c>
      <c r="K231" s="142">
        <f>'Cuota Artesanal'!H56</f>
        <v>0</v>
      </c>
      <c r="L231" s="142">
        <f>'Cuota Artesanal'!I56</f>
        <v>79.058000000000149</v>
      </c>
      <c r="M231" s="173">
        <f>'Cuota Artesanal'!J56</f>
        <v>0</v>
      </c>
      <c r="N231" s="179" t="str">
        <f>'Cuota Artesanal'!Q56</f>
        <v>-</v>
      </c>
      <c r="O231" s="180">
        <f>Resumen!$B$3</f>
        <v>43689</v>
      </c>
    </row>
    <row r="232" spans="1:15" s="181" customFormat="1" ht="30">
      <c r="A232" s="53" t="s">
        <v>130</v>
      </c>
      <c r="B232" s="53" t="s">
        <v>114</v>
      </c>
      <c r="C232" s="53" t="s">
        <v>75</v>
      </c>
      <c r="D232" s="53" t="s">
        <v>155</v>
      </c>
      <c r="E232" s="185" t="s">
        <v>173</v>
      </c>
      <c r="F232" s="53" t="s">
        <v>116</v>
      </c>
      <c r="G232" s="53" t="s">
        <v>119</v>
      </c>
      <c r="H232" s="142">
        <f>'Cuota Artesanal'!K55</f>
        <v>2855.3650000000002</v>
      </c>
      <c r="I232" s="142">
        <f>'Cuota Artesanal'!L55</f>
        <v>-2710</v>
      </c>
      <c r="J232" s="142">
        <f>'Cuota Artesanal'!M55</f>
        <v>145.36500000000024</v>
      </c>
      <c r="K232" s="142">
        <f>'Cuota Artesanal'!N55</f>
        <v>66.307000000000002</v>
      </c>
      <c r="L232" s="142">
        <f>'Cuota Artesanal'!O55</f>
        <v>79.058000000000234</v>
      </c>
      <c r="M232" s="173">
        <f>'Cuota Artesanal'!P55</f>
        <v>0.45614143707219684</v>
      </c>
      <c r="N232" s="179" t="s">
        <v>154</v>
      </c>
      <c r="O232" s="180">
        <f>Resumen!$B$3</f>
        <v>43689</v>
      </c>
    </row>
    <row r="233" spans="1:15" s="181" customFormat="1" ht="30">
      <c r="A233" s="53" t="s">
        <v>130</v>
      </c>
      <c r="B233" s="53" t="s">
        <v>114</v>
      </c>
      <c r="C233" s="53" t="s">
        <v>75</v>
      </c>
      <c r="D233" s="53" t="s">
        <v>155</v>
      </c>
      <c r="E233" s="185" t="s">
        <v>174</v>
      </c>
      <c r="F233" s="53" t="s">
        <v>116</v>
      </c>
      <c r="G233" s="53" t="s">
        <v>117</v>
      </c>
      <c r="H233" s="142">
        <f>'Cuota Artesanal'!E57</f>
        <v>453.315</v>
      </c>
      <c r="I233" s="142">
        <f>'Cuota Artesanal'!F57</f>
        <v>-470</v>
      </c>
      <c r="J233" s="142">
        <f>'Cuota Artesanal'!G57</f>
        <v>-16.685000000000002</v>
      </c>
      <c r="K233" s="142">
        <f>'Cuota Artesanal'!H57</f>
        <v>0</v>
      </c>
      <c r="L233" s="142">
        <f>'Cuota Artesanal'!I57</f>
        <v>-16.685000000000002</v>
      </c>
      <c r="M233" s="173">
        <f>'Cuota Artesanal'!J57</f>
        <v>0</v>
      </c>
      <c r="N233" s="179" t="str">
        <f>'Cuota Artesanal'!Q57</f>
        <v>-</v>
      </c>
      <c r="O233" s="180">
        <f>Resumen!$B$3</f>
        <v>43689</v>
      </c>
    </row>
    <row r="234" spans="1:15" s="181" customFormat="1" ht="30">
      <c r="A234" s="53" t="s">
        <v>130</v>
      </c>
      <c r="B234" s="53" t="s">
        <v>114</v>
      </c>
      <c r="C234" s="53" t="s">
        <v>75</v>
      </c>
      <c r="D234" s="53" t="s">
        <v>155</v>
      </c>
      <c r="E234" s="185" t="s">
        <v>174</v>
      </c>
      <c r="F234" s="53" t="s">
        <v>118</v>
      </c>
      <c r="G234" s="53" t="s">
        <v>119</v>
      </c>
      <c r="H234" s="142">
        <f>'Cuota Artesanal'!E58</f>
        <v>23.827999999999999</v>
      </c>
      <c r="I234" s="142">
        <f>'Cuota Artesanal'!F58</f>
        <v>0</v>
      </c>
      <c r="J234" s="142">
        <f>'Cuota Artesanal'!G58</f>
        <v>7.1429999999999971</v>
      </c>
      <c r="K234" s="142">
        <f>'Cuota Artesanal'!H58</f>
        <v>0</v>
      </c>
      <c r="L234" s="142">
        <f>'Cuota Artesanal'!I58</f>
        <v>7.1429999999999971</v>
      </c>
      <c r="M234" s="173">
        <f>'Cuota Artesanal'!J58</f>
        <v>0</v>
      </c>
      <c r="N234" s="179" t="str">
        <f>'Cuota Artesanal'!Q58</f>
        <v>-</v>
      </c>
      <c r="O234" s="180">
        <f>Resumen!$B$3</f>
        <v>43689</v>
      </c>
    </row>
    <row r="235" spans="1:15" s="181" customFormat="1" ht="30">
      <c r="A235" s="53" t="s">
        <v>130</v>
      </c>
      <c r="B235" s="53" t="s">
        <v>114</v>
      </c>
      <c r="C235" s="53" t="s">
        <v>75</v>
      </c>
      <c r="D235" s="53" t="s">
        <v>155</v>
      </c>
      <c r="E235" s="185" t="s">
        <v>174</v>
      </c>
      <c r="F235" s="53" t="s">
        <v>116</v>
      </c>
      <c r="G235" s="53" t="s">
        <v>119</v>
      </c>
      <c r="H235" s="142">
        <f>'Cuota Artesanal'!K57</f>
        <v>477.14299999999997</v>
      </c>
      <c r="I235" s="142">
        <f>'Cuota Artesanal'!L57</f>
        <v>-470</v>
      </c>
      <c r="J235" s="142">
        <f>'Cuota Artesanal'!M57</f>
        <v>7.1429999999999723</v>
      </c>
      <c r="K235" s="142">
        <f>'Cuota Artesanal'!N57</f>
        <v>0</v>
      </c>
      <c r="L235" s="142">
        <f>'Cuota Artesanal'!O57</f>
        <v>7.1429999999999723</v>
      </c>
      <c r="M235" s="173">
        <f>'Cuota Artesanal'!P57</f>
        <v>0.98502964520070513</v>
      </c>
      <c r="N235" s="179" t="s">
        <v>154</v>
      </c>
      <c r="O235" s="180">
        <f>Resumen!$B$3</f>
        <v>43689</v>
      </c>
    </row>
    <row r="236" spans="1:15" s="181" customFormat="1" ht="30">
      <c r="A236" s="53" t="s">
        <v>130</v>
      </c>
      <c r="B236" s="53" t="s">
        <v>114</v>
      </c>
      <c r="C236" s="53" t="s">
        <v>75</v>
      </c>
      <c r="D236" s="53" t="s">
        <v>155</v>
      </c>
      <c r="E236" s="185" t="s">
        <v>175</v>
      </c>
      <c r="F236" s="53" t="s">
        <v>116</v>
      </c>
      <c r="G236" s="53" t="s">
        <v>117</v>
      </c>
      <c r="H236" s="142">
        <f>'Cuota Artesanal'!E59</f>
        <v>1437.3420000000001</v>
      </c>
      <c r="I236" s="142">
        <f>'Cuota Artesanal'!F59</f>
        <v>-1400</v>
      </c>
      <c r="J236" s="142">
        <f>'Cuota Artesanal'!G59</f>
        <v>37.342000000000098</v>
      </c>
      <c r="K236" s="142">
        <f>'Cuota Artesanal'!H59</f>
        <v>0</v>
      </c>
      <c r="L236" s="142">
        <f>'Cuota Artesanal'!I59</f>
        <v>37.342000000000098</v>
      </c>
      <c r="M236" s="173">
        <f>'Cuota Artesanal'!J59</f>
        <v>0</v>
      </c>
      <c r="N236" s="179" t="str">
        <f>'Cuota Artesanal'!Q59</f>
        <v>-</v>
      </c>
      <c r="O236" s="180">
        <f>Resumen!$B$3</f>
        <v>43689</v>
      </c>
    </row>
    <row r="237" spans="1:15" s="181" customFormat="1" ht="30">
      <c r="A237" s="53" t="s">
        <v>130</v>
      </c>
      <c r="B237" s="53" t="s">
        <v>114</v>
      </c>
      <c r="C237" s="53" t="s">
        <v>75</v>
      </c>
      <c r="D237" s="53" t="s">
        <v>155</v>
      </c>
      <c r="E237" s="185" t="s">
        <v>175</v>
      </c>
      <c r="F237" s="53" t="s">
        <v>118</v>
      </c>
      <c r="G237" s="53" t="s">
        <v>119</v>
      </c>
      <c r="H237" s="142">
        <f>'Cuota Artesanal'!E60</f>
        <v>75.551000000000002</v>
      </c>
      <c r="I237" s="142">
        <f>'Cuota Artesanal'!F60</f>
        <v>0</v>
      </c>
      <c r="J237" s="142">
        <f>'Cuota Artesanal'!G60</f>
        <v>112.8930000000001</v>
      </c>
      <c r="K237" s="142">
        <f>'Cuota Artesanal'!H60</f>
        <v>0</v>
      </c>
      <c r="L237" s="142">
        <f>'Cuota Artesanal'!I60</f>
        <v>112.8930000000001</v>
      </c>
      <c r="M237" s="173">
        <f>'Cuota Artesanal'!J60</f>
        <v>0</v>
      </c>
      <c r="N237" s="179" t="str">
        <f>'Cuota Artesanal'!Q60</f>
        <v>-</v>
      </c>
      <c r="O237" s="180">
        <f>Resumen!$B$3</f>
        <v>43689</v>
      </c>
    </row>
    <row r="238" spans="1:15" s="181" customFormat="1" ht="30">
      <c r="A238" s="53" t="s">
        <v>130</v>
      </c>
      <c r="B238" s="53" t="s">
        <v>114</v>
      </c>
      <c r="C238" s="53" t="s">
        <v>75</v>
      </c>
      <c r="D238" s="53" t="s">
        <v>155</v>
      </c>
      <c r="E238" s="185" t="s">
        <v>175</v>
      </c>
      <c r="F238" s="53" t="s">
        <v>116</v>
      </c>
      <c r="G238" s="53" t="s">
        <v>119</v>
      </c>
      <c r="H238" s="142">
        <f>'Cuota Artesanal'!K59</f>
        <v>1512.893</v>
      </c>
      <c r="I238" s="142">
        <f>'Cuota Artesanal'!L59</f>
        <v>-1400</v>
      </c>
      <c r="J238" s="142">
        <f>'Cuota Artesanal'!M59</f>
        <v>112.89300000000003</v>
      </c>
      <c r="K238" s="142">
        <f>'Cuota Artesanal'!N59</f>
        <v>0</v>
      </c>
      <c r="L238" s="142">
        <f>'Cuota Artesanal'!O59</f>
        <v>112.89300000000003</v>
      </c>
      <c r="M238" s="173">
        <f>'Cuota Artesanal'!P59</f>
        <v>0</v>
      </c>
      <c r="N238" s="179" t="s">
        <v>154</v>
      </c>
      <c r="O238" s="180">
        <f>Resumen!$B$3</f>
        <v>43689</v>
      </c>
    </row>
    <row r="239" spans="1:15" s="181" customFormat="1" ht="45">
      <c r="A239" s="53" t="s">
        <v>130</v>
      </c>
      <c r="B239" s="53" t="s">
        <v>114</v>
      </c>
      <c r="C239" s="53" t="s">
        <v>75</v>
      </c>
      <c r="D239" s="53" t="s">
        <v>155</v>
      </c>
      <c r="E239" s="185" t="s">
        <v>180</v>
      </c>
      <c r="F239" s="53" t="s">
        <v>116</v>
      </c>
      <c r="G239" s="53" t="s">
        <v>117</v>
      </c>
      <c r="H239" s="142">
        <f>'Cuota Artesanal'!E61</f>
        <v>2.3860000000000001</v>
      </c>
      <c r="I239" s="142">
        <f>'Cuota Artesanal'!F61</f>
        <v>0</v>
      </c>
      <c r="J239" s="142">
        <f>'Cuota Artesanal'!G61</f>
        <v>2.3860000000000001</v>
      </c>
      <c r="K239" s="142">
        <f>'Cuota Artesanal'!H61</f>
        <v>0</v>
      </c>
      <c r="L239" s="142">
        <f>'Cuota Artesanal'!I61</f>
        <v>2.3860000000000001</v>
      </c>
      <c r="M239" s="173">
        <f>'Cuota Artesanal'!J61</f>
        <v>0</v>
      </c>
      <c r="N239" s="179" t="str">
        <f>'Cuota Artesanal'!Q61</f>
        <v>-</v>
      </c>
      <c r="O239" s="180">
        <f>Resumen!$B$3</f>
        <v>43689</v>
      </c>
    </row>
    <row r="240" spans="1:15" s="181" customFormat="1" ht="45">
      <c r="A240" s="53" t="s">
        <v>130</v>
      </c>
      <c r="B240" s="53" t="s">
        <v>114</v>
      </c>
      <c r="C240" s="53" t="s">
        <v>75</v>
      </c>
      <c r="D240" s="53" t="s">
        <v>155</v>
      </c>
      <c r="E240" s="185" t="s">
        <v>180</v>
      </c>
      <c r="F240" s="53" t="s">
        <v>118</v>
      </c>
      <c r="G240" s="53" t="s">
        <v>119</v>
      </c>
      <c r="H240" s="142">
        <f>'Cuota Artesanal'!E62</f>
        <v>0.125</v>
      </c>
      <c r="I240" s="142">
        <f>'Cuota Artesanal'!F62</f>
        <v>0</v>
      </c>
      <c r="J240" s="142">
        <f>'Cuota Artesanal'!G62</f>
        <v>2.5110000000000001</v>
      </c>
      <c r="K240" s="142">
        <f>'Cuota Artesanal'!H62</f>
        <v>0</v>
      </c>
      <c r="L240" s="142">
        <f>'Cuota Artesanal'!I62</f>
        <v>2.5110000000000001</v>
      </c>
      <c r="M240" s="173">
        <f>'Cuota Artesanal'!J62</f>
        <v>0</v>
      </c>
      <c r="N240" s="179" t="str">
        <f>'Cuota Artesanal'!Q62</f>
        <v>-</v>
      </c>
      <c r="O240" s="180">
        <f>Resumen!$B$3</f>
        <v>43689</v>
      </c>
    </row>
    <row r="241" spans="1:15" s="181" customFormat="1" ht="45">
      <c r="A241" s="53" t="s">
        <v>130</v>
      </c>
      <c r="B241" s="53" t="s">
        <v>114</v>
      </c>
      <c r="C241" s="53" t="s">
        <v>75</v>
      </c>
      <c r="D241" s="53" t="s">
        <v>155</v>
      </c>
      <c r="E241" s="185" t="s">
        <v>180</v>
      </c>
      <c r="F241" s="53" t="s">
        <v>116</v>
      </c>
      <c r="G241" s="53" t="s">
        <v>119</v>
      </c>
      <c r="H241" s="142">
        <f>'Cuota Artesanal'!K61</f>
        <v>2.5110000000000001</v>
      </c>
      <c r="I241" s="142">
        <f>'Cuota Artesanal'!L61</f>
        <v>0</v>
      </c>
      <c r="J241" s="142">
        <f>'Cuota Artesanal'!M61</f>
        <v>2.5110000000000001</v>
      </c>
      <c r="K241" s="142">
        <f>'Cuota Artesanal'!N61</f>
        <v>0</v>
      </c>
      <c r="L241" s="142">
        <f>'Cuota Artesanal'!O61</f>
        <v>2.5110000000000001</v>
      </c>
      <c r="M241" s="173">
        <f>'Cuota Artesanal'!P61</f>
        <v>0</v>
      </c>
      <c r="N241" s="179" t="s">
        <v>154</v>
      </c>
      <c r="O241" s="180">
        <f>Resumen!$B$3</f>
        <v>43689</v>
      </c>
    </row>
    <row r="242" spans="1:15" s="181" customFormat="1" ht="30">
      <c r="A242" s="53" t="s">
        <v>130</v>
      </c>
      <c r="B242" s="53" t="s">
        <v>114</v>
      </c>
      <c r="C242" s="53" t="s">
        <v>75</v>
      </c>
      <c r="D242" s="53" t="s">
        <v>155</v>
      </c>
      <c r="E242" s="185" t="s">
        <v>149</v>
      </c>
      <c r="F242" s="53" t="s">
        <v>116</v>
      </c>
      <c r="G242" s="53" t="s">
        <v>117</v>
      </c>
      <c r="H242" s="142">
        <f>'Cuota Artesanal'!E63</f>
        <v>683.07399999999996</v>
      </c>
      <c r="I242" s="142">
        <f>'Cuota Artesanal'!F63</f>
        <v>-713.13099999999997</v>
      </c>
      <c r="J242" s="142">
        <f>'Cuota Artesanal'!G63</f>
        <v>-30.057000000000016</v>
      </c>
      <c r="K242" s="142">
        <f>'Cuota Artesanal'!H63</f>
        <v>0</v>
      </c>
      <c r="L242" s="142">
        <f>'Cuota Artesanal'!I63</f>
        <v>-30.057000000000016</v>
      </c>
      <c r="M242" s="173">
        <f>'Cuota Artesanal'!J63</f>
        <v>0</v>
      </c>
      <c r="N242" s="179">
        <f>'Cuota Artesanal'!Q63</f>
        <v>43510</v>
      </c>
      <c r="O242" s="180">
        <f>Resumen!$B$3</f>
        <v>43689</v>
      </c>
    </row>
    <row r="243" spans="1:15" s="181" customFormat="1" ht="30">
      <c r="A243" s="53" t="s">
        <v>130</v>
      </c>
      <c r="B243" s="53" t="s">
        <v>114</v>
      </c>
      <c r="C243" s="53" t="s">
        <v>75</v>
      </c>
      <c r="D243" s="53" t="s">
        <v>155</v>
      </c>
      <c r="E243" s="185" t="s">
        <v>149</v>
      </c>
      <c r="F243" s="53" t="s">
        <v>118</v>
      </c>
      <c r="G243" s="53" t="s">
        <v>119</v>
      </c>
      <c r="H243" s="142">
        <f>'Cuota Artesanal'!E64</f>
        <v>35.904000000000003</v>
      </c>
      <c r="I243" s="142">
        <f>'Cuota Artesanal'!F64</f>
        <v>0</v>
      </c>
      <c r="J243" s="142">
        <f>'Cuota Artesanal'!G64</f>
        <v>5.8469999999999871</v>
      </c>
      <c r="K243" s="142">
        <f>'Cuota Artesanal'!H64</f>
        <v>0</v>
      </c>
      <c r="L243" s="142">
        <f>'Cuota Artesanal'!I64</f>
        <v>5.8469999999999871</v>
      </c>
      <c r="M243" s="173">
        <f>'Cuota Artesanal'!J64</f>
        <v>0</v>
      </c>
      <c r="N243" s="179" t="str">
        <f>'Cuota Artesanal'!Q64</f>
        <v>-</v>
      </c>
      <c r="O243" s="180">
        <f>Resumen!$B$3</f>
        <v>43689</v>
      </c>
    </row>
    <row r="244" spans="1:15" s="181" customFormat="1" ht="30">
      <c r="A244" s="53" t="s">
        <v>130</v>
      </c>
      <c r="B244" s="53" t="s">
        <v>114</v>
      </c>
      <c r="C244" s="53" t="s">
        <v>75</v>
      </c>
      <c r="D244" s="53" t="s">
        <v>155</v>
      </c>
      <c r="E244" s="185" t="s">
        <v>149</v>
      </c>
      <c r="F244" s="53" t="s">
        <v>116</v>
      </c>
      <c r="G244" s="53" t="s">
        <v>119</v>
      </c>
      <c r="H244" s="142">
        <f>'Cuota Artesanal'!K63</f>
        <v>718.97799999999995</v>
      </c>
      <c r="I244" s="142">
        <f>'Cuota Artesanal'!L63</f>
        <v>-713.13099999999997</v>
      </c>
      <c r="J244" s="142">
        <f>'Cuota Artesanal'!M63</f>
        <v>5.84699999999998</v>
      </c>
      <c r="K244" s="142">
        <f>'Cuota Artesanal'!N63</f>
        <v>0</v>
      </c>
      <c r="L244" s="142">
        <f>'Cuota Artesanal'!O63</f>
        <v>5.84699999999998</v>
      </c>
      <c r="M244" s="173">
        <f>'Cuota Artesanal'!P63</f>
        <v>0</v>
      </c>
      <c r="N244" s="179" t="s">
        <v>154</v>
      </c>
      <c r="O244" s="180">
        <f>Resumen!$B$3</f>
        <v>43689</v>
      </c>
    </row>
    <row r="245" spans="1:15" s="181" customFormat="1" ht="45">
      <c r="A245" s="53" t="s">
        <v>130</v>
      </c>
      <c r="B245" s="53" t="s">
        <v>114</v>
      </c>
      <c r="C245" s="53" t="s">
        <v>75</v>
      </c>
      <c r="D245" s="53" t="s">
        <v>155</v>
      </c>
      <c r="E245" s="185" t="s">
        <v>176</v>
      </c>
      <c r="F245" s="53" t="s">
        <v>116</v>
      </c>
      <c r="G245" s="53" t="s">
        <v>117</v>
      </c>
      <c r="H245" s="142">
        <f>'Cuota Artesanal'!E65</f>
        <v>91.641000000000005</v>
      </c>
      <c r="I245" s="142">
        <f>'Cuota Artesanal'!F65</f>
        <v>-80</v>
      </c>
      <c r="J245" s="142">
        <f>'Cuota Artesanal'!G65</f>
        <v>11.641000000000005</v>
      </c>
      <c r="K245" s="142">
        <f>'Cuota Artesanal'!H65</f>
        <v>0</v>
      </c>
      <c r="L245" s="142">
        <f>'Cuota Artesanal'!I65</f>
        <v>11.641000000000005</v>
      </c>
      <c r="M245" s="173">
        <f>'Cuota Artesanal'!J65</f>
        <v>0</v>
      </c>
      <c r="N245" s="179" t="str">
        <f>'Cuota Artesanal'!Q65</f>
        <v>-</v>
      </c>
      <c r="O245" s="180">
        <f>Resumen!$B$3</f>
        <v>43689</v>
      </c>
    </row>
    <row r="246" spans="1:15" s="181" customFormat="1" ht="45">
      <c r="A246" s="53" t="s">
        <v>130</v>
      </c>
      <c r="B246" s="53" t="s">
        <v>114</v>
      </c>
      <c r="C246" s="53" t="s">
        <v>75</v>
      </c>
      <c r="D246" s="53" t="s">
        <v>155</v>
      </c>
      <c r="E246" s="185" t="s">
        <v>177</v>
      </c>
      <c r="F246" s="53" t="s">
        <v>118</v>
      </c>
      <c r="G246" s="53" t="s">
        <v>119</v>
      </c>
      <c r="H246" s="142">
        <f>'Cuota Artesanal'!E66</f>
        <v>4.8170000000000002</v>
      </c>
      <c r="I246" s="142">
        <f>'Cuota Artesanal'!F66</f>
        <v>0</v>
      </c>
      <c r="J246" s="142">
        <f>'Cuota Artesanal'!G66</f>
        <v>16.458000000000006</v>
      </c>
      <c r="K246" s="142">
        <f>'Cuota Artesanal'!H66</f>
        <v>0</v>
      </c>
      <c r="L246" s="142">
        <f>'Cuota Artesanal'!I66</f>
        <v>16.458000000000006</v>
      </c>
      <c r="M246" s="173">
        <f>'Cuota Artesanal'!J66</f>
        <v>0</v>
      </c>
      <c r="N246" s="179" t="str">
        <f>'Cuota Artesanal'!Q66</f>
        <v>-</v>
      </c>
      <c r="O246" s="180">
        <f>Resumen!$B$3</f>
        <v>43689</v>
      </c>
    </row>
    <row r="247" spans="1:15" s="181" customFormat="1" ht="45">
      <c r="A247" s="53" t="s">
        <v>130</v>
      </c>
      <c r="B247" s="53" t="s">
        <v>114</v>
      </c>
      <c r="C247" s="53" t="s">
        <v>75</v>
      </c>
      <c r="D247" s="53" t="s">
        <v>155</v>
      </c>
      <c r="E247" s="185" t="s">
        <v>178</v>
      </c>
      <c r="F247" s="53" t="s">
        <v>116</v>
      </c>
      <c r="G247" s="53" t="s">
        <v>119</v>
      </c>
      <c r="H247" s="142">
        <f>'Cuota Artesanal'!K65</f>
        <v>96.457999999999998</v>
      </c>
      <c r="I247" s="142">
        <f>'Cuota Artesanal'!L65</f>
        <v>-80</v>
      </c>
      <c r="J247" s="142">
        <f>'Cuota Artesanal'!M65</f>
        <v>16.457999999999998</v>
      </c>
      <c r="K247" s="142">
        <f>'Cuota Artesanal'!N65</f>
        <v>0</v>
      </c>
      <c r="L247" s="142">
        <f>'Cuota Artesanal'!O65</f>
        <v>16.457999999999998</v>
      </c>
      <c r="M247" s="173">
        <f>'Cuota Artesanal'!P65</f>
        <v>0</v>
      </c>
      <c r="N247" s="179" t="s">
        <v>154</v>
      </c>
      <c r="O247" s="180">
        <f>Resumen!$B$3</f>
        <v>43689</v>
      </c>
    </row>
    <row r="248" spans="1:15" s="181" customFormat="1">
      <c r="A248" s="53" t="s">
        <v>130</v>
      </c>
      <c r="B248" s="53" t="s">
        <v>114</v>
      </c>
      <c r="C248" s="53" t="s">
        <v>75</v>
      </c>
      <c r="D248" s="53" t="s">
        <v>150</v>
      </c>
      <c r="E248" s="53" t="s">
        <v>150</v>
      </c>
      <c r="F248" s="53" t="s">
        <v>116</v>
      </c>
      <c r="G248" s="53" t="s">
        <v>117</v>
      </c>
      <c r="H248" s="142">
        <f>'Cuota Artesanal'!E67</f>
        <v>226.03800000000001</v>
      </c>
      <c r="I248" s="142">
        <f>'Cuota Artesanal'!F67</f>
        <v>0</v>
      </c>
      <c r="J248" s="142">
        <f>'Cuota Artesanal'!G67</f>
        <v>226.03800000000001</v>
      </c>
      <c r="K248" s="142">
        <f>'Cuota Artesanal'!H67</f>
        <v>16.350000000000001</v>
      </c>
      <c r="L248" s="142">
        <f>'Cuota Artesanal'!I67</f>
        <v>209.68800000000002</v>
      </c>
      <c r="M248" s="173">
        <f>'Cuota Artesanal'!J67</f>
        <v>7.2332970562471802E-2</v>
      </c>
      <c r="N248" s="179" t="str">
        <f>'Cuota Artesanal'!Q67</f>
        <v>-</v>
      </c>
      <c r="O248" s="180">
        <f>Resumen!$B$3</f>
        <v>43689</v>
      </c>
    </row>
    <row r="249" spans="1:15" s="181" customFormat="1">
      <c r="A249" s="53" t="s">
        <v>130</v>
      </c>
      <c r="B249" s="53" t="s">
        <v>114</v>
      </c>
      <c r="C249" s="53" t="s">
        <v>75</v>
      </c>
      <c r="D249" s="53" t="s">
        <v>150</v>
      </c>
      <c r="E249" s="53" t="s">
        <v>150</v>
      </c>
      <c r="F249" s="53" t="s">
        <v>118</v>
      </c>
      <c r="G249" s="53" t="s">
        <v>119</v>
      </c>
      <c r="H249" s="142">
        <f>'Cuota Artesanal'!E68</f>
        <v>11.881</v>
      </c>
      <c r="I249" s="142">
        <f>'Cuota Artesanal'!F68</f>
        <v>0</v>
      </c>
      <c r="J249" s="142">
        <f>'Cuota Artesanal'!G68</f>
        <v>221.56900000000002</v>
      </c>
      <c r="K249" s="142">
        <f>'Cuota Artesanal'!H68</f>
        <v>0</v>
      </c>
      <c r="L249" s="142">
        <f>'Cuota Artesanal'!I68</f>
        <v>221.56900000000002</v>
      </c>
      <c r="M249" s="173">
        <f>'Cuota Artesanal'!J68</f>
        <v>0</v>
      </c>
      <c r="N249" s="179" t="str">
        <f>'Cuota Artesanal'!Q68</f>
        <v>-</v>
      </c>
      <c r="O249" s="180">
        <f>Resumen!$B$3</f>
        <v>43689</v>
      </c>
    </row>
    <row r="250" spans="1:15" s="181" customFormat="1">
      <c r="A250" s="53" t="s">
        <v>130</v>
      </c>
      <c r="B250" s="53" t="s">
        <v>114</v>
      </c>
      <c r="C250" s="53" t="s">
        <v>75</v>
      </c>
      <c r="D250" s="53" t="s">
        <v>150</v>
      </c>
      <c r="E250" s="53" t="s">
        <v>150</v>
      </c>
      <c r="F250" s="53" t="s">
        <v>116</v>
      </c>
      <c r="G250" s="53" t="s">
        <v>119</v>
      </c>
      <c r="H250" s="142">
        <f>'Cuota Artesanal'!K67</f>
        <v>237.91900000000001</v>
      </c>
      <c r="I250" s="142">
        <f>'Cuota Artesanal'!L67</f>
        <v>0</v>
      </c>
      <c r="J250" s="142">
        <f>'Cuota Artesanal'!M67</f>
        <v>237.91900000000001</v>
      </c>
      <c r="K250" s="142">
        <f>'Cuota Artesanal'!N67</f>
        <v>16.350000000000001</v>
      </c>
      <c r="L250" s="142">
        <f>'Cuota Artesanal'!O67</f>
        <v>221.56900000000002</v>
      </c>
      <c r="M250" s="173">
        <f>'Cuota Artesanal'!P67</f>
        <v>6.8720867185891002E-2</v>
      </c>
      <c r="N250" s="179" t="s">
        <v>154</v>
      </c>
      <c r="O250" s="180">
        <f>Resumen!$B$3</f>
        <v>43689</v>
      </c>
    </row>
    <row r="251" spans="1:15" s="181" customFormat="1">
      <c r="A251" s="54" t="s">
        <v>113</v>
      </c>
      <c r="B251" s="53" t="s">
        <v>114</v>
      </c>
      <c r="C251" s="53" t="s">
        <v>63</v>
      </c>
      <c r="D251" s="187" t="s">
        <v>151</v>
      </c>
      <c r="E251" s="187" t="s">
        <v>152</v>
      </c>
      <c r="F251" s="53" t="s">
        <v>116</v>
      </c>
      <c r="G251" s="53" t="s">
        <v>119</v>
      </c>
      <c r="H251" s="142">
        <f>Resumen!D23</f>
        <v>53236.006999999998</v>
      </c>
      <c r="I251" s="142">
        <f>Resumen!E23</f>
        <v>-38245.083000000006</v>
      </c>
      <c r="J251" s="142">
        <f>Resumen!F23</f>
        <v>14990.923999999992</v>
      </c>
      <c r="K251" s="142">
        <f>Resumen!G23</f>
        <v>1815.048</v>
      </c>
      <c r="L251" s="142">
        <f>Resumen!H23</f>
        <v>13175.875999999991</v>
      </c>
      <c r="M251" s="173">
        <f>Resumen!I23</f>
        <v>0.12107645932965846</v>
      </c>
      <c r="N251" s="179" t="s">
        <v>154</v>
      </c>
      <c r="O251" s="180">
        <f>Resumen!$B$3</f>
        <v>43689</v>
      </c>
    </row>
    <row r="252" spans="1:15" s="181" customFormat="1">
      <c r="A252" s="83" t="s">
        <v>125</v>
      </c>
      <c r="B252" s="188" t="s">
        <v>114</v>
      </c>
      <c r="C252" s="188" t="s">
        <v>126</v>
      </c>
      <c r="D252" s="189" t="s">
        <v>151</v>
      </c>
      <c r="E252" s="189" t="s">
        <v>152</v>
      </c>
      <c r="F252" s="188" t="s">
        <v>116</v>
      </c>
      <c r="G252" s="188" t="s">
        <v>119</v>
      </c>
      <c r="H252" s="190">
        <f>Resumen!D24</f>
        <v>11235.004000000001</v>
      </c>
      <c r="I252" s="190">
        <f>Resumen!E24</f>
        <v>-10531.447</v>
      </c>
      <c r="J252" s="190">
        <f>Resumen!F24</f>
        <v>703.5570000000007</v>
      </c>
      <c r="K252" s="190">
        <f>Resumen!G24</f>
        <v>0</v>
      </c>
      <c r="L252" s="190">
        <f>Resumen!H24</f>
        <v>703.5570000000007</v>
      </c>
      <c r="M252" s="191">
        <f>Resumen!I24</f>
        <v>0</v>
      </c>
      <c r="N252" s="192" t="s">
        <v>154</v>
      </c>
      <c r="O252" s="180">
        <f>Resumen!$B$3</f>
        <v>43689</v>
      </c>
    </row>
    <row r="253" spans="1:15" s="181" customFormat="1">
      <c r="A253" s="54" t="s">
        <v>129</v>
      </c>
      <c r="B253" s="53" t="s">
        <v>114</v>
      </c>
      <c r="C253" s="53" t="s">
        <v>80</v>
      </c>
      <c r="D253" s="187" t="s">
        <v>151</v>
      </c>
      <c r="E253" s="187" t="s">
        <v>152</v>
      </c>
      <c r="F253" s="53" t="s">
        <v>116</v>
      </c>
      <c r="G253" s="53" t="s">
        <v>119</v>
      </c>
      <c r="H253" s="142">
        <f>Resumen!D25</f>
        <v>241000.024</v>
      </c>
      <c r="I253" s="142">
        <f>Resumen!E25</f>
        <v>86248.110000000015</v>
      </c>
      <c r="J253" s="142">
        <f>Resumen!F25</f>
        <v>327248.13400000002</v>
      </c>
      <c r="K253" s="142">
        <f>Resumen!G25</f>
        <v>318419.14599999995</v>
      </c>
      <c r="L253" s="142">
        <f>Resumen!H25</f>
        <v>8828.9880000000703</v>
      </c>
      <c r="M253" s="173">
        <f>Resumen!I25</f>
        <v>0.97302050926285777</v>
      </c>
      <c r="N253" s="179" t="s">
        <v>154</v>
      </c>
      <c r="O253" s="180">
        <f>Resumen!$B$3</f>
        <v>43689</v>
      </c>
    </row>
    <row r="254" spans="1:15" s="181" customFormat="1">
      <c r="A254" s="54" t="s">
        <v>130</v>
      </c>
      <c r="B254" s="53" t="s">
        <v>114</v>
      </c>
      <c r="C254" s="53" t="s">
        <v>86</v>
      </c>
      <c r="D254" s="187" t="s">
        <v>151</v>
      </c>
      <c r="E254" s="187" t="s">
        <v>152</v>
      </c>
      <c r="F254" s="53" t="s">
        <v>116</v>
      </c>
      <c r="G254" s="53" t="s">
        <v>119</v>
      </c>
      <c r="H254" s="142">
        <f>Resumen!D26</f>
        <v>33560.999000000003</v>
      </c>
      <c r="I254" s="142">
        <f>Resumen!E26</f>
        <v>-26598.67</v>
      </c>
      <c r="J254" s="142">
        <f>Resumen!F26</f>
        <v>6962.3290000000052</v>
      </c>
      <c r="K254" s="142">
        <f>Resumen!G26</f>
        <v>6140.3809999999994</v>
      </c>
      <c r="L254" s="142">
        <f>Resumen!H26</f>
        <v>821.94800000000578</v>
      </c>
      <c r="M254" s="173">
        <f>Resumen!I26</f>
        <v>0.88194352780513463</v>
      </c>
      <c r="N254" s="179" t="s">
        <v>154</v>
      </c>
      <c r="O254" s="180">
        <f>Resumen!$B$3</f>
        <v>43689</v>
      </c>
    </row>
    <row r="255" spans="1:15" s="181" customFormat="1">
      <c r="A255" s="54" t="s">
        <v>113</v>
      </c>
      <c r="B255" s="53" t="s">
        <v>114</v>
      </c>
      <c r="C255" s="53" t="s">
        <v>131</v>
      </c>
      <c r="D255" s="53" t="s">
        <v>156</v>
      </c>
      <c r="E255" s="193" t="s">
        <v>153</v>
      </c>
      <c r="F255" s="53" t="s">
        <v>116</v>
      </c>
      <c r="G255" s="53" t="s">
        <v>119</v>
      </c>
      <c r="H255" s="142">
        <f>Resumen!D6</f>
        <v>1326</v>
      </c>
      <c r="I255" s="142">
        <f>Resumen!E6</f>
        <v>0</v>
      </c>
      <c r="J255" s="142">
        <f>Resumen!F6</f>
        <v>1326</v>
      </c>
      <c r="K255" s="142">
        <f>Resumen!G6</f>
        <v>1.0940000000000001</v>
      </c>
      <c r="L255" s="142">
        <f>Resumen!H6</f>
        <v>1324.9059999999999</v>
      </c>
      <c r="M255" s="173">
        <f>Resumen!I6</f>
        <v>8.2503770739064859E-4</v>
      </c>
      <c r="N255" s="179" t="s">
        <v>154</v>
      </c>
      <c r="O255" s="180">
        <f>Resumen!$B$3</f>
        <v>43689</v>
      </c>
    </row>
    <row r="256" spans="1:15" s="181" customFormat="1">
      <c r="A256" s="54" t="s">
        <v>113</v>
      </c>
      <c r="B256" s="53" t="s">
        <v>114</v>
      </c>
      <c r="C256" s="53" t="s">
        <v>35</v>
      </c>
      <c r="D256" s="53" t="s">
        <v>122</v>
      </c>
      <c r="E256" s="53" t="s">
        <v>156</v>
      </c>
      <c r="F256" s="53" t="s">
        <v>116</v>
      </c>
      <c r="G256" s="53" t="s">
        <v>119</v>
      </c>
      <c r="H256" s="142">
        <f>Resumen!D7</f>
        <v>1326</v>
      </c>
      <c r="I256" s="142">
        <f>Resumen!E7</f>
        <v>0</v>
      </c>
      <c r="J256" s="142">
        <f>Resumen!F7</f>
        <v>1326</v>
      </c>
      <c r="K256" s="142">
        <f>Resumen!G7</f>
        <v>32.582000000000001</v>
      </c>
      <c r="L256" s="142">
        <f>Resumen!H7</f>
        <v>1293.4179999999999</v>
      </c>
      <c r="M256" s="173">
        <f>Resumen!I7</f>
        <v>2.4571644042232277E-2</v>
      </c>
      <c r="N256" s="179" t="s">
        <v>154</v>
      </c>
      <c r="O256" s="180">
        <f>Resumen!$B$3</f>
        <v>43689</v>
      </c>
    </row>
    <row r="257" spans="1:15" s="181" customFormat="1">
      <c r="A257" s="54" t="s">
        <v>125</v>
      </c>
      <c r="B257" s="53" t="s">
        <v>114</v>
      </c>
      <c r="C257" s="53" t="s">
        <v>136</v>
      </c>
      <c r="D257" s="53" t="s">
        <v>132</v>
      </c>
      <c r="E257" s="53" t="s">
        <v>203</v>
      </c>
      <c r="F257" s="53" t="s">
        <v>133</v>
      </c>
      <c r="G257" s="53" t="s">
        <v>119</v>
      </c>
      <c r="H257" s="142">
        <f>'Cuota Artesanal'!K82</f>
        <v>0</v>
      </c>
      <c r="I257" s="142">
        <f>'Cuota Artesanal'!L82</f>
        <v>0</v>
      </c>
      <c r="J257" s="142">
        <f>'Cuota Artesanal'!M82</f>
        <v>0</v>
      </c>
      <c r="K257" s="142">
        <f>'Cuota Artesanal'!N82</f>
        <v>0</v>
      </c>
      <c r="L257" s="142">
        <f>'Cuota Artesanal'!O82</f>
        <v>0</v>
      </c>
      <c r="M257" s="173">
        <f>'Cuota Artesanal'!P82</f>
        <v>0</v>
      </c>
      <c r="N257" s="53" t="s">
        <v>154</v>
      </c>
      <c r="O257" s="180">
        <f>Resumen!$B$3</f>
        <v>43689</v>
      </c>
    </row>
    <row r="258" spans="1:15" s="181" customFormat="1">
      <c r="A258" s="54" t="s">
        <v>125</v>
      </c>
      <c r="B258" s="53" t="s">
        <v>114</v>
      </c>
      <c r="C258" s="53" t="s">
        <v>135</v>
      </c>
      <c r="D258" s="53" t="s">
        <v>156</v>
      </c>
      <c r="E258" s="194" t="s">
        <v>153</v>
      </c>
      <c r="F258" s="53" t="s">
        <v>116</v>
      </c>
      <c r="G258" s="53" t="s">
        <v>119</v>
      </c>
      <c r="H258" s="142">
        <f>Resumen!D10</f>
        <v>8241.0010000000002</v>
      </c>
      <c r="I258" s="142">
        <f>Resumen!E10</f>
        <v>-2200</v>
      </c>
      <c r="J258" s="142">
        <f>Resumen!F10</f>
        <v>6041.0010000000002</v>
      </c>
      <c r="K258" s="142">
        <f>Resumen!G10</f>
        <v>3397.9239999999995</v>
      </c>
      <c r="L258" s="142">
        <f>Resumen!H10</f>
        <v>2643.0770000000007</v>
      </c>
      <c r="M258" s="173">
        <f>Resumen!I10</f>
        <v>0.5624769802223174</v>
      </c>
      <c r="N258" s="179" t="s">
        <v>154</v>
      </c>
      <c r="O258" s="180">
        <f>Resumen!$B$3</f>
        <v>43689</v>
      </c>
    </row>
    <row r="259" spans="1:15" s="181" customFormat="1">
      <c r="A259" s="54" t="s">
        <v>129</v>
      </c>
      <c r="B259" s="53" t="s">
        <v>114</v>
      </c>
      <c r="C259" s="53" t="s">
        <v>138</v>
      </c>
      <c r="D259" s="53" t="s">
        <v>156</v>
      </c>
      <c r="E259" s="193" t="s">
        <v>153</v>
      </c>
      <c r="F259" s="53" t="s">
        <v>116</v>
      </c>
      <c r="G259" s="53" t="s">
        <v>119</v>
      </c>
      <c r="H259" s="142">
        <f>Resumen!D11</f>
        <v>3780.0000000000005</v>
      </c>
      <c r="I259" s="142">
        <f>Resumen!E11</f>
        <v>-3029</v>
      </c>
      <c r="J259" s="142">
        <f>Resumen!F11</f>
        <v>751.00000000000034</v>
      </c>
      <c r="K259" s="142">
        <f>Resumen!G11</f>
        <v>171.04599999999999</v>
      </c>
      <c r="L259" s="142">
        <f>Resumen!H11</f>
        <v>579.95400000000041</v>
      </c>
      <c r="M259" s="173">
        <f>Resumen!I11</f>
        <v>0.22775765645805582</v>
      </c>
      <c r="N259" s="179" t="s">
        <v>154</v>
      </c>
      <c r="O259" s="180">
        <f>Resumen!$B$3</f>
        <v>43689</v>
      </c>
    </row>
    <row r="260" spans="1:15" s="181" customFormat="1">
      <c r="A260" s="54" t="s">
        <v>129</v>
      </c>
      <c r="B260" s="53" t="s">
        <v>114</v>
      </c>
      <c r="C260" s="53" t="s">
        <v>141</v>
      </c>
      <c r="D260" s="53" t="s">
        <v>156</v>
      </c>
      <c r="E260" s="193" t="s">
        <v>153</v>
      </c>
      <c r="F260" s="53" t="s">
        <v>116</v>
      </c>
      <c r="G260" s="53" t="s">
        <v>119</v>
      </c>
      <c r="H260" s="142">
        <f>Resumen!D12</f>
        <v>4</v>
      </c>
      <c r="I260" s="142">
        <f>Resumen!E12</f>
        <v>0</v>
      </c>
      <c r="J260" s="142">
        <f>Resumen!F12</f>
        <v>4</v>
      </c>
      <c r="K260" s="142">
        <f>Resumen!G12</f>
        <v>9.7769999999999992</v>
      </c>
      <c r="L260" s="142">
        <f>Resumen!H12</f>
        <v>-5.7769999999999992</v>
      </c>
      <c r="M260" s="173">
        <f>Resumen!I12</f>
        <v>2.4442499999999998</v>
      </c>
      <c r="N260" s="179" t="s">
        <v>154</v>
      </c>
      <c r="O260" s="180">
        <f>Resumen!$B$3</f>
        <v>43689</v>
      </c>
    </row>
    <row r="261" spans="1:15" s="181" customFormat="1">
      <c r="A261" s="54" t="s">
        <v>129</v>
      </c>
      <c r="B261" s="53" t="s">
        <v>114</v>
      </c>
      <c r="C261" s="53" t="s">
        <v>87</v>
      </c>
      <c r="D261" s="53" t="s">
        <v>156</v>
      </c>
      <c r="E261" s="193" t="s">
        <v>153</v>
      </c>
      <c r="F261" s="53" t="s">
        <v>116</v>
      </c>
      <c r="G261" s="53" t="s">
        <v>119</v>
      </c>
      <c r="H261" s="142">
        <f>Resumen!D13</f>
        <v>127</v>
      </c>
      <c r="I261" s="142">
        <f>Resumen!E13</f>
        <v>0</v>
      </c>
      <c r="J261" s="142">
        <f>Resumen!F13</f>
        <v>127</v>
      </c>
      <c r="K261" s="142">
        <f>Resumen!G13</f>
        <v>130.959</v>
      </c>
      <c r="L261" s="142">
        <f>Resumen!H13</f>
        <v>-3.9590000000000032</v>
      </c>
      <c r="M261" s="173">
        <f>Resumen!I13</f>
        <v>1.0311732283464567</v>
      </c>
      <c r="N261" s="179" t="s">
        <v>154</v>
      </c>
      <c r="O261" s="180">
        <f>Resumen!$B$3</f>
        <v>43689</v>
      </c>
    </row>
    <row r="262" spans="1:15" s="181" customFormat="1">
      <c r="A262" s="54" t="s">
        <v>129</v>
      </c>
      <c r="B262" s="53" t="s">
        <v>114</v>
      </c>
      <c r="C262" s="53" t="s">
        <v>144</v>
      </c>
      <c r="D262" s="53" t="s">
        <v>156</v>
      </c>
      <c r="E262" s="193" t="s">
        <v>153</v>
      </c>
      <c r="F262" s="53" t="s">
        <v>116</v>
      </c>
      <c r="G262" s="53" t="s">
        <v>119</v>
      </c>
      <c r="H262" s="142">
        <f>Resumen!D14</f>
        <v>8266</v>
      </c>
      <c r="I262" s="142">
        <f>Resumen!E14</f>
        <v>0</v>
      </c>
      <c r="J262" s="142">
        <f>Resumen!F14</f>
        <v>8266</v>
      </c>
      <c r="K262" s="142">
        <f>Resumen!G14</f>
        <v>9375.7250000000004</v>
      </c>
      <c r="L262" s="142">
        <f>Resumen!H14</f>
        <v>-1109.7250000000004</v>
      </c>
      <c r="M262" s="173">
        <f>Resumen!I14</f>
        <v>1.1342517541737238</v>
      </c>
      <c r="N262" s="179" t="s">
        <v>154</v>
      </c>
      <c r="O262" s="180">
        <f>Resumen!$B$3</f>
        <v>43689</v>
      </c>
    </row>
    <row r="263" spans="1:15" s="181" customFormat="1">
      <c r="A263" s="54" t="s">
        <v>129</v>
      </c>
      <c r="B263" s="53" t="s">
        <v>114</v>
      </c>
      <c r="C263" s="53" t="s">
        <v>45</v>
      </c>
      <c r="D263" s="53" t="s">
        <v>156</v>
      </c>
      <c r="E263" s="193" t="s">
        <v>153</v>
      </c>
      <c r="F263" s="53" t="s">
        <v>116</v>
      </c>
      <c r="G263" s="53" t="s">
        <v>119</v>
      </c>
      <c r="H263" s="142">
        <f>Resumen!D15</f>
        <v>44</v>
      </c>
      <c r="I263" s="142">
        <f>Resumen!E15</f>
        <v>0</v>
      </c>
      <c r="J263" s="142">
        <f>Resumen!F15</f>
        <v>44</v>
      </c>
      <c r="K263" s="142">
        <f>Resumen!G15</f>
        <v>5.5309999999999997</v>
      </c>
      <c r="L263" s="142">
        <f>Resumen!H15</f>
        <v>38.469000000000001</v>
      </c>
      <c r="M263" s="173">
        <f>Resumen!I15</f>
        <v>0.12570454545454546</v>
      </c>
      <c r="N263" s="179" t="s">
        <v>154</v>
      </c>
      <c r="O263" s="180">
        <f>Resumen!$B$3</f>
        <v>43689</v>
      </c>
    </row>
    <row r="264" spans="1:15" s="181" customFormat="1">
      <c r="A264" s="53" t="s">
        <v>130</v>
      </c>
      <c r="B264" s="53" t="s">
        <v>114</v>
      </c>
      <c r="C264" s="53" t="s">
        <v>46</v>
      </c>
      <c r="D264" s="53" t="s">
        <v>156</v>
      </c>
      <c r="E264" s="193" t="s">
        <v>153</v>
      </c>
      <c r="F264" s="53" t="s">
        <v>116</v>
      </c>
      <c r="G264" s="53" t="s">
        <v>119</v>
      </c>
      <c r="H264" s="142">
        <f>Resumen!D16</f>
        <v>967</v>
      </c>
      <c r="I264" s="142">
        <f>Resumen!E16</f>
        <v>0</v>
      </c>
      <c r="J264" s="142">
        <f>Resumen!F16</f>
        <v>967</v>
      </c>
      <c r="K264" s="142">
        <f>Resumen!G16</f>
        <v>856.42399999999998</v>
      </c>
      <c r="L264" s="142">
        <f>Resumen!H16</f>
        <v>110.57600000000002</v>
      </c>
      <c r="M264" s="173">
        <f>Resumen!I16</f>
        <v>0.8856504653567735</v>
      </c>
      <c r="N264" s="179" t="s">
        <v>154</v>
      </c>
      <c r="O264" s="180">
        <f>Resumen!$B$3</f>
        <v>43689</v>
      </c>
    </row>
    <row r="265" spans="1:15" s="181" customFormat="1">
      <c r="A265" s="53" t="s">
        <v>130</v>
      </c>
      <c r="B265" s="53" t="s">
        <v>114</v>
      </c>
      <c r="C265" s="53" t="s">
        <v>75</v>
      </c>
      <c r="D265" s="53" t="s">
        <v>156</v>
      </c>
      <c r="E265" s="193" t="s">
        <v>153</v>
      </c>
      <c r="F265" s="53" t="s">
        <v>116</v>
      </c>
      <c r="G265" s="53" t="s">
        <v>119</v>
      </c>
      <c r="H265" s="142">
        <f>Resumen!D17</f>
        <v>6468.0000000000009</v>
      </c>
      <c r="I265" s="142">
        <f>Resumen!E17</f>
        <v>-5884.9100000000008</v>
      </c>
      <c r="J265" s="142">
        <f>Resumen!F17</f>
        <v>583.09000000000026</v>
      </c>
      <c r="K265" s="142">
        <f>Resumen!G17</f>
        <v>138.24700000000001</v>
      </c>
      <c r="L265" s="142">
        <f>Resumen!H17</f>
        <v>444.84300000000025</v>
      </c>
      <c r="M265" s="173">
        <f>Resumen!I17</f>
        <v>0.23709375911094335</v>
      </c>
      <c r="N265" s="179" t="s">
        <v>154</v>
      </c>
      <c r="O265" s="180">
        <f>Resumen!$B$3</f>
        <v>43689</v>
      </c>
    </row>
    <row r="266" spans="1:15" s="181" customFormat="1">
      <c r="A266" s="54" t="s">
        <v>113</v>
      </c>
      <c r="B266" s="53" t="s">
        <v>114</v>
      </c>
      <c r="C266" s="53" t="s">
        <v>63</v>
      </c>
      <c r="D266" s="53" t="s">
        <v>115</v>
      </c>
      <c r="E266" s="53" t="s">
        <v>164</v>
      </c>
      <c r="F266" s="53" t="s">
        <v>116</v>
      </c>
      <c r="G266" s="53" t="s">
        <v>117</v>
      </c>
      <c r="H266" s="142">
        <f>'Cuota Industrial'!E24</f>
        <v>1252.106</v>
      </c>
      <c r="I266" s="142">
        <f>'Cuota Industrial'!F24</f>
        <v>-1277.664</v>
      </c>
      <c r="J266" s="142">
        <f>'Cuota Industrial'!G24</f>
        <v>-25.557999999999993</v>
      </c>
      <c r="K266" s="142">
        <f>'Cuota Industrial'!H24</f>
        <v>0</v>
      </c>
      <c r="L266" s="142">
        <f>'Cuota Industrial'!I24</f>
        <v>-25.557999999999993</v>
      </c>
      <c r="M266" s="173">
        <f>'Cuota Industrial'!J24</f>
        <v>0</v>
      </c>
      <c r="N266" s="195" t="s">
        <v>154</v>
      </c>
      <c r="O266" s="180">
        <f>Resumen!$B$3</f>
        <v>43689</v>
      </c>
    </row>
    <row r="267" spans="1:15" s="181" customFormat="1">
      <c r="A267" s="54" t="s">
        <v>113</v>
      </c>
      <c r="B267" s="53" t="s">
        <v>114</v>
      </c>
      <c r="C267" s="53" t="s">
        <v>63</v>
      </c>
      <c r="D267" s="53" t="s">
        <v>115</v>
      </c>
      <c r="E267" s="53" t="s">
        <v>164</v>
      </c>
      <c r="F267" s="53" t="s">
        <v>118</v>
      </c>
      <c r="G267" s="53" t="s">
        <v>119</v>
      </c>
      <c r="H267" s="142">
        <f>'Cuota Industrial'!E25</f>
        <v>25.562000000000001</v>
      </c>
      <c r="I267" s="142">
        <f>'Cuota Industrial'!F25</f>
        <v>0</v>
      </c>
      <c r="J267" s="142">
        <f>'Cuota Industrial'!G25</f>
        <v>4.0000000000084412E-3</v>
      </c>
      <c r="K267" s="142">
        <f>'Cuota Industrial'!H25</f>
        <v>0</v>
      </c>
      <c r="L267" s="142">
        <f>'Cuota Industrial'!I25</f>
        <v>4.0000000000084412E-3</v>
      </c>
      <c r="M267" s="173">
        <f>'Cuota Industrial'!J25</f>
        <v>0</v>
      </c>
      <c r="N267" s="179" t="s">
        <v>154</v>
      </c>
      <c r="O267" s="180">
        <f>Resumen!$B$3</f>
        <v>43689</v>
      </c>
    </row>
    <row r="268" spans="1:15" s="181" customFormat="1">
      <c r="A268" s="54" t="s">
        <v>113</v>
      </c>
      <c r="B268" s="53" t="s">
        <v>114</v>
      </c>
      <c r="C268" s="53" t="s">
        <v>63</v>
      </c>
      <c r="D268" s="53" t="s">
        <v>115</v>
      </c>
      <c r="E268" s="53" t="s">
        <v>164</v>
      </c>
      <c r="F268" s="53" t="s">
        <v>116</v>
      </c>
      <c r="G268" s="53" t="s">
        <v>119</v>
      </c>
      <c r="H268" s="142">
        <f>'Cuota Industrial'!K24</f>
        <v>1277.6679999999999</v>
      </c>
      <c r="I268" s="142">
        <f>'Cuota Industrial'!L24</f>
        <v>-1277.664</v>
      </c>
      <c r="J268" s="142">
        <f>'Cuota Industrial'!M24</f>
        <v>3.9999999999054126E-3</v>
      </c>
      <c r="K268" s="142">
        <f>'Cuota Industrial'!N24</f>
        <v>0</v>
      </c>
      <c r="L268" s="142">
        <f>'Cuota Industrial'!O24</f>
        <v>3.9999999999054126E-3</v>
      </c>
      <c r="M268" s="173">
        <f>'Cuota Industrial'!P24</f>
        <v>0</v>
      </c>
      <c r="N268" s="179" t="s">
        <v>154</v>
      </c>
      <c r="O268" s="180">
        <f>Resumen!$B$3</f>
        <v>43689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 OROP-PS</vt:lpstr>
      <vt:lpstr>Cesiones Cuota Individual</vt:lpstr>
      <vt:lpstr>Consumo Humano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2018-02-08T15:15:02Z</dcterms:created>
  <dcterms:modified xsi:type="dcterms:W3CDTF">2019-08-14T18:14:08Z</dcterms:modified>
</cp:coreProperties>
</file>