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240" windowWidth="19215" windowHeight="5250" tabRatio="809"/>
  </bookViews>
  <sheets>
    <sheet name="Resumen" sheetId="3" r:id="rId1"/>
    <sheet name="Cuota Artesanal" sheetId="1" r:id="rId2"/>
    <sheet name="Cuota Industrial" sheetId="2" r:id="rId3"/>
    <sheet name="Jurel-ORP" sheetId="4" r:id="rId4"/>
    <sheet name="Cesiones Cuota Individual" sheetId="5" r:id="rId5"/>
    <sheet name="Consumo Humano" sheetId="7" r:id="rId6"/>
    <sheet name="Pag. Web" sheetId="6" r:id="rId7"/>
  </sheets>
  <definedNames>
    <definedName name="_xlnm._FilterDatabase" localSheetId="4" hidden="1">'Cesiones Cuota Individual'!$B$6:$J$88</definedName>
    <definedName name="_xlnm._FilterDatabase" localSheetId="1" hidden="1">'Cuota Artesanal'!$B$5:$P$6</definedName>
    <definedName name="_xlnm._FilterDatabase" localSheetId="2" hidden="1">'Cuota Industrial'!$B$5:$Q$108</definedName>
    <definedName name="_xlnm._FilterDatabase" localSheetId="6" hidden="1">'Pag. Web'!$A$1:$O$229</definedName>
  </definedNames>
  <calcPr calcId="125725"/>
</workbook>
</file>

<file path=xl/calcChain.xml><?xml version="1.0" encoding="utf-8"?>
<calcChain xmlns="http://schemas.openxmlformats.org/spreadsheetml/2006/main">
  <c r="E28" i="3"/>
  <c r="M18" i="2"/>
  <c r="F18"/>
  <c r="F54"/>
  <c r="E14" i="7"/>
  <c r="D8" l="1"/>
  <c r="B3" i="3" l="1"/>
  <c r="G52" i="1"/>
  <c r="J52"/>
  <c r="G53"/>
  <c r="J58"/>
  <c r="J57"/>
  <c r="J51"/>
  <c r="H13"/>
  <c r="O3" i="6" l="1"/>
  <c r="O5"/>
  <c r="O7"/>
  <c r="O9"/>
  <c r="O11"/>
  <c r="O13"/>
  <c r="O15"/>
  <c r="O17"/>
  <c r="O19"/>
  <c r="O21"/>
  <c r="O23"/>
  <c r="O25"/>
  <c r="O27"/>
  <c r="O29"/>
  <c r="O31"/>
  <c r="O33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O125"/>
  <c r="O127"/>
  <c r="O129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1"/>
  <c r="O183"/>
  <c r="O185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"/>
  <c r="O4"/>
  <c r="O6"/>
  <c r="O8"/>
  <c r="O10"/>
  <c r="O12"/>
  <c r="O14"/>
  <c r="O16"/>
  <c r="O18"/>
  <c r="O20"/>
  <c r="O22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74"/>
  <c r="O76"/>
  <c r="O78"/>
  <c r="O80"/>
  <c r="O82"/>
  <c r="O84"/>
  <c r="O86"/>
  <c r="O88"/>
  <c r="O90"/>
  <c r="O92"/>
  <c r="O94"/>
  <c r="O96"/>
  <c r="O98"/>
  <c r="O100"/>
  <c r="O102"/>
  <c r="O104"/>
  <c r="O106"/>
  <c r="O108"/>
  <c r="O110"/>
  <c r="O112"/>
  <c r="O114"/>
  <c r="O116"/>
  <c r="O118"/>
  <c r="O120"/>
  <c r="O122"/>
  <c r="O124"/>
  <c r="O126"/>
  <c r="O128"/>
  <c r="O130"/>
  <c r="O132"/>
  <c r="O134"/>
  <c r="O136"/>
  <c r="O138"/>
  <c r="O140"/>
  <c r="O142"/>
  <c r="O144"/>
  <c r="O146"/>
  <c r="O148"/>
  <c r="O150"/>
  <c r="O152"/>
  <c r="O154"/>
  <c r="O156"/>
  <c r="O158"/>
  <c r="O160"/>
  <c r="O162"/>
  <c r="O164"/>
  <c r="O166"/>
  <c r="O168"/>
  <c r="O170"/>
  <c r="O172"/>
  <c r="O174"/>
  <c r="O176"/>
  <c r="O178"/>
  <c r="O180"/>
  <c r="O182"/>
  <c r="O184"/>
  <c r="O186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E103" i="2"/>
  <c r="E102"/>
  <c r="E93"/>
  <c r="E92"/>
  <c r="E99"/>
  <c r="E98"/>
  <c r="E95"/>
  <c r="E94"/>
  <c r="E85"/>
  <c r="E84"/>
  <c r="E69"/>
  <c r="E68"/>
  <c r="E59"/>
  <c r="E58"/>
  <c r="E65"/>
  <c r="E64"/>
  <c r="E61"/>
  <c r="E60"/>
  <c r="E55"/>
  <c r="E54"/>
  <c r="E53"/>
  <c r="E52"/>
  <c r="E51"/>
  <c r="E50"/>
  <c r="E45"/>
  <c r="E44"/>
  <c r="E37"/>
  <c r="E36"/>
  <c r="E35"/>
  <c r="E34"/>
  <c r="E31"/>
  <c r="E30"/>
  <c r="E15"/>
  <c r="E14"/>
  <c r="E18"/>
  <c r="G14" l="1"/>
  <c r="G12"/>
  <c r="G10"/>
  <c r="G8"/>
  <c r="G6"/>
  <c r="N22"/>
  <c r="N20"/>
  <c r="N18"/>
  <c r="N16"/>
  <c r="N14"/>
  <c r="N12"/>
  <c r="N10"/>
  <c r="N8"/>
  <c r="N6"/>
  <c r="L22"/>
  <c r="L20"/>
  <c r="L18"/>
  <c r="L16"/>
  <c r="L14"/>
  <c r="L12"/>
  <c r="L10"/>
  <c r="L8"/>
  <c r="L6"/>
  <c r="K22"/>
  <c r="K20"/>
  <c r="K18"/>
  <c r="K16"/>
  <c r="K14"/>
  <c r="K12"/>
  <c r="K10"/>
  <c r="K8"/>
  <c r="K6"/>
  <c r="E26" i="3"/>
  <c r="E25"/>
  <c r="E24"/>
  <c r="E23"/>
  <c r="D26"/>
  <c r="D25"/>
  <c r="D24"/>
  <c r="D23"/>
  <c r="G6"/>
  <c r="F19"/>
  <c r="F18"/>
  <c r="F16"/>
  <c r="F15"/>
  <c r="F14"/>
  <c r="F13"/>
  <c r="F12"/>
  <c r="F11"/>
  <c r="F10"/>
  <c r="F9"/>
  <c r="F8"/>
  <c r="F7"/>
  <c r="E19"/>
  <c r="E18"/>
  <c r="E17"/>
  <c r="E16"/>
  <c r="E15"/>
  <c r="E14"/>
  <c r="E13"/>
  <c r="E12"/>
  <c r="E11"/>
  <c r="E10"/>
  <c r="E9"/>
  <c r="E7"/>
  <c r="F6"/>
  <c r="D19"/>
  <c r="D18"/>
  <c r="D17"/>
  <c r="D15"/>
  <c r="D14"/>
  <c r="D12"/>
  <c r="D11"/>
  <c r="D10"/>
  <c r="D9"/>
  <c r="D8"/>
  <c r="D7"/>
  <c r="D6"/>
  <c r="K27" i="1"/>
  <c r="L27"/>
  <c r="N27"/>
  <c r="J27"/>
  <c r="G27"/>
  <c r="I27" s="1"/>
  <c r="G28" s="1"/>
  <c r="M10" i="2" l="1"/>
  <c r="M8"/>
  <c r="M12"/>
  <c r="M6"/>
  <c r="M14"/>
  <c r="M16"/>
  <c r="M20"/>
  <c r="O18"/>
  <c r="M22"/>
  <c r="I28" i="1"/>
  <c r="J28"/>
  <c r="M27"/>
  <c r="O27" s="1"/>
  <c r="P27"/>
  <c r="O12" i="2" l="1"/>
  <c r="O10"/>
  <c r="O6"/>
  <c r="O8"/>
  <c r="O14"/>
  <c r="O16"/>
  <c r="P16"/>
  <c r="O20"/>
  <c r="P20"/>
  <c r="P18"/>
  <c r="O22"/>
  <c r="P22"/>
  <c r="I12"/>
  <c r="G13" l="1"/>
  <c r="J12"/>
  <c r="P12"/>
  <c r="G98"/>
  <c r="J98" s="1"/>
  <c r="G96"/>
  <c r="G94"/>
  <c r="J94" s="1"/>
  <c r="G92"/>
  <c r="J92" s="1"/>
  <c r="G90"/>
  <c r="J90" s="1"/>
  <c r="G88"/>
  <c r="J88" s="1"/>
  <c r="G86"/>
  <c r="J86" s="1"/>
  <c r="G84"/>
  <c r="J84" s="1"/>
  <c r="G82"/>
  <c r="G78"/>
  <c r="J78" s="1"/>
  <c r="G76"/>
  <c r="J76" s="1"/>
  <c r="G74"/>
  <c r="J74" s="1"/>
  <c r="G72"/>
  <c r="G70"/>
  <c r="J70" s="1"/>
  <c r="G68"/>
  <c r="J68" s="1"/>
  <c r="G66"/>
  <c r="J66" s="1"/>
  <c r="G64"/>
  <c r="J64" s="1"/>
  <c r="G62"/>
  <c r="J62" s="1"/>
  <c r="G60"/>
  <c r="J60" s="1"/>
  <c r="G58"/>
  <c r="J58" s="1"/>
  <c r="G56"/>
  <c r="J56" s="1"/>
  <c r="G54"/>
  <c r="J54" s="1"/>
  <c r="G52"/>
  <c r="G48"/>
  <c r="J48" s="1"/>
  <c r="G46"/>
  <c r="J46" s="1"/>
  <c r="G44"/>
  <c r="J44" s="1"/>
  <c r="G42"/>
  <c r="J42" s="1"/>
  <c r="G40"/>
  <c r="J40" s="1"/>
  <c r="G38"/>
  <c r="J38" s="1"/>
  <c r="G36"/>
  <c r="J36" s="1"/>
  <c r="G34"/>
  <c r="J34" s="1"/>
  <c r="G32"/>
  <c r="J32" s="1"/>
  <c r="G30"/>
  <c r="J30" s="1"/>
  <c r="G28"/>
  <c r="J28" s="1"/>
  <c r="G26"/>
  <c r="J26" s="1"/>
  <c r="G22"/>
  <c r="G20"/>
  <c r="G18"/>
  <c r="G16"/>
  <c r="I14"/>
  <c r="I10"/>
  <c r="J8"/>
  <c r="J52"/>
  <c r="J82"/>
  <c r="J96"/>
  <c r="G15" i="1"/>
  <c r="G13"/>
  <c r="J18" i="2" l="1"/>
  <c r="I18"/>
  <c r="G19" s="1"/>
  <c r="J13"/>
  <c r="G11"/>
  <c r="I13"/>
  <c r="G15"/>
  <c r="I16"/>
  <c r="I20"/>
  <c r="I22"/>
  <c r="J14"/>
  <c r="J22"/>
  <c r="J20"/>
  <c r="J16"/>
  <c r="I8"/>
  <c r="J10"/>
  <c r="G9" l="1"/>
  <c r="G17"/>
  <c r="G21"/>
  <c r="G23"/>
  <c r="J15" i="1"/>
  <c r="I17" i="2" l="1"/>
  <c r="J17"/>
  <c r="I15" i="1"/>
  <c r="G16" s="1"/>
  <c r="J16" s="1"/>
  <c r="I231" i="6" l="1"/>
  <c r="K231"/>
  <c r="I230"/>
  <c r="K230"/>
  <c r="M230"/>
  <c r="H231"/>
  <c r="H230"/>
  <c r="H232" l="1"/>
  <c r="J230"/>
  <c r="K232" l="1"/>
  <c r="L230"/>
  <c r="J232"/>
  <c r="I232"/>
  <c r="L232" l="1"/>
  <c r="M232"/>
  <c r="I23" i="2"/>
  <c r="G42" i="1"/>
  <c r="J231" i="6" l="1"/>
  <c r="L231"/>
  <c r="J23" i="2"/>
  <c r="M231" i="6" l="1"/>
  <c r="K42" i="1"/>
  <c r="L56" i="2" l="1"/>
  <c r="G7" i="1" l="1"/>
  <c r="I7" s="1"/>
  <c r="G8" s="1"/>
  <c r="G10"/>
  <c r="F13" i="7"/>
  <c r="G13"/>
  <c r="G12"/>
  <c r="F12"/>
  <c r="I59" i="6"/>
  <c r="L15" i="1"/>
  <c r="L7"/>
  <c r="I145" i="6" s="1"/>
  <c r="K7" i="1"/>
  <c r="H145" i="6" s="1"/>
  <c r="K15" i="1"/>
  <c r="H151" i="6" s="1"/>
  <c r="M221"/>
  <c r="L221"/>
  <c r="K221"/>
  <c r="J221"/>
  <c r="I221"/>
  <c r="H221"/>
  <c r="H2"/>
  <c r="I68"/>
  <c r="I56"/>
  <c r="N15" i="1"/>
  <c r="G9" i="3" s="1"/>
  <c r="G51" i="1"/>
  <c r="J188" i="6" s="1"/>
  <c r="G55" i="1"/>
  <c r="K55"/>
  <c r="G50" i="2"/>
  <c r="M104" i="6"/>
  <c r="M110"/>
  <c r="J122"/>
  <c r="J125"/>
  <c r="G102" i="2"/>
  <c r="G106"/>
  <c r="M140" i="6" s="1"/>
  <c r="N26" i="2"/>
  <c r="K22" i="6" s="1"/>
  <c r="N28" i="2"/>
  <c r="K25" i="6" s="1"/>
  <c r="N30" i="2"/>
  <c r="N32"/>
  <c r="N34"/>
  <c r="K34" i="6" s="1"/>
  <c r="N36" i="2"/>
  <c r="K37" i="6" s="1"/>
  <c r="N38" i="2"/>
  <c r="N40"/>
  <c r="K43" i="6" s="1"/>
  <c r="N42" i="2"/>
  <c r="N44"/>
  <c r="N46"/>
  <c r="N48"/>
  <c r="K55" i="6" s="1"/>
  <c r="L26" i="2"/>
  <c r="I22" i="6" s="1"/>
  <c r="L28" i="2"/>
  <c r="I25" i="6" s="1"/>
  <c r="L32" i="2"/>
  <c r="I31" i="6" s="1"/>
  <c r="L34" i="2"/>
  <c r="L36"/>
  <c r="I37" i="6" s="1"/>
  <c r="L38" i="2"/>
  <c r="I40" i="6" s="1"/>
  <c r="L40" i="2"/>
  <c r="I43" i="6" s="1"/>
  <c r="L42" i="2"/>
  <c r="I46" i="6" s="1"/>
  <c r="L46" i="2"/>
  <c r="I52" i="6" s="1"/>
  <c r="L48" i="2"/>
  <c r="I55" i="6" s="1"/>
  <c r="L24" i="2"/>
  <c r="I19" i="6" s="1"/>
  <c r="K26" i="2"/>
  <c r="K28"/>
  <c r="K30"/>
  <c r="K32"/>
  <c r="K34"/>
  <c r="H34" i="6" s="1"/>
  <c r="K36" i="2"/>
  <c r="K38"/>
  <c r="K40"/>
  <c r="K42"/>
  <c r="H46" i="6" s="1"/>
  <c r="K44" i="2"/>
  <c r="H49" i="6" s="1"/>
  <c r="K46" i="2"/>
  <c r="K48"/>
  <c r="H55" i="6" s="1"/>
  <c r="K24" i="2"/>
  <c r="H19" i="6" s="1"/>
  <c r="G24" i="2"/>
  <c r="M32" i="6"/>
  <c r="I26" i="2"/>
  <c r="G27" s="1"/>
  <c r="J27" s="1"/>
  <c r="J23" i="6"/>
  <c r="M23"/>
  <c r="I32" i="2"/>
  <c r="G33" s="1"/>
  <c r="J33" s="1"/>
  <c r="M30" i="6" s="1"/>
  <c r="M35"/>
  <c r="I38" i="2"/>
  <c r="G39" s="1"/>
  <c r="J39" s="1"/>
  <c r="M44" i="6"/>
  <c r="I46" i="2"/>
  <c r="M53" i="6"/>
  <c r="K7"/>
  <c r="I7"/>
  <c r="H7"/>
  <c r="H10"/>
  <c r="H16"/>
  <c r="H4"/>
  <c r="I16"/>
  <c r="M5"/>
  <c r="I9" i="2"/>
  <c r="I21"/>
  <c r="I6"/>
  <c r="M107" i="6"/>
  <c r="I28" i="2"/>
  <c r="I48"/>
  <c r="G49" s="1"/>
  <c r="J49" s="1"/>
  <c r="M29" i="6"/>
  <c r="I19" i="2"/>
  <c r="K62"/>
  <c r="H76" i="6" s="1"/>
  <c r="N186"/>
  <c r="N185"/>
  <c r="N213"/>
  <c r="N212"/>
  <c r="N210"/>
  <c r="N209"/>
  <c r="N207"/>
  <c r="N206"/>
  <c r="N204"/>
  <c r="N203"/>
  <c r="N201"/>
  <c r="N200"/>
  <c r="N198"/>
  <c r="N197"/>
  <c r="N195"/>
  <c r="N192"/>
  <c r="N191"/>
  <c r="N189"/>
  <c r="N188"/>
  <c r="N183"/>
  <c r="N182"/>
  <c r="N180"/>
  <c r="N179"/>
  <c r="N177"/>
  <c r="N176"/>
  <c r="N174"/>
  <c r="N173"/>
  <c r="N171"/>
  <c r="N170"/>
  <c r="N168"/>
  <c r="N167"/>
  <c r="N165"/>
  <c r="N164"/>
  <c r="N162"/>
  <c r="N159"/>
  <c r="N158"/>
  <c r="N156"/>
  <c r="N155"/>
  <c r="N153"/>
  <c r="N152"/>
  <c r="N150"/>
  <c r="N149"/>
  <c r="N147"/>
  <c r="N146"/>
  <c r="N144"/>
  <c r="N143"/>
  <c r="N194"/>
  <c r="N161"/>
  <c r="K218"/>
  <c r="H210"/>
  <c r="I210"/>
  <c r="K210"/>
  <c r="I209"/>
  <c r="K209"/>
  <c r="H209"/>
  <c r="N65" i="1"/>
  <c r="L65"/>
  <c r="I211" i="6" s="1"/>
  <c r="K65" i="1"/>
  <c r="G65"/>
  <c r="K211" i="6"/>
  <c r="I20"/>
  <c r="K20"/>
  <c r="I21"/>
  <c r="K21"/>
  <c r="H21"/>
  <c r="N61" i="1"/>
  <c r="L61"/>
  <c r="I205" i="6" s="1"/>
  <c r="K61" i="1"/>
  <c r="G61"/>
  <c r="K213" i="6"/>
  <c r="K212"/>
  <c r="I213"/>
  <c r="I212"/>
  <c r="H213"/>
  <c r="H212"/>
  <c r="K207"/>
  <c r="K206"/>
  <c r="I207"/>
  <c r="I206"/>
  <c r="H207"/>
  <c r="H206"/>
  <c r="K204"/>
  <c r="K203"/>
  <c r="I204"/>
  <c r="I203"/>
  <c r="H204"/>
  <c r="H203"/>
  <c r="K201"/>
  <c r="I201"/>
  <c r="H201"/>
  <c r="H200"/>
  <c r="K198"/>
  <c r="K197"/>
  <c r="I198"/>
  <c r="H198"/>
  <c r="H197"/>
  <c r="K195"/>
  <c r="K194"/>
  <c r="I195"/>
  <c r="I194"/>
  <c r="H194"/>
  <c r="K192"/>
  <c r="K191"/>
  <c r="I192"/>
  <c r="H192"/>
  <c r="H191"/>
  <c r="K189"/>
  <c r="K188"/>
  <c r="I189"/>
  <c r="I188"/>
  <c r="H189"/>
  <c r="H188"/>
  <c r="K186"/>
  <c r="K185"/>
  <c r="I186"/>
  <c r="I185"/>
  <c r="H186"/>
  <c r="H185"/>
  <c r="K183"/>
  <c r="K182"/>
  <c r="I183"/>
  <c r="I182"/>
  <c r="H183"/>
  <c r="H182"/>
  <c r="K180"/>
  <c r="K179"/>
  <c r="I180"/>
  <c r="I179"/>
  <c r="H180"/>
  <c r="H179"/>
  <c r="K177"/>
  <c r="K176"/>
  <c r="I177"/>
  <c r="I176"/>
  <c r="H177"/>
  <c r="H176"/>
  <c r="K174"/>
  <c r="K173"/>
  <c r="I174"/>
  <c r="I173"/>
  <c r="H174"/>
  <c r="H173"/>
  <c r="K171"/>
  <c r="K170"/>
  <c r="I171"/>
  <c r="I170"/>
  <c r="H171"/>
  <c r="H170"/>
  <c r="K168"/>
  <c r="K167"/>
  <c r="I168"/>
  <c r="I167"/>
  <c r="H168"/>
  <c r="H167"/>
  <c r="K165"/>
  <c r="K164"/>
  <c r="I165"/>
  <c r="I164"/>
  <c r="H165"/>
  <c r="H164"/>
  <c r="K162"/>
  <c r="K161"/>
  <c r="I162"/>
  <c r="I161"/>
  <c r="H162"/>
  <c r="H161"/>
  <c r="K159"/>
  <c r="K158"/>
  <c r="I159"/>
  <c r="I158"/>
  <c r="H159"/>
  <c r="H158"/>
  <c r="K156"/>
  <c r="K155"/>
  <c r="I156"/>
  <c r="I155"/>
  <c r="H156"/>
  <c r="H155"/>
  <c r="K153"/>
  <c r="K152"/>
  <c r="I153"/>
  <c r="I152"/>
  <c r="H153"/>
  <c r="H152"/>
  <c r="K150"/>
  <c r="K149"/>
  <c r="I150"/>
  <c r="H149"/>
  <c r="H150"/>
  <c r="K147"/>
  <c r="K146"/>
  <c r="I147"/>
  <c r="I146"/>
  <c r="H147"/>
  <c r="H146"/>
  <c r="K144"/>
  <c r="K143"/>
  <c r="I144"/>
  <c r="I143"/>
  <c r="H144"/>
  <c r="H143"/>
  <c r="K141"/>
  <c r="K140"/>
  <c r="I141"/>
  <c r="I140"/>
  <c r="H141"/>
  <c r="H140"/>
  <c r="K138"/>
  <c r="K137"/>
  <c r="I138"/>
  <c r="I137"/>
  <c r="K135"/>
  <c r="K134"/>
  <c r="I135"/>
  <c r="I134"/>
  <c r="H135"/>
  <c r="H134"/>
  <c r="K132"/>
  <c r="K131"/>
  <c r="I132"/>
  <c r="I131"/>
  <c r="K129"/>
  <c r="K128"/>
  <c r="I129"/>
  <c r="I128"/>
  <c r="K126"/>
  <c r="K125"/>
  <c r="I126"/>
  <c r="I125"/>
  <c r="H126"/>
  <c r="H125"/>
  <c r="K123"/>
  <c r="K122"/>
  <c r="I123"/>
  <c r="I122"/>
  <c r="H123"/>
  <c r="H122"/>
  <c r="K120"/>
  <c r="K119"/>
  <c r="I120"/>
  <c r="I119"/>
  <c r="H120"/>
  <c r="H119"/>
  <c r="K117"/>
  <c r="K116"/>
  <c r="I117"/>
  <c r="I116"/>
  <c r="H117"/>
  <c r="H116"/>
  <c r="K114"/>
  <c r="K113"/>
  <c r="I114"/>
  <c r="H114"/>
  <c r="H113"/>
  <c r="K111"/>
  <c r="K110"/>
  <c r="I111"/>
  <c r="I110"/>
  <c r="H111"/>
  <c r="H110"/>
  <c r="K108"/>
  <c r="K107"/>
  <c r="I108"/>
  <c r="H108"/>
  <c r="H107"/>
  <c r="K105"/>
  <c r="K104"/>
  <c r="I105"/>
  <c r="I104"/>
  <c r="H105"/>
  <c r="H104"/>
  <c r="K102"/>
  <c r="K101"/>
  <c r="I102"/>
  <c r="H102"/>
  <c r="H101"/>
  <c r="K99"/>
  <c r="K98"/>
  <c r="I99"/>
  <c r="I98"/>
  <c r="H99"/>
  <c r="H98"/>
  <c r="K96"/>
  <c r="K95"/>
  <c r="I96"/>
  <c r="H96"/>
  <c r="H95"/>
  <c r="K93"/>
  <c r="K92"/>
  <c r="I93"/>
  <c r="I92"/>
  <c r="H93"/>
  <c r="H92"/>
  <c r="K90"/>
  <c r="K89"/>
  <c r="I90"/>
  <c r="I89"/>
  <c r="K87"/>
  <c r="K86"/>
  <c r="I87"/>
  <c r="I86"/>
  <c r="H87"/>
  <c r="H86"/>
  <c r="K84"/>
  <c r="K83"/>
  <c r="I84"/>
  <c r="I83"/>
  <c r="H84"/>
  <c r="H83"/>
  <c r="K81"/>
  <c r="K80"/>
  <c r="K78"/>
  <c r="K77"/>
  <c r="I78"/>
  <c r="I77"/>
  <c r="H78"/>
  <c r="H77"/>
  <c r="K75"/>
  <c r="K74"/>
  <c r="I75"/>
  <c r="I74"/>
  <c r="H75"/>
  <c r="H74"/>
  <c r="K72"/>
  <c r="K71"/>
  <c r="I72"/>
  <c r="I71"/>
  <c r="K69"/>
  <c r="K68"/>
  <c r="I69"/>
  <c r="H69"/>
  <c r="H68"/>
  <c r="K66"/>
  <c r="K65"/>
  <c r="I66"/>
  <c r="I65"/>
  <c r="H66"/>
  <c r="H65"/>
  <c r="K63"/>
  <c r="K62"/>
  <c r="I63"/>
  <c r="I62"/>
  <c r="H63"/>
  <c r="H62"/>
  <c r="K60"/>
  <c r="K59"/>
  <c r="I60"/>
  <c r="H60"/>
  <c r="H59"/>
  <c r="K57"/>
  <c r="K56"/>
  <c r="I57"/>
  <c r="H57"/>
  <c r="H56"/>
  <c r="K54"/>
  <c r="K53"/>
  <c r="I54"/>
  <c r="I53"/>
  <c r="H54"/>
  <c r="H53"/>
  <c r="K51"/>
  <c r="K50"/>
  <c r="I51"/>
  <c r="I50"/>
  <c r="H51"/>
  <c r="H50"/>
  <c r="K48"/>
  <c r="K47"/>
  <c r="I48"/>
  <c r="H48"/>
  <c r="H47"/>
  <c r="K45"/>
  <c r="K44"/>
  <c r="I45"/>
  <c r="I44"/>
  <c r="H45"/>
  <c r="H44"/>
  <c r="K42"/>
  <c r="K41"/>
  <c r="I42"/>
  <c r="I41"/>
  <c r="H42"/>
  <c r="H41"/>
  <c r="K39"/>
  <c r="K38"/>
  <c r="I39"/>
  <c r="I38"/>
  <c r="H39"/>
  <c r="H38"/>
  <c r="K36"/>
  <c r="K35"/>
  <c r="I36"/>
  <c r="I35"/>
  <c r="H36"/>
  <c r="H35"/>
  <c r="K33"/>
  <c r="K32"/>
  <c r="I33"/>
  <c r="I32"/>
  <c r="H33"/>
  <c r="H32"/>
  <c r="K30"/>
  <c r="K29"/>
  <c r="I30"/>
  <c r="I29"/>
  <c r="H30"/>
  <c r="H29"/>
  <c r="K27"/>
  <c r="K26"/>
  <c r="I27"/>
  <c r="H27"/>
  <c r="H26"/>
  <c r="K24"/>
  <c r="K23"/>
  <c r="I24"/>
  <c r="I23"/>
  <c r="H24"/>
  <c r="H23"/>
  <c r="H20"/>
  <c r="M19"/>
  <c r="K18"/>
  <c r="K17"/>
  <c r="I18"/>
  <c r="I17"/>
  <c r="H18"/>
  <c r="H17"/>
  <c r="K15"/>
  <c r="K14"/>
  <c r="H15"/>
  <c r="H14"/>
  <c r="K12"/>
  <c r="K11"/>
  <c r="I12"/>
  <c r="I11"/>
  <c r="K9"/>
  <c r="K8"/>
  <c r="I9"/>
  <c r="I8"/>
  <c r="H9"/>
  <c r="H8"/>
  <c r="H5"/>
  <c r="H6"/>
  <c r="H3"/>
  <c r="K6"/>
  <c r="K5"/>
  <c r="K3"/>
  <c r="K2"/>
  <c r="I6"/>
  <c r="I5"/>
  <c r="N72" i="1"/>
  <c r="G18" i="3" s="1"/>
  <c r="I3" i="6"/>
  <c r="I2"/>
  <c r="G80" i="2"/>
  <c r="L80"/>
  <c r="I103" i="6" s="1"/>
  <c r="I101"/>
  <c r="I81"/>
  <c r="L60" i="2"/>
  <c r="I73" i="6" s="1"/>
  <c r="I4"/>
  <c r="K106" i="2"/>
  <c r="H142" i="6" s="1"/>
  <c r="K102" i="2"/>
  <c r="H136" i="6" s="1"/>
  <c r="K96" i="2"/>
  <c r="H127" i="6" s="1"/>
  <c r="K94" i="2"/>
  <c r="H124" i="6" s="1"/>
  <c r="K92" i="2"/>
  <c r="H121" i="6" s="1"/>
  <c r="K90" i="2"/>
  <c r="H118" i="6" s="1"/>
  <c r="K88" i="2"/>
  <c r="H115" i="6" s="1"/>
  <c r="K86" i="2"/>
  <c r="H112" i="6" s="1"/>
  <c r="K84" i="2"/>
  <c r="J109" i="6" s="1"/>
  <c r="K80" i="2"/>
  <c r="K78"/>
  <c r="H100" i="6" s="1"/>
  <c r="K76" i="2"/>
  <c r="H97" i="6" s="1"/>
  <c r="K74" i="2"/>
  <c r="H94" i="6" s="1"/>
  <c r="K70" i="2"/>
  <c r="H88" i="6" s="1"/>
  <c r="K68" i="2"/>
  <c r="H85" i="6" s="1"/>
  <c r="K64" i="2"/>
  <c r="H79" i="6" s="1"/>
  <c r="K58" i="2"/>
  <c r="K56"/>
  <c r="K54"/>
  <c r="H64" i="6" s="1"/>
  <c r="K52" i="2"/>
  <c r="H61" i="6" s="1"/>
  <c r="K50" i="2"/>
  <c r="N36" i="1"/>
  <c r="N7"/>
  <c r="N74"/>
  <c r="G19" i="3" s="1"/>
  <c r="N67" i="1"/>
  <c r="K214" i="6" s="1"/>
  <c r="N63" i="1"/>
  <c r="K208" i="6" s="1"/>
  <c r="N57" i="1"/>
  <c r="K199" i="6" s="1"/>
  <c r="N55" i="1"/>
  <c r="K196" i="6" s="1"/>
  <c r="N53" i="1"/>
  <c r="N51"/>
  <c r="N48"/>
  <c r="K187" i="6" s="1"/>
  <c r="N45" i="1"/>
  <c r="N42"/>
  <c r="G14" i="3" s="1"/>
  <c r="K226" i="6" s="1"/>
  <c r="N39" i="1"/>
  <c r="N33"/>
  <c r="N31"/>
  <c r="K169" i="6" s="1"/>
  <c r="N29" i="1"/>
  <c r="N25"/>
  <c r="N22"/>
  <c r="N20"/>
  <c r="N18"/>
  <c r="N13"/>
  <c r="G8" i="3" s="1"/>
  <c r="N10" i="1"/>
  <c r="G7" i="3" s="1"/>
  <c r="L74" i="1"/>
  <c r="L72"/>
  <c r="L67"/>
  <c r="I214" i="6" s="1"/>
  <c r="L63" i="1"/>
  <c r="I208" i="6" s="1"/>
  <c r="L55" i="1"/>
  <c r="I196" i="6" s="1"/>
  <c r="L51" i="1"/>
  <c r="I190" i="6" s="1"/>
  <c r="L48" i="1"/>
  <c r="I187" i="6" s="1"/>
  <c r="L45" i="1"/>
  <c r="I184" i="6" s="1"/>
  <c r="L42" i="1"/>
  <c r="M42" s="1"/>
  <c r="J181" i="6" s="1"/>
  <c r="L39" i="1"/>
  <c r="I178" i="6" s="1"/>
  <c r="L36" i="1"/>
  <c r="I175" i="6" s="1"/>
  <c r="L33" i="1"/>
  <c r="L31"/>
  <c r="L29"/>
  <c r="L25"/>
  <c r="I163" i="6" s="1"/>
  <c r="L22" i="1"/>
  <c r="I160" i="6" s="1"/>
  <c r="L20" i="1"/>
  <c r="L18"/>
  <c r="I154" i="6" s="1"/>
  <c r="L13" i="1"/>
  <c r="L10"/>
  <c r="I148" i="6" s="1"/>
  <c r="K74" i="1"/>
  <c r="K72"/>
  <c r="M72" s="1"/>
  <c r="K67"/>
  <c r="H214" i="6" s="1"/>
  <c r="K63" i="1"/>
  <c r="M63" s="1"/>
  <c r="K59"/>
  <c r="H202" i="6" s="1"/>
  <c r="K57" i="1"/>
  <c r="H199" i="6" s="1"/>
  <c r="K53" i="1"/>
  <c r="K51"/>
  <c r="H190" i="6" s="1"/>
  <c r="K48" i="1"/>
  <c r="K45"/>
  <c r="M45" s="1"/>
  <c r="K39"/>
  <c r="M39" s="1"/>
  <c r="J178" i="6" s="1"/>
  <c r="K36" i="1"/>
  <c r="H175" i="6" s="1"/>
  <c r="K33" i="1"/>
  <c r="H172" i="6" s="1"/>
  <c r="K31" i="1"/>
  <c r="H169" i="6" s="1"/>
  <c r="K29" i="1"/>
  <c r="H166" i="6" s="1"/>
  <c r="K25" i="1"/>
  <c r="H163" i="6" s="1"/>
  <c r="K22" i="1"/>
  <c r="M22" s="1"/>
  <c r="J160" i="6" s="1"/>
  <c r="K20" i="1"/>
  <c r="H157" i="6" s="1"/>
  <c r="K18" i="1"/>
  <c r="K13"/>
  <c r="K10"/>
  <c r="G74"/>
  <c r="J74" s="1"/>
  <c r="G72"/>
  <c r="I72" s="1"/>
  <c r="G67"/>
  <c r="G63"/>
  <c r="G48"/>
  <c r="I48" s="1"/>
  <c r="G45"/>
  <c r="I45" s="1"/>
  <c r="G39"/>
  <c r="J176" i="6" s="1"/>
  <c r="G36" i="1"/>
  <c r="I36" s="1"/>
  <c r="G31"/>
  <c r="G29"/>
  <c r="G25"/>
  <c r="J25" s="1"/>
  <c r="M161" i="6" s="1"/>
  <c r="G22" i="1"/>
  <c r="G20"/>
  <c r="J155" i="6" s="1"/>
  <c r="G18" i="1"/>
  <c r="J152" i="6" s="1"/>
  <c r="I13" i="1"/>
  <c r="K163" i="6"/>
  <c r="K190"/>
  <c r="H109"/>
  <c r="L66" i="2"/>
  <c r="I82" i="6" s="1"/>
  <c r="I80"/>
  <c r="J149"/>
  <c r="H154"/>
  <c r="H181"/>
  <c r="I42" i="1"/>
  <c r="G43" s="1"/>
  <c r="J43" s="1"/>
  <c r="J179" i="6"/>
  <c r="J48" i="1"/>
  <c r="M185" i="6" s="1"/>
  <c r="J42" i="1"/>
  <c r="M179" i="6" s="1"/>
  <c r="N74" i="2"/>
  <c r="K94" i="6" s="1"/>
  <c r="N76" i="2"/>
  <c r="N78"/>
  <c r="L74"/>
  <c r="I94" i="6" s="1"/>
  <c r="L78" i="2"/>
  <c r="I100" i="6" s="1"/>
  <c r="H216"/>
  <c r="H90"/>
  <c r="H89"/>
  <c r="M98"/>
  <c r="J92"/>
  <c r="K72" i="2"/>
  <c r="H91" i="6" s="1"/>
  <c r="K4"/>
  <c r="I15"/>
  <c r="I14"/>
  <c r="H72"/>
  <c r="H217"/>
  <c r="H138"/>
  <c r="H129"/>
  <c r="H132"/>
  <c r="K16"/>
  <c r="H137"/>
  <c r="G104" i="2"/>
  <c r="L15" i="6"/>
  <c r="H81"/>
  <c r="H12"/>
  <c r="K10"/>
  <c r="K13"/>
  <c r="N24" i="2"/>
  <c r="K19" i="6" s="1"/>
  <c r="K46"/>
  <c r="N50" i="2"/>
  <c r="N52"/>
  <c r="K61" i="6" s="1"/>
  <c r="N54" i="2"/>
  <c r="K64" i="6" s="1"/>
  <c r="N56" i="2"/>
  <c r="K67" i="6" s="1"/>
  <c r="N58" i="2"/>
  <c r="K70" i="6" s="1"/>
  <c r="N60" i="2"/>
  <c r="K73" i="6" s="1"/>
  <c r="N62" i="2"/>
  <c r="K76" i="6" s="1"/>
  <c r="N64" i="2"/>
  <c r="K79" i="6" s="1"/>
  <c r="N66" i="2"/>
  <c r="K82" i="6" s="1"/>
  <c r="N68" i="2"/>
  <c r="K85" i="6" s="1"/>
  <c r="N70" i="2"/>
  <c r="K88" i="6" s="1"/>
  <c r="N72" i="2"/>
  <c r="K91" i="6" s="1"/>
  <c r="N80" i="2"/>
  <c r="K103" i="6" s="1"/>
  <c r="N82" i="2"/>
  <c r="K106" i="6" s="1"/>
  <c r="N84" i="2"/>
  <c r="K109" i="6" s="1"/>
  <c r="N86" i="2"/>
  <c r="K112" i="6" s="1"/>
  <c r="N88" i="2"/>
  <c r="K115" i="6" s="1"/>
  <c r="N90" i="2"/>
  <c r="K118" i="6" s="1"/>
  <c r="N92" i="2"/>
  <c r="K121" i="6" s="1"/>
  <c r="N94" i="2"/>
  <c r="K124" i="6" s="1"/>
  <c r="N96" i="2"/>
  <c r="K127" i="6" s="1"/>
  <c r="N98" i="2"/>
  <c r="K130" i="6" s="1"/>
  <c r="N100" i="2"/>
  <c r="K133" i="6" s="1"/>
  <c r="N102" i="2"/>
  <c r="K136" i="6" s="1"/>
  <c r="N104" i="2"/>
  <c r="K139" i="6" s="1"/>
  <c r="N106" i="2"/>
  <c r="I13" i="6"/>
  <c r="L52" i="2"/>
  <c r="I61" i="6" s="1"/>
  <c r="L54" i="2"/>
  <c r="I64" i="6" s="1"/>
  <c r="I67"/>
  <c r="L58" i="2"/>
  <c r="I70" i="6" s="1"/>
  <c r="L62" i="2"/>
  <c r="I76" i="6" s="1"/>
  <c r="L64" i="2"/>
  <c r="I79" i="6" s="1"/>
  <c r="L68" i="2"/>
  <c r="L70"/>
  <c r="I88" i="6" s="1"/>
  <c r="L72" i="2"/>
  <c r="I91" i="6" s="1"/>
  <c r="L82" i="2"/>
  <c r="L86"/>
  <c r="I112" i="6" s="1"/>
  <c r="L88" i="2"/>
  <c r="L90"/>
  <c r="I118" i="6" s="1"/>
  <c r="L92" i="2"/>
  <c r="I121" i="6" s="1"/>
  <c r="L94" i="2"/>
  <c r="I124" i="6" s="1"/>
  <c r="L96" i="2"/>
  <c r="L98"/>
  <c r="I130" i="6" s="1"/>
  <c r="L100" i="2"/>
  <c r="I133" i="6" s="1"/>
  <c r="L102" i="2"/>
  <c r="L104"/>
  <c r="I139" i="6" s="1"/>
  <c r="L106" i="2"/>
  <c r="I142" i="6" s="1"/>
  <c r="K82" i="2"/>
  <c r="H106" i="6" s="1"/>
  <c r="K104" i="2"/>
  <c r="H139" i="6" s="1"/>
  <c r="L59" i="1"/>
  <c r="N59"/>
  <c r="J53"/>
  <c r="I197" i="6"/>
  <c r="G25" i="3"/>
  <c r="K217" i="6" s="1"/>
  <c r="G24" i="3"/>
  <c r="K216" i="6" s="1"/>
  <c r="G23" i="3"/>
  <c r="K215" i="6" s="1"/>
  <c r="M11"/>
  <c r="H11"/>
  <c r="M88"/>
  <c r="L84" i="2"/>
  <c r="I109" i="6" s="1"/>
  <c r="I107"/>
  <c r="M121"/>
  <c r="L53" i="1"/>
  <c r="I193" i="6" s="1"/>
  <c r="G57" i="1"/>
  <c r="M70" i="6"/>
  <c r="M31"/>
  <c r="G16" i="3"/>
  <c r="K228" i="6" s="1"/>
  <c r="K220"/>
  <c r="K219"/>
  <c r="F22" i="3"/>
  <c r="E6"/>
  <c r="I219" i="6" s="1"/>
  <c r="I220"/>
  <c r="E8" i="3"/>
  <c r="I222" i="6"/>
  <c r="I223"/>
  <c r="I224"/>
  <c r="I225"/>
  <c r="I226"/>
  <c r="I227"/>
  <c r="I228"/>
  <c r="D16" i="3"/>
  <c r="H228" i="6" s="1"/>
  <c r="H227"/>
  <c r="H226"/>
  <c r="D13" i="3"/>
  <c r="H225" i="6" s="1"/>
  <c r="H224"/>
  <c r="H223"/>
  <c r="H220"/>
  <c r="H219"/>
  <c r="G33" i="1"/>
  <c r="J20" i="6"/>
  <c r="M59"/>
  <c r="I56" i="2"/>
  <c r="G57" s="1"/>
  <c r="J57" s="1"/>
  <c r="M68" i="6"/>
  <c r="I62" i="2"/>
  <c r="M80" i="6"/>
  <c r="M86"/>
  <c r="M62"/>
  <c r="J62"/>
  <c r="J71"/>
  <c r="M116"/>
  <c r="J116"/>
  <c r="J29"/>
  <c r="I74" i="1"/>
  <c r="I90" i="2"/>
  <c r="G91" s="1"/>
  <c r="J91" s="1"/>
  <c r="I92"/>
  <c r="I54"/>
  <c r="G55" s="1"/>
  <c r="J55" s="1"/>
  <c r="J15" i="6"/>
  <c r="M15"/>
  <c r="J208" l="1"/>
  <c r="F17" i="3"/>
  <c r="G17"/>
  <c r="G11"/>
  <c r="K223" i="6" s="1"/>
  <c r="K175"/>
  <c r="G12" i="3"/>
  <c r="K224" i="6" s="1"/>
  <c r="G10" i="3"/>
  <c r="K222" i="6" s="1"/>
  <c r="M68" i="2"/>
  <c r="J85" i="6" s="1"/>
  <c r="J140"/>
  <c r="M40" i="2"/>
  <c r="P40" s="1"/>
  <c r="M43" i="6" s="1"/>
  <c r="M32" i="2"/>
  <c r="J31" i="6" s="1"/>
  <c r="I106" i="2"/>
  <c r="G107" s="1"/>
  <c r="M141" i="6" s="1"/>
  <c r="K142"/>
  <c r="G7" i="2"/>
  <c r="K184" i="6"/>
  <c r="G15" i="3"/>
  <c r="K227" i="6" s="1"/>
  <c r="K178"/>
  <c r="G13" i="3"/>
  <c r="K225" i="6" s="1"/>
  <c r="M54" i="2"/>
  <c r="J64" i="6" s="1"/>
  <c r="K181"/>
  <c r="I25" i="1"/>
  <c r="L161" i="6" s="1"/>
  <c r="H208"/>
  <c r="M18" i="1"/>
  <c r="J154" i="6" s="1"/>
  <c r="M96" i="2"/>
  <c r="P96" s="1"/>
  <c r="M127" i="6" s="1"/>
  <c r="J56"/>
  <c r="J50" i="2"/>
  <c r="M56" i="6" s="1"/>
  <c r="J137"/>
  <c r="J104" i="2"/>
  <c r="M137" i="6" s="1"/>
  <c r="M64" i="2"/>
  <c r="O64" s="1"/>
  <c r="L79" i="6" s="1"/>
  <c r="M90" i="2"/>
  <c r="O90" s="1"/>
  <c r="L118" i="6" s="1"/>
  <c r="H31"/>
  <c r="H43"/>
  <c r="I24" i="2"/>
  <c r="G25" s="1"/>
  <c r="J25" s="1"/>
  <c r="M18" i="6" s="1"/>
  <c r="J24" i="2"/>
  <c r="M17" i="6" s="1"/>
  <c r="J80" i="2"/>
  <c r="M101" i="6" s="1"/>
  <c r="J102" i="2"/>
  <c r="M134" i="6" s="1"/>
  <c r="I39" i="1"/>
  <c r="L176" i="6" s="1"/>
  <c r="I18" i="1"/>
  <c r="L152" i="6" s="1"/>
  <c r="M48" i="1"/>
  <c r="J185" i="6"/>
  <c r="J22" i="1"/>
  <c r="M158" i="6" s="1"/>
  <c r="J61" i="1"/>
  <c r="M203" i="6" s="1"/>
  <c r="J72" i="1"/>
  <c r="I55"/>
  <c r="J55"/>
  <c r="M194" i="6" s="1"/>
  <c r="J167"/>
  <c r="J31" i="1"/>
  <c r="M167" i="6" s="1"/>
  <c r="J212"/>
  <c r="J67" i="1"/>
  <c r="M212" i="6" s="1"/>
  <c r="P22" i="1"/>
  <c r="M160" i="6" s="1"/>
  <c r="J65" i="1"/>
  <c r="M209" i="6" s="1"/>
  <c r="I22" i="1"/>
  <c r="L158" i="6" s="1"/>
  <c r="M36" i="1"/>
  <c r="O36" s="1"/>
  <c r="L175" i="6" s="1"/>
  <c r="J20" i="1"/>
  <c r="M155" i="6" s="1"/>
  <c r="J206"/>
  <c r="J63" i="1"/>
  <c r="M206" i="6" s="1"/>
  <c r="J7" i="1"/>
  <c r="M143" i="6" s="1"/>
  <c r="H19" i="3"/>
  <c r="J170" i="6"/>
  <c r="J33" i="1"/>
  <c r="M170" i="6" s="1"/>
  <c r="I67" i="1"/>
  <c r="G68" s="1"/>
  <c r="J68" s="1"/>
  <c r="M213" i="6" s="1"/>
  <c r="M197"/>
  <c r="J158"/>
  <c r="J164"/>
  <c r="J29" i="1"/>
  <c r="K157" i="6"/>
  <c r="J143"/>
  <c r="H148"/>
  <c r="L119"/>
  <c r="G93" i="2"/>
  <c r="G63"/>
  <c r="J63" s="1"/>
  <c r="M75" i="6" s="1"/>
  <c r="J89"/>
  <c r="J72" i="2"/>
  <c r="M89" i="6" s="1"/>
  <c r="G47" i="2"/>
  <c r="J47" s="1"/>
  <c r="M51" i="6" s="1"/>
  <c r="G29" i="2"/>
  <c r="J29" s="1"/>
  <c r="M24" i="6" s="1"/>
  <c r="J21" i="2"/>
  <c r="J9"/>
  <c r="J19"/>
  <c r="L20" i="6"/>
  <c r="M21"/>
  <c r="I27" i="2"/>
  <c r="L21" i="6" s="1"/>
  <c r="J21"/>
  <c r="J50"/>
  <c r="J5"/>
  <c r="J110"/>
  <c r="J53"/>
  <c r="M86" i="2"/>
  <c r="O86" s="1"/>
  <c r="L112" i="6" s="1"/>
  <c r="L50"/>
  <c r="I86" i="2"/>
  <c r="G87" s="1"/>
  <c r="J87" s="1"/>
  <c r="M125" i="6"/>
  <c r="M20"/>
  <c r="L4"/>
  <c r="M24" i="2"/>
  <c r="P24" s="1"/>
  <c r="M36"/>
  <c r="O36" s="1"/>
  <c r="L37" i="6" s="1"/>
  <c r="M28" i="2"/>
  <c r="J25" i="6" s="1"/>
  <c r="M54"/>
  <c r="I49" i="2"/>
  <c r="L54" i="6" s="1"/>
  <c r="J54"/>
  <c r="L29"/>
  <c r="L53"/>
  <c r="L116"/>
  <c r="J68"/>
  <c r="J119"/>
  <c r="J101"/>
  <c r="H25"/>
  <c r="L23"/>
  <c r="I58" i="2"/>
  <c r="M122" i="6"/>
  <c r="M106" i="2"/>
  <c r="J142" i="6" s="1"/>
  <c r="M74" i="2"/>
  <c r="O74" s="1"/>
  <c r="L94" i="6" s="1"/>
  <c r="M38"/>
  <c r="M53" i="1"/>
  <c r="P53" s="1"/>
  <c r="M193" i="6" s="1"/>
  <c r="J203"/>
  <c r="L179"/>
  <c r="J39" i="1"/>
  <c r="M176" i="6" s="1"/>
  <c r="I29" i="1"/>
  <c r="L164" i="6" s="1"/>
  <c r="M164"/>
  <c r="J146"/>
  <c r="I10" i="1"/>
  <c r="G11" s="1"/>
  <c r="I96" i="2"/>
  <c r="L125" i="6" s="1"/>
  <c r="M42" i="2"/>
  <c r="J46" i="6" s="1"/>
  <c r="M92"/>
  <c r="J187"/>
  <c r="O48" i="1"/>
  <c r="L187" i="6" s="1"/>
  <c r="P48" i="1"/>
  <c r="M187" i="6" s="1"/>
  <c r="I33" i="1"/>
  <c r="G34" s="1"/>
  <c r="J197" i="6"/>
  <c r="J13" i="1"/>
  <c r="H187" i="6"/>
  <c r="M149"/>
  <c r="M29" i="1"/>
  <c r="O29" s="1"/>
  <c r="L166" i="6" s="1"/>
  <c r="I149"/>
  <c r="I65" i="1"/>
  <c r="G66" s="1"/>
  <c r="J66" s="1"/>
  <c r="I31"/>
  <c r="M67"/>
  <c r="J214" i="6" s="1"/>
  <c r="M10" i="1"/>
  <c r="J148" i="6" s="1"/>
  <c r="H193"/>
  <c r="M61" i="1"/>
  <c r="J205" i="6" s="1"/>
  <c r="I202"/>
  <c r="M59" i="1"/>
  <c r="J202" i="6" s="1"/>
  <c r="L173"/>
  <c r="G37" i="1"/>
  <c r="J174" i="6" s="1"/>
  <c r="I151"/>
  <c r="M15" i="1"/>
  <c r="J151" i="6" s="1"/>
  <c r="L185"/>
  <c r="G49" i="1"/>
  <c r="M74"/>
  <c r="O74" s="1"/>
  <c r="I57"/>
  <c r="J220" i="6"/>
  <c r="H229"/>
  <c r="I229"/>
  <c r="L57" i="1"/>
  <c r="I200" i="6"/>
  <c r="L143"/>
  <c r="J161"/>
  <c r="M7" i="1"/>
  <c r="O7" s="1"/>
  <c r="L145" i="6" s="1"/>
  <c r="I181"/>
  <c r="J209"/>
  <c r="P42" i="1"/>
  <c r="M181" i="6" s="1"/>
  <c r="I63" i="1"/>
  <c r="G59"/>
  <c r="J59" s="1"/>
  <c r="M13"/>
  <c r="P13" s="1"/>
  <c r="H195" i="6"/>
  <c r="K229"/>
  <c r="I191"/>
  <c r="K200"/>
  <c r="J18" i="1"/>
  <c r="M152" i="6" s="1"/>
  <c r="H205"/>
  <c r="J173"/>
  <c r="J36" i="1"/>
  <c r="M173" i="6" s="1"/>
  <c r="L182"/>
  <c r="G46" i="1"/>
  <c r="M191" i="6"/>
  <c r="I53" i="1"/>
  <c r="G54" s="1"/>
  <c r="J191" i="6"/>
  <c r="P63" i="1"/>
  <c r="M208" i="6" s="1"/>
  <c r="M55" i="1"/>
  <c r="J196" i="6" s="1"/>
  <c r="H196"/>
  <c r="K193"/>
  <c r="H211"/>
  <c r="M65" i="1"/>
  <c r="K202" i="6"/>
  <c r="O63" i="1"/>
  <c r="L208" i="6" s="1"/>
  <c r="H178"/>
  <c r="O45" i="1"/>
  <c r="L184" i="6" s="1"/>
  <c r="H184"/>
  <c r="P45" i="1"/>
  <c r="M184" i="6" s="1"/>
  <c r="H160"/>
  <c r="M31" i="1"/>
  <c r="K205" i="6"/>
  <c r="I157"/>
  <c r="M20" i="1"/>
  <c r="J157" i="6" s="1"/>
  <c r="K166"/>
  <c r="P72" i="1"/>
  <c r="J184" i="6"/>
  <c r="J182"/>
  <c r="J45" i="1"/>
  <c r="M182" i="6" s="1"/>
  <c r="I172"/>
  <c r="M33" i="1"/>
  <c r="J172" i="6" s="1"/>
  <c r="I51" i="1"/>
  <c r="L188" i="6" s="1"/>
  <c r="M188"/>
  <c r="F20" i="3"/>
  <c r="I20" s="1"/>
  <c r="I20" i="1"/>
  <c r="L155" i="6" s="1"/>
  <c r="O42" i="1"/>
  <c r="L181" i="6" s="1"/>
  <c r="O13" i="1"/>
  <c r="I61"/>
  <c r="J10"/>
  <c r="M146" i="6" s="1"/>
  <c r="P18" i="1"/>
  <c r="M154" i="6" s="1"/>
  <c r="I10" i="3"/>
  <c r="M222" i="6" s="1"/>
  <c r="G26" i="1"/>
  <c r="J26" s="1"/>
  <c r="M25"/>
  <c r="J98" i="6"/>
  <c r="M74"/>
  <c r="J74"/>
  <c r="J17"/>
  <c r="O18" i="1"/>
  <c r="L154" i="6" s="1"/>
  <c r="O39" i="1"/>
  <c r="L178" i="6" s="1"/>
  <c r="P39" i="1"/>
  <c r="M178" i="6" s="1"/>
  <c r="K154"/>
  <c r="J225"/>
  <c r="J223"/>
  <c r="O72" i="1"/>
  <c r="K172" i="6"/>
  <c r="G30" i="1"/>
  <c r="J30" s="1"/>
  <c r="M39" i="6"/>
  <c r="J39"/>
  <c r="I76" i="2"/>
  <c r="G77" s="1"/>
  <c r="J77" s="1"/>
  <c r="J95" i="6"/>
  <c r="M95"/>
  <c r="J117"/>
  <c r="M117"/>
  <c r="I91" i="2"/>
  <c r="L117" i="6" s="1"/>
  <c r="J83"/>
  <c r="I68" i="2"/>
  <c r="G69" s="1"/>
  <c r="J69" s="1"/>
  <c r="M83" i="6"/>
  <c r="I60" i="2"/>
  <c r="G61" s="1"/>
  <c r="J61" s="1"/>
  <c r="M71" i="6"/>
  <c r="I52" i="2"/>
  <c r="J59" i="6"/>
  <c r="J43"/>
  <c r="L38"/>
  <c r="I50" i="2"/>
  <c r="G51" s="1"/>
  <c r="J51" s="1"/>
  <c r="J104" i="6"/>
  <c r="J38"/>
  <c r="M62" i="2"/>
  <c r="I127" i="6"/>
  <c r="K98" i="2"/>
  <c r="M78"/>
  <c r="I95" i="6"/>
  <c r="H67"/>
  <c r="M56" i="2"/>
  <c r="I82"/>
  <c r="G83" s="1"/>
  <c r="J83" s="1"/>
  <c r="J32" i="6"/>
  <c r="M92" i="2"/>
  <c r="O92" s="1"/>
  <c r="L121" i="6" s="1"/>
  <c r="M70" i="2"/>
  <c r="J88" i="6" s="1"/>
  <c r="L50" i="2"/>
  <c r="I58" i="6" s="1"/>
  <c r="L76" i="2"/>
  <c r="I97" i="6" s="1"/>
  <c r="H37"/>
  <c r="M48" i="2"/>
  <c r="I94"/>
  <c r="G95" s="1"/>
  <c r="J95" s="1"/>
  <c r="M94"/>
  <c r="P94" s="1"/>
  <c r="M124" i="6" s="1"/>
  <c r="M72" i="2"/>
  <c r="J91" i="6" s="1"/>
  <c r="H215"/>
  <c r="I34" i="2"/>
  <c r="I215" i="6"/>
  <c r="H18" i="3"/>
  <c r="J228" i="6"/>
  <c r="J189"/>
  <c r="I52" i="1"/>
  <c r="L189" i="6" s="1"/>
  <c r="M189"/>
  <c r="M51" i="1"/>
  <c r="P51" s="1"/>
  <c r="J80" i="6"/>
  <c r="I74" i="2"/>
  <c r="G75" s="1"/>
  <c r="J75" s="1"/>
  <c r="M84"/>
  <c r="O84" s="1"/>
  <c r="L109" i="6" s="1"/>
  <c r="M50"/>
  <c r="K148"/>
  <c r="K160"/>
  <c r="K145"/>
  <c r="I6" i="3"/>
  <c r="M219" i="6" s="1"/>
  <c r="H222"/>
  <c r="H8" i="3"/>
  <c r="I42" i="2"/>
  <c r="G43" s="1"/>
  <c r="J43" s="1"/>
  <c r="J44" i="6"/>
  <c r="P68" i="2"/>
  <c r="M85" i="6" s="1"/>
  <c r="O68" i="2"/>
  <c r="L85" i="6" s="1"/>
  <c r="I85"/>
  <c r="I102" i="2"/>
  <c r="G103" s="1"/>
  <c r="J103" s="1"/>
  <c r="J134" i="6"/>
  <c r="J65"/>
  <c r="M52" i="2"/>
  <c r="J61" i="6" s="1"/>
  <c r="E8" i="7"/>
  <c r="G22" i="3"/>
  <c r="K151" i="6"/>
  <c r="H70"/>
  <c r="M58" i="2"/>
  <c r="I40"/>
  <c r="M41" i="6"/>
  <c r="J41"/>
  <c r="M38" i="2"/>
  <c r="P38" s="1"/>
  <c r="M40" i="6" s="1"/>
  <c r="H40"/>
  <c r="H28"/>
  <c r="K49"/>
  <c r="I39" i="2"/>
  <c r="L39" i="6" s="1"/>
  <c r="L62"/>
  <c r="I136"/>
  <c r="M102" i="2"/>
  <c r="H131" i="6"/>
  <c r="G100" i="2"/>
  <c r="J100" s="1"/>
  <c r="K100"/>
  <c r="H133" i="6" s="1"/>
  <c r="J107"/>
  <c r="I84" i="2"/>
  <c r="G85" s="1"/>
  <c r="J85" s="1"/>
  <c r="I115" i="6"/>
  <c r="M88" i="2"/>
  <c r="H58" i="6"/>
  <c r="H103"/>
  <c r="M80" i="2"/>
  <c r="I64"/>
  <c r="G65" s="1"/>
  <c r="J65" s="1"/>
  <c r="J77" i="6"/>
  <c r="M77"/>
  <c r="I106"/>
  <c r="M82" i="2"/>
  <c r="H80" i="6"/>
  <c r="K66" i="2"/>
  <c r="H82" i="6" s="1"/>
  <c r="M34" i="2"/>
  <c r="I34" i="6"/>
  <c r="I216"/>
  <c r="I26"/>
  <c r="L30" i="2"/>
  <c r="I28" i="6" s="1"/>
  <c r="L44" i="2"/>
  <c r="I47" i="6"/>
  <c r="I113"/>
  <c r="M65"/>
  <c r="J86"/>
  <c r="I15" i="2"/>
  <c r="H218" i="6"/>
  <c r="H128"/>
  <c r="M26" i="2"/>
  <c r="H22" i="6"/>
  <c r="I70" i="2"/>
  <c r="J11" i="6"/>
  <c r="K60" i="2"/>
  <c r="H71" i="6"/>
  <c r="I78" i="2"/>
  <c r="L98" i="6" s="1"/>
  <c r="M16"/>
  <c r="M46" i="2"/>
  <c r="J52" i="6" s="1"/>
  <c r="H52"/>
  <c r="K40"/>
  <c r="K28"/>
  <c r="I218"/>
  <c r="I217"/>
  <c r="L194"/>
  <c r="G56" i="1"/>
  <c r="J56" s="1"/>
  <c r="J194" i="6"/>
  <c r="I14" i="3"/>
  <c r="M226" i="6" s="1"/>
  <c r="J227"/>
  <c r="I19" i="3"/>
  <c r="I66" i="2"/>
  <c r="G67" s="1"/>
  <c r="J67" s="1"/>
  <c r="I104"/>
  <c r="G19" i="1"/>
  <c r="J144" i="6"/>
  <c r="J8" i="1"/>
  <c r="M144" i="6" s="1"/>
  <c r="I8" i="1"/>
  <c r="L144" i="6" s="1"/>
  <c r="M104" i="2"/>
  <c r="L74" i="6"/>
  <c r="I10"/>
  <c r="L8"/>
  <c r="I11" i="2"/>
  <c r="M8" i="6"/>
  <c r="J8"/>
  <c r="L2"/>
  <c r="J6" i="2"/>
  <c r="J2" i="6"/>
  <c r="K100"/>
  <c r="L65"/>
  <c r="J66"/>
  <c r="K52"/>
  <c r="K31"/>
  <c r="K97"/>
  <c r="I72" i="2"/>
  <c r="G73" s="1"/>
  <c r="J35" i="6"/>
  <c r="I36" i="2"/>
  <c r="G37" s="1"/>
  <c r="J37" s="1"/>
  <c r="F8" i="7"/>
  <c r="M180" i="6"/>
  <c r="J180"/>
  <c r="I43" i="1"/>
  <c r="L180" i="6" s="1"/>
  <c r="O22" i="1"/>
  <c r="L160" i="6" s="1"/>
  <c r="I80" i="2"/>
  <c r="J6" i="6"/>
  <c r="L6"/>
  <c r="L5"/>
  <c r="P54" i="2" l="1"/>
  <c r="M64" i="6" s="1"/>
  <c r="J141"/>
  <c r="O54" i="2"/>
  <c r="L64" i="6" s="1"/>
  <c r="J75"/>
  <c r="L140"/>
  <c r="M6"/>
  <c r="O40" i="2"/>
  <c r="L43" i="6" s="1"/>
  <c r="I29" i="2"/>
  <c r="L24" i="6" s="1"/>
  <c r="O32" i="2"/>
  <c r="L31" i="6" s="1"/>
  <c r="I63" i="2"/>
  <c r="L75" i="6" s="1"/>
  <c r="I107" i="2"/>
  <c r="L141" i="6" s="1"/>
  <c r="J18"/>
  <c r="O96" i="2"/>
  <c r="L127" i="6" s="1"/>
  <c r="L17"/>
  <c r="J127"/>
  <c r="I47" i="2"/>
  <c r="L51" i="6" s="1"/>
  <c r="M2"/>
  <c r="M50" i="2"/>
  <c r="P50" s="1"/>
  <c r="M58" i="6" s="1"/>
  <c r="P64" i="2"/>
  <c r="M79" i="6" s="1"/>
  <c r="M142"/>
  <c r="L134"/>
  <c r="J121"/>
  <c r="J94"/>
  <c r="P74" i="2"/>
  <c r="M94" i="6" s="1"/>
  <c r="J79"/>
  <c r="J100"/>
  <c r="P78" i="2"/>
  <c r="M100" i="6" s="1"/>
  <c r="J37"/>
  <c r="P36" i="2"/>
  <c r="M37" i="6" s="1"/>
  <c r="P48" i="2"/>
  <c r="M55" i="6" s="1"/>
  <c r="L212"/>
  <c r="J213"/>
  <c r="I68" i="1"/>
  <c r="L213" i="6" s="1"/>
  <c r="P74" i="1"/>
  <c r="G40"/>
  <c r="J40" s="1"/>
  <c r="M177" i="6" s="1"/>
  <c r="J193"/>
  <c r="O53" i="1"/>
  <c r="L193" i="6" s="1"/>
  <c r="M66" i="2"/>
  <c r="O66" s="1"/>
  <c r="L82" i="6" s="1"/>
  <c r="O78" i="2"/>
  <c r="L100" i="6" s="1"/>
  <c r="P86" i="2"/>
  <c r="M112" i="6" s="1"/>
  <c r="O24" i="2"/>
  <c r="L19" i="6" s="1"/>
  <c r="I25" i="2"/>
  <c r="L18" i="6" s="1"/>
  <c r="J112"/>
  <c r="O28" i="2"/>
  <c r="L25" i="6" s="1"/>
  <c r="J118"/>
  <c r="J19"/>
  <c r="P90" i="2"/>
  <c r="M118" i="6" s="1"/>
  <c r="L110"/>
  <c r="J10"/>
  <c r="P10" i="2"/>
  <c r="P8"/>
  <c r="I7"/>
  <c r="J7"/>
  <c r="G23" i="1"/>
  <c r="J23" s="1"/>
  <c r="M159" i="6" s="1"/>
  <c r="P33" i="1"/>
  <c r="M172" i="6" s="1"/>
  <c r="P36" i="1"/>
  <c r="M175" i="6" s="1"/>
  <c r="J175"/>
  <c r="O33" i="1"/>
  <c r="L172" i="6" s="1"/>
  <c r="O15" i="1"/>
  <c r="L151" i="6" s="1"/>
  <c r="I34" i="1"/>
  <c r="L171" i="6" s="1"/>
  <c r="J34" i="1"/>
  <c r="M171" i="6" s="1"/>
  <c r="J19" i="1"/>
  <c r="M153" i="6" s="1"/>
  <c r="P29" i="1"/>
  <c r="M166" i="6" s="1"/>
  <c r="P20" i="1"/>
  <c r="O59"/>
  <c r="L202" i="6" s="1"/>
  <c r="G97" i="2"/>
  <c r="J93"/>
  <c r="M120" i="6" s="1"/>
  <c r="J120"/>
  <c r="I93" i="2"/>
  <c r="L120" i="6" s="1"/>
  <c r="G79" i="2"/>
  <c r="J79" s="1"/>
  <c r="M99" i="6" s="1"/>
  <c r="L86"/>
  <c r="G71" i="2"/>
  <c r="L68" i="6"/>
  <c r="G59" i="2"/>
  <c r="G53"/>
  <c r="J53" s="1"/>
  <c r="M60" i="6" s="1"/>
  <c r="J51"/>
  <c r="L41"/>
  <c r="G41" i="2"/>
  <c r="J41" s="1"/>
  <c r="G35"/>
  <c r="J35" s="1"/>
  <c r="M33" i="6" s="1"/>
  <c r="J24"/>
  <c r="J11" i="2"/>
  <c r="J15"/>
  <c r="O46"/>
  <c r="L52" i="6" s="1"/>
  <c r="M76" i="2"/>
  <c r="J4" i="6"/>
  <c r="P28" i="2"/>
  <c r="M25" i="6" s="1"/>
  <c r="L71"/>
  <c r="P46" i="2"/>
  <c r="M52" i="6" s="1"/>
  <c r="P6" i="2"/>
  <c r="O42"/>
  <c r="L46" i="6" s="1"/>
  <c r="J72"/>
  <c r="I61" i="2"/>
  <c r="L72" i="6" s="1"/>
  <c r="M72"/>
  <c r="I33" i="2"/>
  <c r="L30" i="6" s="1"/>
  <c r="J30"/>
  <c r="P42" i="2"/>
  <c r="M46" i="6" s="1"/>
  <c r="P84" i="2"/>
  <c r="M109" i="6" s="1"/>
  <c r="M100" i="2"/>
  <c r="O100" s="1"/>
  <c r="L133" i="6" s="1"/>
  <c r="O106" i="2"/>
  <c r="L142" i="6" s="1"/>
  <c r="L10"/>
  <c r="J145"/>
  <c r="P7" i="1"/>
  <c r="M145" i="6" s="1"/>
  <c r="G21" i="1"/>
  <c r="I21" s="1"/>
  <c r="L156" i="6" s="1"/>
  <c r="L209"/>
  <c r="O55" i="1"/>
  <c r="L196" i="6" s="1"/>
  <c r="P67" i="1"/>
  <c r="M214" i="6" s="1"/>
  <c r="O61" i="1"/>
  <c r="L205" i="6" s="1"/>
  <c r="O67" i="1"/>
  <c r="L214" i="6" s="1"/>
  <c r="P15" i="1"/>
  <c r="M151" i="6" s="1"/>
  <c r="I11" i="1"/>
  <c r="L147" i="6" s="1"/>
  <c r="L7"/>
  <c r="I7" i="3"/>
  <c r="M220" i="6" s="1"/>
  <c r="L32"/>
  <c r="O72" i="2"/>
  <c r="L91" i="6" s="1"/>
  <c r="P72" i="2"/>
  <c r="M91" i="6" s="1"/>
  <c r="J222"/>
  <c r="H15" i="3"/>
  <c r="L227" i="6" s="1"/>
  <c r="P61" i="1"/>
  <c r="M205" i="6" s="1"/>
  <c r="L167"/>
  <c r="G32" i="1"/>
  <c r="J32" s="1"/>
  <c r="J171" i="6"/>
  <c r="O10" i="1"/>
  <c r="L148" i="6" s="1"/>
  <c r="P10" i="1"/>
  <c r="M148" i="6" s="1"/>
  <c r="I37" i="1"/>
  <c r="L174" i="6" s="1"/>
  <c r="J147"/>
  <c r="H7" i="3"/>
  <c r="L220" i="6" s="1"/>
  <c r="H20" i="3"/>
  <c r="J11" i="1"/>
  <c r="M147" i="6" s="1"/>
  <c r="I8" i="3"/>
  <c r="L170" i="6"/>
  <c r="J166"/>
  <c r="I166"/>
  <c r="M200"/>
  <c r="I59" i="1"/>
  <c r="J200" i="6"/>
  <c r="J49" i="1"/>
  <c r="M186" i="6" s="1"/>
  <c r="J186"/>
  <c r="I49" i="1"/>
  <c r="L186" i="6" s="1"/>
  <c r="I18" i="3"/>
  <c r="L146" i="6"/>
  <c r="P59" i="1"/>
  <c r="M202" i="6" s="1"/>
  <c r="J37" i="1"/>
  <c r="M174" i="6" s="1"/>
  <c r="J177"/>
  <c r="G64" i="1"/>
  <c r="J64" s="1"/>
  <c r="L206" i="6"/>
  <c r="P57" i="1"/>
  <c r="M199" i="6" s="1"/>
  <c r="I199"/>
  <c r="M57" i="1"/>
  <c r="G58"/>
  <c r="L197" i="6"/>
  <c r="H10" i="3"/>
  <c r="L222" i="6" s="1"/>
  <c r="I17" i="3"/>
  <c r="M229" i="6" s="1"/>
  <c r="I9" i="3"/>
  <c r="H9"/>
  <c r="I16"/>
  <c r="M228" i="6" s="1"/>
  <c r="O20" i="1"/>
  <c r="L157" i="6" s="1"/>
  <c r="L203"/>
  <c r="G62" i="1"/>
  <c r="J62" s="1"/>
  <c r="P65"/>
  <c r="M211" i="6" s="1"/>
  <c r="O65" i="1"/>
  <c r="L211" i="6" s="1"/>
  <c r="J211"/>
  <c r="M210"/>
  <c r="I66" i="1"/>
  <c r="L210" i="6" s="1"/>
  <c r="J210"/>
  <c r="J183"/>
  <c r="I46" i="1"/>
  <c r="L183" i="6" s="1"/>
  <c r="J46" i="1"/>
  <c r="M183" i="6" s="1"/>
  <c r="H13" i="3"/>
  <c r="L225" i="6" s="1"/>
  <c r="H16" i="3"/>
  <c r="L228" i="6" s="1"/>
  <c r="P55" i="1"/>
  <c r="M196" i="6" s="1"/>
  <c r="I169"/>
  <c r="J169"/>
  <c r="O31" i="1"/>
  <c r="L169" i="6" s="1"/>
  <c r="J54" i="1"/>
  <c r="L191" i="6"/>
  <c r="M157"/>
  <c r="I13" i="3"/>
  <c r="M225" i="6" s="1"/>
  <c r="P31" i="1"/>
  <c r="M169" i="6" s="1"/>
  <c r="I11" i="3"/>
  <c r="M223" i="6" s="1"/>
  <c r="H11" i="3"/>
  <c r="L223" i="6" s="1"/>
  <c r="O25" i="1"/>
  <c r="L163" i="6" s="1"/>
  <c r="P25" i="1"/>
  <c r="M163" i="6" s="1"/>
  <c r="J163"/>
  <c r="M162"/>
  <c r="I26" i="1"/>
  <c r="L162" i="6" s="1"/>
  <c r="J162"/>
  <c r="M165"/>
  <c r="I30" i="1"/>
  <c r="L165" i="6" s="1"/>
  <c r="J165"/>
  <c r="L104"/>
  <c r="L83"/>
  <c r="D27" i="3"/>
  <c r="O48" i="2"/>
  <c r="L55" i="6" s="1"/>
  <c r="J55"/>
  <c r="O62" i="2"/>
  <c r="L76" i="6" s="1"/>
  <c r="P62" i="2"/>
  <c r="M76" i="6" s="1"/>
  <c r="J76"/>
  <c r="F23" i="3"/>
  <c r="I23" s="1"/>
  <c r="M215" i="6" s="1"/>
  <c r="L59"/>
  <c r="O70" i="2"/>
  <c r="L88" i="6" s="1"/>
  <c r="H130"/>
  <c r="M98" i="2"/>
  <c r="L56" i="6"/>
  <c r="L95"/>
  <c r="O94" i="2"/>
  <c r="L124" i="6" s="1"/>
  <c r="J124"/>
  <c r="L122"/>
  <c r="P14" i="2"/>
  <c r="H13" i="6"/>
  <c r="L11"/>
  <c r="I15" i="3"/>
  <c r="M227" i="6" s="1"/>
  <c r="M190"/>
  <c r="J190"/>
  <c r="O51" i="1"/>
  <c r="L190" i="6" s="1"/>
  <c r="L92"/>
  <c r="P52" i="2"/>
  <c r="M61" i="6" s="1"/>
  <c r="O52" i="2"/>
  <c r="L61" i="6" s="1"/>
  <c r="F24" i="3"/>
  <c r="J216" i="6" s="1"/>
  <c r="J219"/>
  <c r="H6" i="3"/>
  <c r="L219" i="6" s="1"/>
  <c r="L44"/>
  <c r="F26" i="3"/>
  <c r="J218" i="6" s="1"/>
  <c r="E27" i="3"/>
  <c r="F25"/>
  <c r="I25" s="1"/>
  <c r="M217" i="6" s="1"/>
  <c r="I22" i="3"/>
  <c r="H22"/>
  <c r="L16" i="6"/>
  <c r="J16"/>
  <c r="L14"/>
  <c r="M14"/>
  <c r="J14"/>
  <c r="M26"/>
  <c r="J26"/>
  <c r="I30" i="2"/>
  <c r="G31" s="1"/>
  <c r="J31" s="1"/>
  <c r="L77" i="6"/>
  <c r="M30" i="2"/>
  <c r="M128" i="6"/>
  <c r="J128"/>
  <c r="I98" i="2"/>
  <c r="G99" s="1"/>
  <c r="J99" s="1"/>
  <c r="L107" i="6"/>
  <c r="J7"/>
  <c r="M113"/>
  <c r="J113"/>
  <c r="I88" i="2"/>
  <c r="G89" s="1"/>
  <c r="J89" s="1"/>
  <c r="I44"/>
  <c r="G45" s="1"/>
  <c r="J45" s="1"/>
  <c r="M47" i="6"/>
  <c r="J47"/>
  <c r="J106"/>
  <c r="O82" i="2"/>
  <c r="L106" i="6" s="1"/>
  <c r="P82" i="2"/>
  <c r="M106" i="6" s="1"/>
  <c r="P88" i="2"/>
  <c r="M115" i="6" s="1"/>
  <c r="J115"/>
  <c r="O88" i="2"/>
  <c r="L115" i="6" s="1"/>
  <c r="H73"/>
  <c r="M60" i="2"/>
  <c r="O26"/>
  <c r="L22" i="6" s="1"/>
  <c r="P26" i="2"/>
  <c r="M22" i="6" s="1"/>
  <c r="J22"/>
  <c r="P34" i="2"/>
  <c r="M34" i="6" s="1"/>
  <c r="O34" i="2"/>
  <c r="L34" i="6" s="1"/>
  <c r="J34"/>
  <c r="O80" i="2"/>
  <c r="L103" i="6" s="1"/>
  <c r="J103"/>
  <c r="P80" i="2"/>
  <c r="M103" i="6" s="1"/>
  <c r="M63"/>
  <c r="J63"/>
  <c r="I55" i="2"/>
  <c r="L63" i="6" s="1"/>
  <c r="M44" i="2"/>
  <c r="I49" i="6"/>
  <c r="J131"/>
  <c r="I100" i="2"/>
  <c r="M131" i="6"/>
  <c r="J136"/>
  <c r="P102" i="2"/>
  <c r="M136" i="6" s="1"/>
  <c r="O102" i="2"/>
  <c r="L136" i="6" s="1"/>
  <c r="O38" i="2"/>
  <c r="L40" i="6" s="1"/>
  <c r="J40"/>
  <c r="J70"/>
  <c r="O58" i="2"/>
  <c r="L70" i="6" s="1"/>
  <c r="J195"/>
  <c r="M195"/>
  <c r="I56" i="1"/>
  <c r="L195" i="6" s="1"/>
  <c r="H14" i="3"/>
  <c r="L226" i="6" s="1"/>
  <c r="J226"/>
  <c r="J224"/>
  <c r="H12" i="3"/>
  <c r="L224" i="6" s="1"/>
  <c r="I12" i="3"/>
  <c r="M224" i="6" s="1"/>
  <c r="L80"/>
  <c r="G105" i="2"/>
  <c r="J105" s="1"/>
  <c r="L137" i="6"/>
  <c r="J153"/>
  <c r="I19" i="1"/>
  <c r="L153" i="6" s="1"/>
  <c r="P104" i="2"/>
  <c r="M139" i="6" s="1"/>
  <c r="J139"/>
  <c r="O104" i="2"/>
  <c r="L139" i="6" s="1"/>
  <c r="L9"/>
  <c r="J9"/>
  <c r="J3"/>
  <c r="M135"/>
  <c r="I103" i="2"/>
  <c r="L135" i="6" s="1"/>
  <c r="J135"/>
  <c r="J12"/>
  <c r="L12"/>
  <c r="J111"/>
  <c r="M111"/>
  <c r="I87" i="2"/>
  <c r="L111" i="6" s="1"/>
  <c r="M66"/>
  <c r="I57" i="2"/>
  <c r="L66" i="6" s="1"/>
  <c r="L89"/>
  <c r="J73" i="2"/>
  <c r="L35" i="6"/>
  <c r="L101"/>
  <c r="G81" i="2"/>
  <c r="J81" s="1"/>
  <c r="O56"/>
  <c r="L67" i="6" s="1"/>
  <c r="J67"/>
  <c r="P56" i="2"/>
  <c r="M67" i="6" s="1"/>
  <c r="J58" l="1"/>
  <c r="M10"/>
  <c r="M12"/>
  <c r="K58"/>
  <c r="O50" i="2"/>
  <c r="L58" i="6" s="1"/>
  <c r="J82"/>
  <c r="J42"/>
  <c r="I41" i="2"/>
  <c r="L42" i="6" s="1"/>
  <c r="P66" i="2"/>
  <c r="M82" i="6" s="1"/>
  <c r="L3"/>
  <c r="M7"/>
  <c r="M4"/>
  <c r="M9"/>
  <c r="M3"/>
  <c r="O76" i="2"/>
  <c r="L97" i="6" s="1"/>
  <c r="P76" i="2"/>
  <c r="M97" i="6" s="1"/>
  <c r="I40" i="1"/>
  <c r="L177" i="6" s="1"/>
  <c r="I23" i="1"/>
  <c r="L159" i="6" s="1"/>
  <c r="J159"/>
  <c r="J99"/>
  <c r="J33"/>
  <c r="I53" i="2"/>
  <c r="L60" i="6" s="1"/>
  <c r="J215"/>
  <c r="J156"/>
  <c r="J21" i="1"/>
  <c r="M156" i="6" s="1"/>
  <c r="J97" i="2"/>
  <c r="M126" i="6" s="1"/>
  <c r="I97" i="2"/>
  <c r="L126" i="6" s="1"/>
  <c r="J126"/>
  <c r="I79" i="2"/>
  <c r="L99" i="6" s="1"/>
  <c r="J71" i="2"/>
  <c r="M87" i="6" s="1"/>
  <c r="I71" i="2"/>
  <c r="L87" i="6" s="1"/>
  <c r="J87"/>
  <c r="J59" i="2"/>
  <c r="M69" i="6" s="1"/>
  <c r="I59" i="2"/>
  <c r="L69" i="6" s="1"/>
  <c r="J69"/>
  <c r="J60"/>
  <c r="I35" i="2"/>
  <c r="L33" i="6" s="1"/>
  <c r="M42"/>
  <c r="J97"/>
  <c r="J133"/>
  <c r="P100" i="2"/>
  <c r="M133" i="6" s="1"/>
  <c r="H17" i="3"/>
  <c r="L229" i="6" s="1"/>
  <c r="I24" i="3"/>
  <c r="M216" i="6" s="1"/>
  <c r="J229"/>
  <c r="L149"/>
  <c r="I16" i="1"/>
  <c r="J168" i="6"/>
  <c r="M168"/>
  <c r="I32" i="1"/>
  <c r="L168" i="6" s="1"/>
  <c r="I58" i="1"/>
  <c r="L198" i="6" s="1"/>
  <c r="M198"/>
  <c r="J198"/>
  <c r="G60" i="1"/>
  <c r="J60" s="1"/>
  <c r="L200" i="6"/>
  <c r="J199"/>
  <c r="O57" i="1"/>
  <c r="L199" i="6" s="1"/>
  <c r="J207"/>
  <c r="M207"/>
  <c r="I64" i="1"/>
  <c r="L207" i="6" s="1"/>
  <c r="I62" i="1"/>
  <c r="L204" i="6" s="1"/>
  <c r="J204"/>
  <c r="M204"/>
  <c r="I54" i="1"/>
  <c r="L192" i="6" s="1"/>
  <c r="M192"/>
  <c r="J192"/>
  <c r="H24" i="3"/>
  <c r="L216" i="6" s="1"/>
  <c r="H23" i="3"/>
  <c r="L215" i="6" s="1"/>
  <c r="I51" i="2"/>
  <c r="L57" i="6" s="1"/>
  <c r="J57"/>
  <c r="M57"/>
  <c r="M123"/>
  <c r="I95" i="2"/>
  <c r="L123" i="6" s="1"/>
  <c r="J123"/>
  <c r="P98" i="2"/>
  <c r="M130" i="6" s="1"/>
  <c r="J130"/>
  <c r="O98" i="2"/>
  <c r="L130" i="6" s="1"/>
  <c r="I69" i="2"/>
  <c r="L84" i="6" s="1"/>
  <c r="M84"/>
  <c r="J84"/>
  <c r="M13"/>
  <c r="L13"/>
  <c r="J13"/>
  <c r="M96"/>
  <c r="J96"/>
  <c r="I77" i="2"/>
  <c r="L96" i="6" s="1"/>
  <c r="J105"/>
  <c r="M105"/>
  <c r="I83" i="2"/>
  <c r="L105" i="6" s="1"/>
  <c r="M93"/>
  <c r="J93"/>
  <c r="I75" i="2"/>
  <c r="L93" i="6" s="1"/>
  <c r="I26" i="3"/>
  <c r="M218" i="6" s="1"/>
  <c r="H26" i="3"/>
  <c r="L218" i="6" s="1"/>
  <c r="H25" i="3"/>
  <c r="L217" i="6" s="1"/>
  <c r="J217"/>
  <c r="J45"/>
  <c r="I43" i="2"/>
  <c r="L45" i="6" s="1"/>
  <c r="M45"/>
  <c r="G101" i="2"/>
  <c r="J101" s="1"/>
  <c r="L131" i="6"/>
  <c r="O44" i="2"/>
  <c r="L49" i="6" s="1"/>
  <c r="J49"/>
  <c r="P44" i="2"/>
  <c r="M49" i="6" s="1"/>
  <c r="L128"/>
  <c r="L26"/>
  <c r="P60" i="2"/>
  <c r="M73" i="6" s="1"/>
  <c r="J73"/>
  <c r="O60" i="2"/>
  <c r="L73" i="6" s="1"/>
  <c r="M108"/>
  <c r="J108"/>
  <c r="I85" i="2"/>
  <c r="L108" i="6" s="1"/>
  <c r="M78"/>
  <c r="J78"/>
  <c r="I65" i="2"/>
  <c r="L78" i="6" s="1"/>
  <c r="L113"/>
  <c r="L47"/>
  <c r="O30" i="2"/>
  <c r="L28" i="6" s="1"/>
  <c r="J28"/>
  <c r="P30" i="2"/>
  <c r="M28" i="6" s="1"/>
  <c r="M81"/>
  <c r="J81"/>
  <c r="I67" i="2"/>
  <c r="L81" i="6" s="1"/>
  <c r="I105" i="2"/>
  <c r="L138" i="6" s="1"/>
  <c r="J138"/>
  <c r="M138"/>
  <c r="J90"/>
  <c r="M90"/>
  <c r="I73" i="2"/>
  <c r="L90" i="6" s="1"/>
  <c r="J36"/>
  <c r="I37" i="2"/>
  <c r="L36" i="6" s="1"/>
  <c r="M36"/>
  <c r="I81" i="2"/>
  <c r="L102" i="6" s="1"/>
  <c r="M102"/>
  <c r="J102"/>
  <c r="J150" l="1"/>
  <c r="L150"/>
  <c r="M150"/>
  <c r="I60" i="1"/>
  <c r="L201" i="6" s="1"/>
  <c r="M201"/>
  <c r="J201"/>
  <c r="M114"/>
  <c r="J114"/>
  <c r="I89" i="2"/>
  <c r="L114" i="6" s="1"/>
  <c r="M27"/>
  <c r="I31" i="2"/>
  <c r="L27" i="6" s="1"/>
  <c r="J27"/>
  <c r="J129"/>
  <c r="I99" i="2"/>
  <c r="L129" i="6" s="1"/>
  <c r="M129"/>
  <c r="J48"/>
  <c r="M48"/>
  <c r="I45" i="2"/>
  <c r="L48" i="6" s="1"/>
  <c r="I101" i="2"/>
  <c r="L132" i="6" s="1"/>
  <c r="M132"/>
  <c r="J132"/>
</calcChain>
</file>

<file path=xl/comments1.xml><?xml version="1.0" encoding="utf-8"?>
<comments xmlns="http://schemas.openxmlformats.org/spreadsheetml/2006/main">
  <authors>
    <author>Kamila Molina</author>
  </authors>
  <commentList>
    <comment ref="F6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603-19. Cesión 713,131 ton a Alimar</t>
        </r>
      </text>
    </comment>
  </commentList>
</comments>
</file>

<file path=xl/comments2.xml><?xml version="1.0" encoding="utf-8"?>
<comments xmlns="http://schemas.openxmlformats.org/spreadsheetml/2006/main">
  <authors>
    <author>Kamila Molina</author>
  </authors>
  <commentList>
    <comment ref="F18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4 Traspaso de 2475,474 ton a Camanchaca Pesca Sur V-IX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4 Traspaso de 2475,474 ton desde
 Camanchaca Pesca Sur  XV-II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603-19. Cesión de 713,131 ton desde S.T.I PECERCAL X Región</t>
        </r>
      </text>
    </comment>
  </commentList>
</comments>
</file>

<file path=xl/comments3.xml><?xml version="1.0" encoding="utf-8"?>
<comments xmlns="http://schemas.openxmlformats.org/spreadsheetml/2006/main">
  <authors>
    <author>Kamila Molina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67-2017
Res. Ex. N° 48-2017
Res. Ex. N° 49-2017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75-2017</t>
        </r>
      </text>
    </comment>
  </commentList>
</comments>
</file>

<file path=xl/sharedStrings.xml><?xml version="1.0" encoding="utf-8"?>
<sst xmlns="http://schemas.openxmlformats.org/spreadsheetml/2006/main" count="2226" uniqueCount="229">
  <si>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</si>
  <si>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</si>
  <si>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</si>
  <si>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</si>
  <si>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</si>
  <si>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</si>
  <si>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</si>
  <si>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</si>
  <si>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</si>
  <si>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</si>
  <si>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</si>
  <si>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</si>
  <si>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</si>
  <si>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</si>
  <si>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</si>
  <si>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</si>
  <si>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</si>
  <si>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</si>
  <si>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</si>
  <si>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</si>
  <si>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</si>
  <si>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</si>
  <si>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</si>
  <si>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</si>
  <si>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</si>
  <si>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</si>
  <si>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</si>
  <si>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</si>
  <si>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</si>
  <si>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</si>
  <si>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</si>
  <si>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</si>
  <si>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</si>
  <si>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</si>
  <si>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</si>
  <si>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</si>
  <si>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</si>
  <si>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</si>
  <si>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</si>
  <si>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</si>
  <si>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</si>
  <si>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</si>
  <si>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</si>
  <si>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</si>
  <si>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</si>
  <si>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</si>
  <si>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</si>
  <si>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</si>
  <si>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</si>
  <si>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</si>
  <si>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</si>
  <si>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</si>
  <si>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</si>
  <si>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</si>
  <si>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</si>
  <si>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</si>
  <si>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</si>
  <si>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</si>
  <si>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</si>
  <si>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</si>
  <si>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</si>
  <si>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</si>
  <si>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</si>
  <si>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</si>
  <si>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</si>
  <si>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</si>
  <si>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</si>
  <si>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</si>
  <si>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</si>
  <si>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</si>
  <si>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</si>
  <si>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</si>
  <si>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</si>
  <si>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</si>
  <si>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</si>
  <si>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</si>
  <si>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</si>
  <si>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</si>
  <si>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</si>
  <si>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</si>
  <si>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</si>
  <si>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</si>
  <si>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</si>
  <si>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</si>
  <si>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</si>
  <si>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</si>
  <si>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</si>
  <si>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</si>
  <si>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</si>
  <si>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</si>
  <si>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</si>
  <si>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</si>
  <si>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 xml:space="preserve"> CONTROL CUOTAS ORP-PS 2018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</si>
  <si>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</si>
  <si>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</si>
  <si>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</si>
  <si>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</si>
  <si>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</si>
  <si>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</si>
  <si>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</si>
  <si>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</si>
  <si>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</si>
  <si>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</si>
  <si>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</si>
  <si>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</si>
  <si>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</si>
  <si>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</si>
  <si>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</si>
  <si>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</si>
  <si>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</si>
  <si>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</si>
  <si>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</si>
  <si>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</si>
  <si>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</si>
  <si>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</si>
  <si>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</si>
  <si>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</si>
  <si>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</si>
  <si>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</si>
  <si>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</si>
  <si>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</si>
  <si>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</si>
  <si>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</si>
  <si>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</si>
  <si>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</si>
  <si>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</si>
  <si>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</si>
  <si>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</si>
  <si>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</si>
  <si>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</si>
  <si>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</si>
  <si>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PESCA FINA SPA</t>
  </si>
  <si>
    <t>JUREL XIV-X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</si>
  <si>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</si>
  <si>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</si>
  <si>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</si>
  <si>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</si>
  <si>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</si>
  <si>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</si>
  <si>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</si>
  <si>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</si>
  <si>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</si>
  <si>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</si>
  <si>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</si>
  <si>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</si>
  <si>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</si>
  <si>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</si>
  <si>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</si>
  <si>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</si>
  <si>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</si>
  <si>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</si>
  <si>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</si>
  <si>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BOLSON RESIDUAL</t>
  </si>
  <si>
    <t>TOTAL LTP</t>
  </si>
  <si>
    <t>TOTAL ASIGNATARIOS LTP</t>
  </si>
  <si>
    <t>TOTAL ASIGNATARIOS REGION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</si>
  <si>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</si>
  <si>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</si>
  <si>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</si>
  <si>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</si>
  <si>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</si>
  <si>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</si>
  <si>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</si>
  <si>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</si>
  <si>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</si>
  <si>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</si>
  <si>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</si>
  <si>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</si>
  <si>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</si>
  <si>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</si>
  <si>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</si>
  <si>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</si>
  <si>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MAR PROFUNDO SA SOC PESQ</t>
  </si>
  <si>
    <t>CONGELADOS PACIFICO SPA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</si>
  <si>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</si>
  <si>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</si>
  <si>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</si>
  <si>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</si>
  <si>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</si>
  <si>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</si>
  <si>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</si>
  <si>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</si>
  <si>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</si>
  <si>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</si>
  <si>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N° Resolución</t>
  </si>
  <si>
    <t>RPA</t>
  </si>
  <si>
    <t>Captura</t>
  </si>
  <si>
    <t>Region</t>
  </si>
  <si>
    <t>Ene-Oct</t>
  </si>
  <si>
    <t>Nov-Dic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</si>
  <si>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</si>
  <si>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</si>
  <si>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</si>
  <si>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</si>
  <si>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</si>
  <si>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</si>
  <si>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</si>
  <si>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</si>
  <si>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CONTROL CUOTA CESIONES INDIVIDUALES 2018</t>
  </si>
  <si>
    <t>Tipo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</si>
  <si>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</si>
  <si>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</si>
  <si>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</si>
  <si>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</si>
  <si>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</si>
  <si>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</si>
  <si>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</si>
  <si>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RES 836-18 GRUPO DE EMBARCACIONES</t>
  </si>
  <si>
    <t>TITULAR DE CUOTA</t>
  </si>
  <si>
    <t>RES. EX. N°</t>
  </si>
  <si>
    <t>FECHA RES. EX.</t>
  </si>
  <si>
    <t>Ene-Jun</t>
  </si>
  <si>
    <t>Jul-Dic</t>
  </si>
  <si>
    <t>STI MUELLE SUD AMERICANA. RSU 5010462</t>
  </si>
  <si>
    <t>AG AGRAPES A.G 4399</t>
  </si>
  <si>
    <t>STI PROVEEDORES MARITIMOS DE QUILLAIPE 10.01.0835</t>
  </si>
  <si>
    <r>
      <rPr>
        <b/>
        <sz val="12"/>
        <color theme="0"/>
        <rFont val="Calibri"/>
        <family val="2"/>
        <scheme val="minor"/>
      </rPr>
      <t xml:space="preserve">CONTROL CUOTA GLOBAL JUREL AÑO 2019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</si>
  <si>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CUOTA TRANSFERIDA</t>
  </si>
  <si>
    <t>NAVE AUTORIZADA</t>
  </si>
  <si>
    <t>CAPTURA</t>
  </si>
  <si>
    <t>SALDO</t>
  </si>
  <si>
    <t>% CONSUMIDO</t>
  </si>
  <si>
    <t>Investigación</t>
  </si>
  <si>
    <t>CONTROL CUOTA CONSUMO HUMANO 2019</t>
  </si>
  <si>
    <t>CONTROL CUOTA  CONSUMO HUMANO 2019</t>
  </si>
  <si>
    <r>
      <rPr>
        <b/>
        <sz val="14"/>
        <color theme="0"/>
        <rFont val="Calibri"/>
        <family val="2"/>
        <scheme val="minor"/>
      </rPr>
      <t xml:space="preserve">CONTROL CUOTA JUREL FRACCIÓN ARTESANAL  2019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</si>
  <si>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CONTROL CUOTA JUREL FRACCION INDUSTRIAL  2019   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</si>
  <si>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Decreto Ex. N° 541: </t>
    </r>
    <r>
      <rPr>
        <b/>
        <u/>
        <sz val="11"/>
        <color theme="1"/>
        <rFont val="Calibri"/>
        <family val="2"/>
        <scheme val="minor"/>
      </rPr>
      <t>381.572 Ton</t>
    </r>
  </si>
  <si>
    <t>Información preliminar</t>
  </si>
</sst>
</file>

<file path=xl/styles.xml><?xml version="1.0" encoding="utf-8"?>
<styleSheet xmlns="http://schemas.openxmlformats.org/spreadsheetml/2006/main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d\-mmm\-yy"/>
    <numFmt numFmtId="166" formatCode="0.0%"/>
    <numFmt numFmtId="167" formatCode="0.000"/>
    <numFmt numFmtId="168" formatCode="yyyy/mm/dd;@"/>
    <numFmt numFmtId="169" formatCode="[$-F800]dddd\,\ mmmm\ dd\,\ yyyy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373">
    <xf numFmtId="0" fontId="0" fillId="0" borderId="0" xfId="0"/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7" borderId="51" xfId="0" applyFill="1" applyBorder="1" applyAlignment="1">
      <alignment horizontal="left" vertical="center" wrapText="1"/>
    </xf>
    <xf numFmtId="0" fontId="0" fillId="57" borderId="35" xfId="0" applyFill="1" applyBorder="1" applyAlignment="1">
      <alignment horizontal="left" vertical="center"/>
    </xf>
    <xf numFmtId="166" fontId="0" fillId="0" borderId="11" xfId="1" applyNumberFormat="1" applyFont="1" applyBorder="1" applyAlignment="1">
      <alignment horizontal="center" vertical="center"/>
    </xf>
    <xf numFmtId="166" fontId="0" fillId="0" borderId="45" xfId="1" applyNumberFormat="1" applyFont="1" applyBorder="1" applyAlignment="1">
      <alignment horizontal="center" vertical="center"/>
    </xf>
    <xf numFmtId="166" fontId="0" fillId="0" borderId="47" xfId="1" applyNumberFormat="1" applyFont="1" applyBorder="1" applyAlignment="1">
      <alignment horizontal="center" vertical="center"/>
    </xf>
    <xf numFmtId="166" fontId="0" fillId="0" borderId="35" xfId="1" applyNumberFormat="1" applyFont="1" applyBorder="1" applyAlignment="1">
      <alignment horizontal="center" vertical="center"/>
    </xf>
    <xf numFmtId="166" fontId="0" fillId="0" borderId="46" xfId="1" applyNumberFormat="1" applyFont="1" applyBorder="1" applyAlignment="1">
      <alignment horizontal="center" vertical="center"/>
    </xf>
    <xf numFmtId="166" fontId="0" fillId="0" borderId="35" xfId="1" applyNumberFormat="1" applyFont="1" applyFill="1" applyBorder="1" applyAlignment="1">
      <alignment horizontal="center" vertical="center"/>
    </xf>
    <xf numFmtId="0" fontId="0" fillId="62" borderId="54" xfId="0" applyFill="1" applyBorder="1" applyAlignment="1">
      <alignment horizontal="center" vertical="center"/>
    </xf>
    <xf numFmtId="0" fontId="0" fillId="62" borderId="34" xfId="0" applyFill="1" applyBorder="1" applyAlignment="1">
      <alignment horizontal="center" vertical="center"/>
    </xf>
    <xf numFmtId="10" fontId="0" fillId="62" borderId="35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13" fillId="63" borderId="33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6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6" fontId="0" fillId="56" borderId="0" xfId="1" applyNumberFormat="1" applyFont="1" applyFill="1" applyAlignment="1">
      <alignment horizontal="center" vertical="center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0" fillId="56" borderId="0" xfId="0" applyFill="1" applyAlignment="1">
      <alignment vertical="center"/>
    </xf>
    <xf numFmtId="0" fontId="0" fillId="56" borderId="37" xfId="0" applyFill="1" applyBorder="1" applyAlignment="1">
      <alignment horizontal="center" vertical="center"/>
    </xf>
    <xf numFmtId="0" fontId="0" fillId="56" borderId="10" xfId="0" applyFill="1" applyBorder="1" applyAlignment="1">
      <alignment horizontal="center" vertical="center"/>
    </xf>
    <xf numFmtId="0" fontId="0" fillId="56" borderId="40" xfId="0" applyFill="1" applyBorder="1" applyAlignment="1">
      <alignment horizontal="center" vertical="center"/>
    </xf>
    <xf numFmtId="0" fontId="46" fillId="56" borderId="0" xfId="0" applyFont="1" applyFill="1"/>
    <xf numFmtId="0" fontId="0" fillId="56" borderId="0" xfId="0" applyFill="1" applyBorder="1"/>
    <xf numFmtId="0" fontId="45" fillId="56" borderId="0" xfId="0" applyFont="1" applyFill="1" applyBorder="1" applyAlignment="1">
      <alignment horizontal="center"/>
    </xf>
    <xf numFmtId="9" fontId="0" fillId="56" borderId="0" xfId="1" applyFont="1" applyFill="1"/>
    <xf numFmtId="0" fontId="0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9" fontId="0" fillId="0" borderId="10" xfId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7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51" fillId="65" borderId="10" xfId="0" applyFont="1" applyFill="1" applyBorder="1" applyAlignment="1">
      <alignment horizontal="center" vertical="center"/>
    </xf>
    <xf numFmtId="9" fontId="51" fillId="65" borderId="10" xfId="1" applyFont="1" applyFill="1" applyBorder="1" applyAlignment="1">
      <alignment horizontal="center" vertical="center"/>
    </xf>
    <xf numFmtId="0" fontId="45" fillId="65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1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51" fillId="65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62" borderId="55" xfId="0" applyFill="1" applyBorder="1" applyAlignment="1">
      <alignment horizontal="center"/>
    </xf>
    <xf numFmtId="0" fontId="0" fillId="62" borderId="57" xfId="0" applyFill="1" applyBorder="1" applyAlignment="1">
      <alignment horizontal="center"/>
    </xf>
    <xf numFmtId="0" fontId="0" fillId="62" borderId="41" xfId="0" applyFill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center" vertical="center"/>
    </xf>
    <xf numFmtId="166" fontId="0" fillId="0" borderId="68" xfId="1" applyNumberFormat="1" applyFont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9" fontId="0" fillId="0" borderId="10" xfId="1" applyFon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top"/>
    </xf>
    <xf numFmtId="0" fontId="16" fillId="0" borderId="5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0" fontId="16" fillId="67" borderId="33" xfId="0" applyFont="1" applyFill="1" applyBorder="1" applyAlignment="1">
      <alignment horizontal="center" vertical="center"/>
    </xf>
    <xf numFmtId="0" fontId="16" fillId="67" borderId="34" xfId="0" applyFont="1" applyFill="1" applyBorder="1" applyAlignment="1">
      <alignment horizontal="center" vertical="center"/>
    </xf>
    <xf numFmtId="0" fontId="16" fillId="67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6" fillId="66" borderId="33" xfId="0" applyFont="1" applyFill="1" applyBorder="1" applyAlignment="1">
      <alignment horizontal="center" vertical="center"/>
    </xf>
    <xf numFmtId="0" fontId="16" fillId="66" borderId="34" xfId="0" applyFont="1" applyFill="1" applyBorder="1" applyAlignment="1">
      <alignment horizontal="center" vertical="center"/>
    </xf>
    <xf numFmtId="0" fontId="16" fillId="66" borderId="35" xfId="0" applyFont="1" applyFill="1" applyBorder="1" applyAlignment="1">
      <alignment horizontal="center" vertical="center"/>
    </xf>
    <xf numFmtId="0" fontId="0" fillId="62" borderId="72" xfId="0" applyFill="1" applyBorder="1" applyAlignment="1">
      <alignment horizontal="center"/>
    </xf>
    <xf numFmtId="0" fontId="0" fillId="62" borderId="73" xfId="0" applyFill="1" applyBorder="1" applyAlignment="1">
      <alignment horizontal="center"/>
    </xf>
    <xf numFmtId="0" fontId="23" fillId="0" borderId="12" xfId="42112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68" borderId="36" xfId="0" applyFill="1" applyBorder="1" applyAlignment="1">
      <alignment horizontal="center" vertical="center"/>
    </xf>
    <xf numFmtId="0" fontId="0" fillId="68" borderId="39" xfId="0" applyFill="1" applyBorder="1" applyAlignment="1">
      <alignment horizontal="center" vertical="center"/>
    </xf>
    <xf numFmtId="0" fontId="0" fillId="68" borderId="38" xfId="0" applyFill="1" applyBorder="1" applyAlignment="1">
      <alignment horizontal="center" vertical="center"/>
    </xf>
    <xf numFmtId="0" fontId="0" fillId="68" borderId="37" xfId="0" applyFont="1" applyFill="1" applyBorder="1" applyAlignment="1">
      <alignment horizontal="center" vertical="center"/>
    </xf>
    <xf numFmtId="0" fontId="0" fillId="68" borderId="10" xfId="0" applyFont="1" applyFill="1" applyBorder="1" applyAlignment="1">
      <alignment horizontal="center" vertical="center"/>
    </xf>
    <xf numFmtId="0" fontId="0" fillId="68" borderId="40" xfId="0" applyFont="1" applyFill="1" applyBorder="1" applyAlignment="1">
      <alignment horizontal="center" vertical="center"/>
    </xf>
    <xf numFmtId="0" fontId="0" fillId="68" borderId="50" xfId="0" applyFill="1" applyBorder="1" applyAlignment="1">
      <alignment horizontal="center" vertical="center"/>
    </xf>
    <xf numFmtId="0" fontId="0" fillId="68" borderId="12" xfId="0" applyFont="1" applyFill="1" applyBorder="1" applyAlignment="1">
      <alignment horizontal="center" vertical="center"/>
    </xf>
    <xf numFmtId="0" fontId="0" fillId="68" borderId="66" xfId="0" applyFill="1" applyBorder="1" applyAlignment="1">
      <alignment horizontal="center" vertical="center"/>
    </xf>
    <xf numFmtId="0" fontId="0" fillId="68" borderId="65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68" borderId="33" xfId="0" applyFill="1" applyBorder="1" applyAlignment="1">
      <alignment horizontal="center" vertical="center"/>
    </xf>
    <xf numFmtId="0" fontId="0" fillId="68" borderId="34" xfId="0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68" borderId="43" xfId="0" applyFill="1" applyBorder="1" applyAlignment="1">
      <alignment horizontal="center" vertical="center"/>
    </xf>
    <xf numFmtId="0" fontId="0" fillId="68" borderId="42" xfId="0" applyFill="1" applyBorder="1" applyAlignment="1">
      <alignment horizontal="center" vertical="center"/>
    </xf>
    <xf numFmtId="9" fontId="0" fillId="0" borderId="60" xfId="1" applyFont="1" applyFill="1" applyBorder="1" applyAlignment="1">
      <alignment horizontal="center"/>
    </xf>
    <xf numFmtId="166" fontId="0" fillId="0" borderId="61" xfId="0" applyNumberForma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6" fontId="0" fillId="0" borderId="5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7" fillId="63" borderId="46" xfId="0" applyFont="1" applyFill="1" applyBorder="1" applyAlignment="1">
      <alignment horizontal="center" vertical="center" wrapText="1"/>
    </xf>
    <xf numFmtId="14" fontId="0" fillId="62" borderId="72" xfId="0" applyNumberFormat="1" applyFill="1" applyBorder="1" applyAlignment="1">
      <alignment horizontal="center"/>
    </xf>
    <xf numFmtId="14" fontId="0" fillId="62" borderId="73" xfId="0" applyNumberFormat="1" applyFill="1" applyBorder="1" applyAlignment="1">
      <alignment horizontal="center"/>
    </xf>
    <xf numFmtId="0" fontId="47" fillId="63" borderId="38" xfId="0" applyFont="1" applyFill="1" applyBorder="1" applyAlignment="1">
      <alignment horizontal="center" vertical="center" wrapText="1"/>
    </xf>
    <xf numFmtId="0" fontId="0" fillId="62" borderId="71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54" fillId="56" borderId="0" xfId="0" applyFont="1" applyFill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6" fontId="0" fillId="0" borderId="47" xfId="0" applyNumberFormat="1" applyFont="1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6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47" fillId="63" borderId="54" xfId="0" applyFont="1" applyFill="1" applyBorder="1" applyAlignment="1">
      <alignment horizontal="center" vertical="center" wrapText="1"/>
    </xf>
    <xf numFmtId="0" fontId="0" fillId="56" borderId="48" xfId="0" applyFill="1" applyBorder="1" applyAlignment="1">
      <alignment horizontal="left" vertical="center"/>
    </xf>
    <xf numFmtId="0" fontId="0" fillId="56" borderId="23" xfId="0" applyFill="1" applyBorder="1" applyAlignment="1">
      <alignment horizontal="left" vertical="center"/>
    </xf>
    <xf numFmtId="0" fontId="0" fillId="56" borderId="49" xfId="0" applyFill="1" applyBorder="1" applyAlignment="1">
      <alignment horizontal="left" vertical="center"/>
    </xf>
    <xf numFmtId="0" fontId="47" fillId="63" borderId="35" xfId="0" applyFont="1" applyFill="1" applyBorder="1" applyAlignment="1">
      <alignment horizontal="center" vertical="center" wrapText="1"/>
    </xf>
    <xf numFmtId="167" fontId="0" fillId="0" borderId="37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40" xfId="0" applyNumberFormat="1" applyFill="1" applyBorder="1" applyAlignment="1">
      <alignment horizontal="center" vertical="center"/>
    </xf>
    <xf numFmtId="0" fontId="16" fillId="58" borderId="33" xfId="0" applyFont="1" applyFill="1" applyBorder="1" applyAlignment="1">
      <alignment horizontal="center" vertical="center"/>
    </xf>
    <xf numFmtId="0" fontId="16" fillId="58" borderId="34" xfId="0" applyFont="1" applyFill="1" applyBorder="1" applyAlignment="1">
      <alignment horizontal="center" vertical="center"/>
    </xf>
    <xf numFmtId="0" fontId="16" fillId="58" borderId="35" xfId="0" applyFont="1" applyFill="1" applyBorder="1" applyAlignment="1">
      <alignment horizontal="center" vertical="center"/>
    </xf>
    <xf numFmtId="0" fontId="13" fillId="63" borderId="64" xfId="0" applyFont="1" applyFill="1" applyBorder="1" applyAlignment="1">
      <alignment horizontal="center" vertical="center" wrapText="1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0" fontId="0" fillId="0" borderId="50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68" xfId="0" applyFill="1" applyBorder="1"/>
    <xf numFmtId="0" fontId="0" fillId="0" borderId="38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46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0" xfId="0" applyFill="1" applyBorder="1" applyAlignment="1">
      <alignment horizontal="center"/>
    </xf>
    <xf numFmtId="0" fontId="0" fillId="0" borderId="47" xfId="0" applyFill="1" applyBorder="1"/>
    <xf numFmtId="9" fontId="0" fillId="0" borderId="71" xfId="1" applyFont="1" applyFill="1" applyBorder="1" applyAlignment="1">
      <alignment horizontal="center"/>
    </xf>
    <xf numFmtId="9" fontId="0" fillId="0" borderId="72" xfId="1" applyFont="1" applyFill="1" applyBorder="1" applyAlignment="1">
      <alignment horizontal="center"/>
    </xf>
    <xf numFmtId="9" fontId="0" fillId="0" borderId="73" xfId="1" applyFont="1" applyFill="1" applyBorder="1" applyAlignment="1">
      <alignment horizontal="center"/>
    </xf>
    <xf numFmtId="0" fontId="0" fillId="56" borderId="74" xfId="0" applyFill="1" applyBorder="1" applyAlignment="1">
      <alignment horizontal="left" vertical="center"/>
    </xf>
    <xf numFmtId="0" fontId="0" fillId="56" borderId="1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5" xfId="0" applyFont="1" applyBorder="1" applyAlignment="1">
      <alignment horizontal="center"/>
    </xf>
    <xf numFmtId="1" fontId="0" fillId="0" borderId="67" xfId="0" applyNumberFormat="1" applyFont="1" applyBorder="1" applyAlignment="1">
      <alignment horizontal="center"/>
    </xf>
    <xf numFmtId="9" fontId="0" fillId="0" borderId="76" xfId="1" applyFont="1" applyFill="1" applyBorder="1" applyAlignment="1">
      <alignment horizontal="center"/>
    </xf>
    <xf numFmtId="167" fontId="0" fillId="0" borderId="37" xfId="0" applyNumberFormat="1" applyFont="1" applyBorder="1" applyAlignment="1">
      <alignment horizontal="center"/>
    </xf>
    <xf numFmtId="167" fontId="0" fillId="0" borderId="10" xfId="0" applyNumberFormat="1" applyFont="1" applyBorder="1" applyAlignment="1">
      <alignment horizontal="center"/>
    </xf>
    <xf numFmtId="167" fontId="0" fillId="0" borderId="65" xfId="0" applyNumberFormat="1" applyFont="1" applyBorder="1" applyAlignment="1">
      <alignment horizontal="center"/>
    </xf>
    <xf numFmtId="167" fontId="0" fillId="0" borderId="40" xfId="0" applyNumberFormat="1" applyFont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16" fillId="56" borderId="0" xfId="0" applyFont="1" applyFill="1"/>
    <xf numFmtId="167" fontId="0" fillId="0" borderId="12" xfId="0" applyNumberFormat="1" applyFont="1" applyBorder="1" applyAlignment="1">
      <alignment horizontal="center" vertical="center"/>
    </xf>
    <xf numFmtId="167" fontId="0" fillId="0" borderId="10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0" fillId="62" borderId="71" xfId="0" applyNumberFormat="1" applyFill="1" applyBorder="1" applyAlignment="1">
      <alignment horizontal="center"/>
    </xf>
    <xf numFmtId="0" fontId="16" fillId="69" borderId="23" xfId="0" applyFont="1" applyFill="1" applyBorder="1" applyAlignment="1">
      <alignment horizontal="center"/>
    </xf>
    <xf numFmtId="0" fontId="16" fillId="69" borderId="48" xfId="0" applyFont="1" applyFill="1" applyBorder="1" applyAlignment="1">
      <alignment horizontal="center"/>
    </xf>
    <xf numFmtId="0" fontId="16" fillId="69" borderId="75" xfId="0" applyFont="1" applyFill="1" applyBorder="1" applyAlignment="1">
      <alignment horizontal="center"/>
    </xf>
    <xf numFmtId="0" fontId="16" fillId="69" borderId="49" xfId="0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7" borderId="30" xfId="0" applyFont="1" applyFill="1" applyBorder="1" applyAlignment="1">
      <alignment horizontal="center" vertical="center"/>
    </xf>
    <xf numFmtId="0" fontId="16" fillId="57" borderId="31" xfId="0" applyFont="1" applyFill="1" applyBorder="1" applyAlignment="1">
      <alignment horizontal="center" vertical="center"/>
    </xf>
    <xf numFmtId="0" fontId="16" fillId="57" borderId="32" xfId="0" applyFont="1" applyFill="1" applyBorder="1" applyAlignment="1">
      <alignment horizontal="center" vertical="center"/>
    </xf>
    <xf numFmtId="0" fontId="16" fillId="64" borderId="55" xfId="0" applyFont="1" applyFill="1" applyBorder="1" applyAlignment="1">
      <alignment horizontal="center" vertical="center"/>
    </xf>
    <xf numFmtId="0" fontId="16" fillId="64" borderId="56" xfId="0" applyFont="1" applyFill="1" applyBorder="1" applyAlignment="1">
      <alignment horizontal="center" vertical="center"/>
    </xf>
    <xf numFmtId="0" fontId="16" fillId="64" borderId="57" xfId="0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wrapText="1"/>
    </xf>
    <xf numFmtId="0" fontId="13" fillId="63" borderId="24" xfId="0" applyFont="1" applyFill="1" applyBorder="1" applyAlignment="1">
      <alignment horizontal="center" wrapText="1"/>
    </xf>
    <xf numFmtId="0" fontId="13" fillId="63" borderId="25" xfId="0" applyFont="1" applyFill="1" applyBorder="1" applyAlignment="1">
      <alignment horizontal="center" wrapText="1"/>
    </xf>
    <xf numFmtId="169" fontId="13" fillId="63" borderId="28" xfId="0" applyNumberFormat="1" applyFont="1" applyFill="1" applyBorder="1" applyAlignment="1">
      <alignment horizontal="center" vertical="center" wrapText="1"/>
    </xf>
    <xf numFmtId="169" fontId="13" fillId="63" borderId="26" xfId="0" applyNumberFormat="1" applyFont="1" applyFill="1" applyBorder="1" applyAlignment="1">
      <alignment horizontal="center" vertical="center" wrapText="1"/>
    </xf>
    <xf numFmtId="169" fontId="13" fillId="63" borderId="29" xfId="0" applyNumberFormat="1" applyFont="1" applyFill="1" applyBorder="1" applyAlignment="1">
      <alignment horizontal="center" vertical="center" wrapText="1"/>
    </xf>
    <xf numFmtId="0" fontId="16" fillId="56" borderId="63" xfId="0" applyFont="1" applyFill="1" applyBorder="1" applyAlignment="1">
      <alignment horizontal="center"/>
    </xf>
    <xf numFmtId="0" fontId="0" fillId="57" borderId="45" xfId="0" applyFill="1" applyBorder="1" applyAlignment="1">
      <alignment horizontal="left" vertical="center" wrapText="1"/>
    </xf>
    <xf numFmtId="0" fontId="0" fillId="57" borderId="46" xfId="0" applyFill="1" applyBorder="1" applyAlignment="1">
      <alignment horizontal="left" vertical="center" wrapText="1"/>
    </xf>
    <xf numFmtId="0" fontId="0" fillId="57" borderId="45" xfId="0" applyFill="1" applyBorder="1" applyAlignment="1">
      <alignment horizontal="left" vertical="center"/>
    </xf>
    <xf numFmtId="0" fontId="0" fillId="57" borderId="47" xfId="0" applyFill="1" applyBorder="1" applyAlignment="1">
      <alignment horizontal="left" vertical="center"/>
    </xf>
    <xf numFmtId="10" fontId="0" fillId="62" borderId="46" xfId="1" applyNumberFormat="1" applyFont="1" applyFill="1" applyBorder="1" applyAlignment="1">
      <alignment horizontal="center" vertical="center"/>
    </xf>
    <xf numFmtId="0" fontId="0" fillId="62" borderId="37" xfId="0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/>
    </xf>
    <xf numFmtId="0" fontId="0" fillId="62" borderId="38" xfId="0" applyFill="1" applyBorder="1" applyAlignment="1">
      <alignment horizontal="center" vertical="center"/>
    </xf>
    <xf numFmtId="0" fontId="0" fillId="62" borderId="39" xfId="0" applyFill="1" applyBorder="1" applyAlignment="1">
      <alignment horizontal="center" vertical="center"/>
    </xf>
    <xf numFmtId="10" fontId="0" fillId="62" borderId="47" xfId="1" applyNumberFormat="1" applyFont="1" applyFill="1" applyBorder="1" applyAlignment="1">
      <alignment horizontal="center" vertical="center"/>
    </xf>
    <xf numFmtId="0" fontId="47" fillId="63" borderId="45" xfId="0" applyFont="1" applyFill="1" applyBorder="1" applyAlignment="1">
      <alignment horizontal="center" vertical="center" wrapText="1"/>
    </xf>
    <xf numFmtId="0" fontId="47" fillId="63" borderId="46" xfId="0" applyFont="1" applyFill="1" applyBorder="1" applyAlignment="1">
      <alignment horizontal="center" vertical="center" wrapText="1"/>
    </xf>
    <xf numFmtId="0" fontId="47" fillId="63" borderId="36" xfId="0" applyFont="1" applyFill="1" applyBorder="1" applyAlignment="1">
      <alignment horizontal="center" vertical="center" wrapText="1"/>
    </xf>
    <xf numFmtId="0" fontId="47" fillId="63" borderId="38" xfId="0" applyFont="1" applyFill="1" applyBorder="1" applyAlignment="1">
      <alignment horizontal="center" vertical="center" wrapText="1"/>
    </xf>
    <xf numFmtId="0" fontId="16" fillId="57" borderId="38" xfId="0" applyFont="1" applyFill="1" applyBorder="1" applyAlignment="1">
      <alignment horizontal="center" vertical="center" wrapText="1"/>
    </xf>
    <xf numFmtId="0" fontId="16" fillId="57" borderId="39" xfId="0" applyFont="1" applyFill="1" applyBorder="1" applyAlignment="1">
      <alignment horizontal="center" vertical="center" wrapText="1"/>
    </xf>
    <xf numFmtId="0" fontId="16" fillId="57" borderId="36" xfId="0" applyFont="1" applyFill="1" applyBorder="1" applyAlignment="1">
      <alignment horizontal="center" vertical="center" wrapText="1"/>
    </xf>
    <xf numFmtId="0" fontId="0" fillId="57" borderId="47" xfId="0" applyFill="1" applyBorder="1" applyAlignment="1">
      <alignment horizontal="left" vertical="center" wrapText="1"/>
    </xf>
    <xf numFmtId="0" fontId="0" fillId="62" borderId="40" xfId="0" applyFill="1" applyBorder="1" applyAlignment="1">
      <alignment horizontal="center" vertical="center"/>
    </xf>
    <xf numFmtId="0" fontId="13" fillId="63" borderId="48" xfId="0" applyFont="1" applyFill="1" applyBorder="1" applyAlignment="1">
      <alignment horizontal="center" vertical="center"/>
    </xf>
    <xf numFmtId="0" fontId="13" fillId="63" borderId="37" xfId="0" applyFont="1" applyFill="1" applyBorder="1" applyAlignment="1">
      <alignment horizontal="center" vertical="center"/>
    </xf>
    <xf numFmtId="0" fontId="13" fillId="63" borderId="45" xfId="0" applyFont="1" applyFill="1" applyBorder="1" applyAlignment="1">
      <alignment horizontal="center" vertical="center"/>
    </xf>
    <xf numFmtId="0" fontId="47" fillId="63" borderId="71" xfId="0" applyFont="1" applyFill="1" applyBorder="1" applyAlignment="1">
      <alignment horizontal="center" vertical="center" wrapText="1"/>
    </xf>
    <xf numFmtId="0" fontId="47" fillId="63" borderId="72" xfId="0" applyFont="1" applyFill="1" applyBorder="1" applyAlignment="1">
      <alignment horizontal="center" vertical="center" wrapText="1"/>
    </xf>
    <xf numFmtId="0" fontId="0" fillId="62" borderId="36" xfId="0" applyFill="1" applyBorder="1" applyAlignment="1">
      <alignment horizontal="center" vertical="center"/>
    </xf>
    <xf numFmtId="10" fontId="0" fillId="62" borderId="45" xfId="1" applyNumberFormat="1" applyFont="1" applyFill="1" applyBorder="1" applyAlignment="1">
      <alignment horizontal="center" vertical="center"/>
    </xf>
    <xf numFmtId="0" fontId="0" fillId="57" borderId="46" xfId="0" applyFill="1" applyBorder="1" applyAlignment="1">
      <alignment horizontal="left" vertical="center"/>
    </xf>
    <xf numFmtId="0" fontId="0" fillId="62" borderId="48" xfId="0" applyFill="1" applyBorder="1" applyAlignment="1">
      <alignment horizontal="center" vertical="center"/>
    </xf>
    <xf numFmtId="0" fontId="0" fillId="62" borderId="49" xfId="0" applyFill="1" applyBorder="1" applyAlignment="1">
      <alignment horizontal="center" vertical="center"/>
    </xf>
    <xf numFmtId="10" fontId="0" fillId="62" borderId="53" xfId="1" applyNumberFormat="1" applyFont="1" applyFill="1" applyBorder="1" applyAlignment="1">
      <alignment horizontal="center" vertical="center"/>
    </xf>
    <xf numFmtId="10" fontId="0" fillId="62" borderId="52" xfId="1" applyNumberFormat="1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25" xfId="0" applyFont="1" applyFill="1" applyBorder="1" applyAlignment="1">
      <alignment horizontal="center" vertical="center" wrapText="1"/>
    </xf>
    <xf numFmtId="0" fontId="13" fillId="63" borderId="36" xfId="0" applyFont="1" applyFill="1" applyBorder="1" applyAlignment="1">
      <alignment horizontal="center" vertical="center"/>
    </xf>
    <xf numFmtId="0" fontId="18" fillId="64" borderId="36" xfId="0" applyFont="1" applyFill="1" applyBorder="1" applyAlignment="1">
      <alignment horizontal="center" vertical="center"/>
    </xf>
    <xf numFmtId="0" fontId="18" fillId="64" borderId="38" xfId="0" applyFont="1" applyFill="1" applyBorder="1" applyAlignment="1">
      <alignment horizontal="center" vertical="center"/>
    </xf>
    <xf numFmtId="0" fontId="18" fillId="64" borderId="39" xfId="0" applyFont="1" applyFill="1" applyBorder="1" applyAlignment="1">
      <alignment horizontal="center" vertical="center"/>
    </xf>
    <xf numFmtId="9" fontId="0" fillId="55" borderId="46" xfId="1" applyFont="1" applyFill="1" applyBorder="1" applyAlignment="1">
      <alignment horizontal="center" vertical="center"/>
    </xf>
    <xf numFmtId="167" fontId="0" fillId="55" borderId="10" xfId="0" applyNumberFormat="1" applyFill="1" applyBorder="1" applyAlignment="1">
      <alignment horizontal="center" vertical="center"/>
    </xf>
    <xf numFmtId="0" fontId="0" fillId="55" borderId="10" xfId="0" applyFill="1" applyBorder="1" applyAlignment="1">
      <alignment horizontal="center" vertical="center"/>
    </xf>
    <xf numFmtId="0" fontId="0" fillId="55" borderId="23" xfId="0" applyFill="1" applyBorder="1" applyAlignment="1">
      <alignment horizontal="center" vertical="center"/>
    </xf>
    <xf numFmtId="0" fontId="0" fillId="55" borderId="49" xfId="0" applyFill="1" applyBorder="1" applyAlignment="1">
      <alignment horizontal="center" vertical="center"/>
    </xf>
    <xf numFmtId="0" fontId="0" fillId="55" borderId="40" xfId="0" applyFill="1" applyBorder="1" applyAlignment="1">
      <alignment horizontal="center" vertical="center"/>
    </xf>
    <xf numFmtId="9" fontId="0" fillId="55" borderId="47" xfId="1" applyFont="1" applyFill="1" applyBorder="1" applyAlignment="1">
      <alignment horizontal="center" vertical="center"/>
    </xf>
    <xf numFmtId="0" fontId="47" fillId="63" borderId="27" xfId="0" applyFont="1" applyFill="1" applyBorder="1" applyAlignment="1">
      <alignment horizontal="center" wrapText="1"/>
    </xf>
    <xf numFmtId="0" fontId="47" fillId="63" borderId="24" xfId="0" applyFont="1" applyFill="1" applyBorder="1" applyAlignment="1">
      <alignment horizontal="center" wrapText="1"/>
    </xf>
    <xf numFmtId="0" fontId="47" fillId="63" borderId="25" xfId="0" applyFont="1" applyFill="1" applyBorder="1" applyAlignment="1">
      <alignment horizontal="center" wrapText="1"/>
    </xf>
    <xf numFmtId="0" fontId="0" fillId="55" borderId="38" xfId="0" applyFill="1" applyBorder="1" applyAlignment="1">
      <alignment horizontal="center" vertical="center"/>
    </xf>
    <xf numFmtId="0" fontId="0" fillId="59" borderId="46" xfId="0" applyFill="1" applyBorder="1" applyAlignment="1">
      <alignment horizontal="center" vertical="center" wrapText="1"/>
    </xf>
    <xf numFmtId="9" fontId="0" fillId="55" borderId="45" xfId="1" applyFont="1" applyFill="1" applyBorder="1" applyAlignment="1">
      <alignment horizontal="center" vertical="center"/>
    </xf>
    <xf numFmtId="0" fontId="0" fillId="55" borderId="48" xfId="0" applyFill="1" applyBorder="1" applyAlignment="1">
      <alignment horizontal="center" vertical="center"/>
    </xf>
    <xf numFmtId="0" fontId="0" fillId="55" borderId="37" xfId="0" applyFill="1" applyBorder="1" applyAlignment="1">
      <alignment horizontal="center" vertical="center"/>
    </xf>
    <xf numFmtId="9" fontId="0" fillId="55" borderId="68" xfId="1" applyFont="1" applyFill="1" applyBorder="1" applyAlignment="1">
      <alignment horizontal="center" vertical="center"/>
    </xf>
    <xf numFmtId="0" fontId="0" fillId="55" borderId="50" xfId="0" applyFill="1" applyBorder="1" applyAlignment="1">
      <alignment horizontal="center" vertical="center"/>
    </xf>
    <xf numFmtId="0" fontId="0" fillId="55" borderId="12" xfId="0" applyFill="1" applyBorder="1" applyAlignment="1">
      <alignment horizontal="center" vertical="center"/>
    </xf>
    <xf numFmtId="1" fontId="0" fillId="55" borderId="10" xfId="0" applyNumberFormat="1" applyFill="1" applyBorder="1" applyAlignment="1">
      <alignment horizontal="center" vertical="center"/>
    </xf>
    <xf numFmtId="0" fontId="0" fillId="64" borderId="46" xfId="0" applyFill="1" applyBorder="1" applyAlignment="1">
      <alignment horizontal="center" vertical="center" wrapText="1"/>
    </xf>
    <xf numFmtId="0" fontId="0" fillId="64" borderId="47" xfId="0" applyFill="1" applyBorder="1" applyAlignment="1">
      <alignment horizontal="center" vertical="center" wrapText="1"/>
    </xf>
    <xf numFmtId="0" fontId="0" fillId="64" borderId="45" xfId="0" applyFill="1" applyBorder="1" applyAlignment="1">
      <alignment horizontal="center" vertical="center" wrapText="1"/>
    </xf>
    <xf numFmtId="0" fontId="0" fillId="60" borderId="46" xfId="0" applyFill="1" applyBorder="1" applyAlignment="1">
      <alignment horizontal="center" vertical="center" wrapText="1"/>
    </xf>
    <xf numFmtId="0" fontId="0" fillId="61" borderId="46" xfId="0" applyFill="1" applyBorder="1" applyAlignment="1">
      <alignment horizontal="center" vertical="center" wrapText="1"/>
    </xf>
    <xf numFmtId="0" fontId="0" fillId="60" borderId="47" xfId="0" applyFill="1" applyBorder="1" applyAlignment="1">
      <alignment horizontal="center" vertical="center" wrapText="1"/>
    </xf>
    <xf numFmtId="0" fontId="0" fillId="60" borderId="45" xfId="0" applyFill="1" applyBorder="1" applyAlignment="1">
      <alignment horizontal="center" vertical="center" wrapText="1"/>
    </xf>
    <xf numFmtId="0" fontId="0" fillId="59" borderId="67" xfId="0" applyFill="1" applyBorder="1" applyAlignment="1">
      <alignment horizontal="center" vertical="center" wrapText="1"/>
    </xf>
    <xf numFmtId="0" fontId="0" fillId="59" borderId="68" xfId="0" applyFill="1" applyBorder="1" applyAlignment="1">
      <alignment horizontal="center" vertical="center" wrapText="1"/>
    </xf>
    <xf numFmtId="0" fontId="0" fillId="55" borderId="36" xfId="0" applyFill="1" applyBorder="1" applyAlignment="1">
      <alignment horizontal="center" vertical="center"/>
    </xf>
    <xf numFmtId="169" fontId="47" fillId="63" borderId="28" xfId="0" applyNumberFormat="1" applyFont="1" applyFill="1" applyBorder="1" applyAlignment="1">
      <alignment horizontal="center" vertical="top" wrapText="1"/>
    </xf>
    <xf numFmtId="169" fontId="47" fillId="63" borderId="26" xfId="0" applyNumberFormat="1" applyFont="1" applyFill="1" applyBorder="1" applyAlignment="1">
      <alignment horizontal="center" vertical="top" wrapText="1"/>
    </xf>
    <xf numFmtId="169" fontId="47" fillId="63" borderId="29" xfId="0" applyNumberFormat="1" applyFont="1" applyFill="1" applyBorder="1" applyAlignment="1">
      <alignment horizontal="center" vertical="top" wrapText="1"/>
    </xf>
    <xf numFmtId="0" fontId="18" fillId="61" borderId="44" xfId="0" applyFont="1" applyFill="1" applyBorder="1" applyAlignment="1">
      <alignment horizontal="center" vertical="center"/>
    </xf>
    <xf numFmtId="0" fontId="0" fillId="61" borderId="68" xfId="0" applyFill="1" applyBorder="1" applyAlignment="1">
      <alignment horizontal="center" vertical="center" wrapText="1"/>
    </xf>
    <xf numFmtId="0" fontId="18" fillId="59" borderId="43" xfId="0" applyFont="1" applyFill="1" applyBorder="1" applyAlignment="1">
      <alignment horizontal="center" vertical="center"/>
    </xf>
    <xf numFmtId="0" fontId="18" fillId="59" borderId="44" xfId="0" applyFont="1" applyFill="1" applyBorder="1" applyAlignment="1">
      <alignment horizontal="center" vertical="center"/>
    </xf>
    <xf numFmtId="0" fontId="18" fillId="60" borderId="36" xfId="0" applyFont="1" applyFill="1" applyBorder="1" applyAlignment="1">
      <alignment horizontal="center" vertical="center"/>
    </xf>
    <xf numFmtId="0" fontId="18" fillId="60" borderId="38" xfId="0" applyFont="1" applyFill="1" applyBorder="1" applyAlignment="1">
      <alignment horizontal="center" vertical="center"/>
    </xf>
    <xf numFmtId="0" fontId="18" fillId="60" borderId="39" xfId="0" applyFont="1" applyFill="1" applyBorder="1" applyAlignment="1">
      <alignment horizontal="center" vertical="center"/>
    </xf>
    <xf numFmtId="0" fontId="0" fillId="59" borderId="45" xfId="0" applyFill="1" applyBorder="1" applyAlignment="1">
      <alignment horizontal="center" vertical="center" wrapText="1"/>
    </xf>
    <xf numFmtId="165" fontId="47" fillId="63" borderId="27" xfId="0" applyNumberFormat="1" applyFont="1" applyFill="1" applyBorder="1" applyAlignment="1">
      <alignment horizontal="center"/>
    </xf>
    <xf numFmtId="165" fontId="47" fillId="63" borderId="24" xfId="0" applyNumberFormat="1" applyFont="1" applyFill="1" applyBorder="1" applyAlignment="1">
      <alignment horizontal="center"/>
    </xf>
    <xf numFmtId="165" fontId="47" fillId="63" borderId="25" xfId="0" applyNumberFormat="1" applyFont="1" applyFill="1" applyBorder="1" applyAlignment="1">
      <alignment horizontal="center"/>
    </xf>
    <xf numFmtId="169" fontId="13" fillId="63" borderId="28" xfId="0" applyNumberFormat="1" applyFont="1" applyFill="1" applyBorder="1" applyAlignment="1">
      <alignment horizontal="center"/>
    </xf>
    <xf numFmtId="169" fontId="13" fillId="63" borderId="26" xfId="0" applyNumberFormat="1" applyFont="1" applyFill="1" applyBorder="1" applyAlignment="1">
      <alignment horizontal="center"/>
    </xf>
    <xf numFmtId="169" fontId="13" fillId="63" borderId="29" xfId="0" applyNumberFormat="1" applyFont="1" applyFill="1" applyBorder="1" applyAlignment="1">
      <alignment horizontal="center"/>
    </xf>
    <xf numFmtId="0" fontId="0" fillId="68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9" fontId="0" fillId="0" borderId="61" xfId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9" fontId="0" fillId="0" borderId="60" xfId="1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9" fontId="0" fillId="0" borderId="68" xfId="1" applyFont="1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9" fontId="0" fillId="0" borderId="67" xfId="1" applyFont="1" applyFill="1" applyBorder="1" applyAlignment="1">
      <alignment horizontal="center" vertical="center"/>
    </xf>
    <xf numFmtId="0" fontId="53" fillId="59" borderId="27" xfId="0" applyFont="1" applyFill="1" applyBorder="1" applyAlignment="1">
      <alignment horizontal="center" vertical="center"/>
    </xf>
    <xf numFmtId="0" fontId="53" fillId="59" borderId="24" xfId="0" applyFont="1" applyFill="1" applyBorder="1" applyAlignment="1">
      <alignment horizontal="center" vertical="center"/>
    </xf>
    <xf numFmtId="0" fontId="53" fillId="59" borderId="25" xfId="0" applyFont="1" applyFill="1" applyBorder="1" applyAlignment="1">
      <alignment horizontal="center" vertical="center"/>
    </xf>
    <xf numFmtId="169" fontId="52" fillId="59" borderId="28" xfId="0" applyNumberFormat="1" applyFont="1" applyFill="1" applyBorder="1" applyAlignment="1">
      <alignment horizontal="center" vertical="top"/>
    </xf>
    <xf numFmtId="169" fontId="52" fillId="59" borderId="26" xfId="0" applyNumberFormat="1" applyFont="1" applyFill="1" applyBorder="1" applyAlignment="1">
      <alignment horizontal="center" vertical="top"/>
    </xf>
    <xf numFmtId="169" fontId="52" fillId="59" borderId="29" xfId="0" applyNumberFormat="1" applyFont="1" applyFill="1" applyBorder="1" applyAlignment="1">
      <alignment horizontal="center" vertical="top"/>
    </xf>
    <xf numFmtId="0" fontId="52" fillId="59" borderId="69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center" vertical="center"/>
    </xf>
    <xf numFmtId="0" fontId="52" fillId="59" borderId="70" xfId="0" applyFont="1" applyFill="1" applyBorder="1" applyAlignment="1">
      <alignment horizontal="center" vertical="center"/>
    </xf>
    <xf numFmtId="0" fontId="53" fillId="61" borderId="27" xfId="0" applyFont="1" applyFill="1" applyBorder="1" applyAlignment="1">
      <alignment horizontal="center" vertical="center"/>
    </xf>
    <xf numFmtId="0" fontId="53" fillId="61" borderId="24" xfId="0" applyFont="1" applyFill="1" applyBorder="1" applyAlignment="1">
      <alignment horizontal="center" vertical="center"/>
    </xf>
    <xf numFmtId="0" fontId="53" fillId="61" borderId="25" xfId="0" applyFont="1" applyFill="1" applyBorder="1" applyAlignment="1">
      <alignment horizontal="center" vertical="center"/>
    </xf>
    <xf numFmtId="0" fontId="52" fillId="61" borderId="69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0" fontId="52" fillId="61" borderId="70" xfId="0" applyFont="1" applyFill="1" applyBorder="1" applyAlignment="1">
      <alignment horizontal="center" vertical="center"/>
    </xf>
    <xf numFmtId="169" fontId="52" fillId="61" borderId="28" xfId="0" applyNumberFormat="1" applyFont="1" applyFill="1" applyBorder="1" applyAlignment="1">
      <alignment horizontal="center" vertical="center"/>
    </xf>
    <xf numFmtId="169" fontId="52" fillId="61" borderId="26" xfId="0" applyNumberFormat="1" applyFont="1" applyFill="1" applyBorder="1" applyAlignment="1">
      <alignment horizontal="center" vertical="center"/>
    </xf>
    <xf numFmtId="169" fontId="52" fillId="61" borderId="29" xfId="0" applyNumberFormat="1" applyFont="1" applyFill="1" applyBorder="1" applyAlignment="1">
      <alignment horizontal="center" vertical="center"/>
    </xf>
    <xf numFmtId="0" fontId="16" fillId="57" borderId="62" xfId="0" applyFont="1" applyFill="1" applyBorder="1" applyAlignment="1">
      <alignment horizontal="center" vertical="center"/>
    </xf>
    <xf numFmtId="0" fontId="16" fillId="57" borderId="63" xfId="0" applyFont="1" applyFill="1" applyBorder="1" applyAlignment="1">
      <alignment horizontal="center" vertical="center"/>
    </xf>
    <xf numFmtId="0" fontId="16" fillId="57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" xfId="7" builtinId="26" customBuiltin="1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 2" xfId="42108"/>
    <cellStyle name="Porcentaje 3" xfId="42109"/>
    <cellStyle name="Porcentual" xfId="1" builtinId="5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" xfId="3" builtinId="16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0"/>
  <tableStyles count="0" defaultTableStyle="TableStyleMedium9" defaultPivotStyle="PivotStyleLight16"/>
  <colors>
    <mruColors>
      <color rgb="FFFF3300"/>
      <color rgb="FF7AF735"/>
      <color rgb="FFD5E9F7"/>
      <color rgb="FFF4F7FA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K35"/>
  <sheetViews>
    <sheetView showGridLines="0" tabSelected="1" zoomScaleNormal="100" workbookViewId="0">
      <selection activeCell="G6" sqref="G6:G26"/>
    </sheetView>
  </sheetViews>
  <sheetFormatPr baseColWidth="10" defaultColWidth="11.42578125" defaultRowHeight="15"/>
  <cols>
    <col min="1" max="1" width="29.140625" style="32" customWidth="1"/>
    <col min="2" max="2" width="15.85546875" style="32" customWidth="1"/>
    <col min="3" max="3" width="19.28515625" style="32" customWidth="1"/>
    <col min="4" max="5" width="15.5703125" style="32" customWidth="1"/>
    <col min="6" max="6" width="18.140625" style="32" customWidth="1"/>
    <col min="7" max="7" width="14.28515625" style="32" customWidth="1"/>
    <col min="8" max="8" width="11.42578125" style="32"/>
    <col min="9" max="9" width="13" style="32" customWidth="1"/>
    <col min="10" max="11" width="11.42578125" style="32"/>
    <col min="12" max="12" width="95" style="32" customWidth="1"/>
    <col min="13" max="16384" width="11.42578125" style="32"/>
  </cols>
  <sheetData>
    <row r="1" spans="2:11" ht="28.5" customHeight="1" thickBot="1"/>
    <row r="2" spans="2:11" ht="27" customHeight="1">
      <c r="B2" s="236" t="s">
        <v>216</v>
      </c>
      <c r="C2" s="237"/>
      <c r="D2" s="237"/>
      <c r="E2" s="237"/>
      <c r="F2" s="237"/>
      <c r="G2" s="237"/>
      <c r="H2" s="237"/>
      <c r="I2" s="238"/>
    </row>
    <row r="3" spans="2:11" ht="27" customHeight="1" thickBot="1">
      <c r="B3" s="239">
        <f>'Cuota Artesanal'!B3:Q3</f>
        <v>43508</v>
      </c>
      <c r="C3" s="240"/>
      <c r="D3" s="240"/>
      <c r="E3" s="240"/>
      <c r="F3" s="240"/>
      <c r="G3" s="240"/>
      <c r="H3" s="240"/>
      <c r="I3" s="241"/>
    </row>
    <row r="4" spans="2:11" ht="15.75" thickBot="1">
      <c r="B4" s="242" t="s">
        <v>228</v>
      </c>
      <c r="C4" s="242"/>
      <c r="D4" s="242"/>
      <c r="E4" s="242"/>
      <c r="F4" s="242"/>
      <c r="G4" s="242"/>
      <c r="H4" s="242"/>
      <c r="I4" s="242"/>
    </row>
    <row r="5" spans="2:11" ht="30.75" thickBot="1">
      <c r="B5" s="35" t="s">
        <v>77</v>
      </c>
      <c r="C5" s="36" t="s">
        <v>76</v>
      </c>
      <c r="D5" s="37" t="s">
        <v>4</v>
      </c>
      <c r="E5" s="37" t="s">
        <v>3</v>
      </c>
      <c r="F5" s="37" t="s">
        <v>95</v>
      </c>
      <c r="G5" s="37" t="s">
        <v>96</v>
      </c>
      <c r="H5" s="38" t="s">
        <v>97</v>
      </c>
      <c r="I5" s="185" t="s">
        <v>98</v>
      </c>
      <c r="J5" s="33"/>
      <c r="K5" s="33"/>
    </row>
    <row r="6" spans="2:11">
      <c r="B6" s="230" t="s">
        <v>83</v>
      </c>
      <c r="C6" s="225" t="s">
        <v>34</v>
      </c>
      <c r="D6" s="212">
        <f>SUM('Cuota Artesanal'!E7+'Cuota Artesanal'!E8)</f>
        <v>1326</v>
      </c>
      <c r="E6" s="101">
        <f>'Cuota Artesanal'!F7+'Cuota Artesanal'!F8</f>
        <v>0</v>
      </c>
      <c r="F6" s="101">
        <f>SUM('Cuota Artesanal'!M7:M8)</f>
        <v>1326</v>
      </c>
      <c r="G6" s="101">
        <f>'Cuota Artesanal'!N7</f>
        <v>0</v>
      </c>
      <c r="H6" s="186">
        <f>F6-G6</f>
        <v>1326</v>
      </c>
      <c r="I6" s="201">
        <f>G6/F6</f>
        <v>0</v>
      </c>
      <c r="J6" s="33"/>
      <c r="K6" s="33"/>
    </row>
    <row r="7" spans="2:11">
      <c r="B7" s="231"/>
      <c r="C7" s="224" t="s">
        <v>35</v>
      </c>
      <c r="D7" s="213">
        <f>SUM('Cuota Artesanal'!E10+'Cuota Artesanal'!E11)</f>
        <v>1326</v>
      </c>
      <c r="E7" s="102">
        <f>SUM('Cuota Artesanal'!F10+'Cuota Artesanal'!F11)</f>
        <v>0</v>
      </c>
      <c r="F7" s="1">
        <f>SUM('Cuota Artesanal'!M10:M11)</f>
        <v>1326</v>
      </c>
      <c r="G7" s="102">
        <f>'Cuota Artesanal'!N10</f>
        <v>2.5000000000000001E-2</v>
      </c>
      <c r="H7" s="187">
        <f t="shared" ref="H7:H26" si="0">F7-G7</f>
        <v>1325.9749999999999</v>
      </c>
      <c r="I7" s="202">
        <f t="shared" ref="I7:I26" si="1">G7/F7</f>
        <v>1.885369532428356E-5</v>
      </c>
      <c r="J7" s="33"/>
      <c r="K7" s="33"/>
    </row>
    <row r="8" spans="2:11">
      <c r="B8" s="231"/>
      <c r="C8" s="224" t="s">
        <v>81</v>
      </c>
      <c r="D8" s="213">
        <f>'Cuota Artesanal'!E13</f>
        <v>150</v>
      </c>
      <c r="E8" s="102">
        <f>'Cuota Artesanal'!F13</f>
        <v>0</v>
      </c>
      <c r="F8" s="1">
        <f>'Cuota Artesanal'!M13</f>
        <v>150</v>
      </c>
      <c r="G8" s="102">
        <f>'Cuota Artesanal'!N13</f>
        <v>0.14000000000000001</v>
      </c>
      <c r="H8" s="187">
        <f t="shared" si="0"/>
        <v>149.86000000000001</v>
      </c>
      <c r="I8" s="202">
        <f t="shared" si="1"/>
        <v>9.3333333333333343E-4</v>
      </c>
      <c r="J8" s="33"/>
      <c r="K8" s="33"/>
    </row>
    <row r="9" spans="2:11">
      <c r="B9" s="231"/>
      <c r="C9" s="224" t="s">
        <v>36</v>
      </c>
      <c r="D9" s="213">
        <f>SUM('Cuota Artesanal'!E15+'Cuota Artesanal'!E16)</f>
        <v>3503</v>
      </c>
      <c r="E9" s="1">
        <f>SUM('Cuota Artesanal'!F15+'Cuota Artesanal'!F16)</f>
        <v>0</v>
      </c>
      <c r="F9" s="1">
        <f>'Cuota Artesanal'!M15</f>
        <v>3503</v>
      </c>
      <c r="G9" s="102">
        <f>'Cuota Artesanal'!N15</f>
        <v>1.9690000000000001</v>
      </c>
      <c r="H9" s="187">
        <f t="shared" si="0"/>
        <v>3501.0309999999999</v>
      </c>
      <c r="I9" s="202">
        <f t="shared" si="1"/>
        <v>5.6208963745361126E-4</v>
      </c>
      <c r="J9" s="33"/>
      <c r="K9" s="33"/>
    </row>
    <row r="10" spans="2:11">
      <c r="B10" s="231"/>
      <c r="C10" s="224" t="s">
        <v>73</v>
      </c>
      <c r="D10" s="213">
        <f>SUM('Cuota Artesanal'!E18+'Cuota Artesanal'!E19+'Cuota Artesanal'!E20+'Cuota Artesanal'!E21+'Cuota Artesanal'!E22+'Cuota Artesanal'!E23)</f>
        <v>8174.9989999999998</v>
      </c>
      <c r="E10" s="102">
        <f>SUM('Cuota Artesanal'!F18+'Cuota Artesanal'!F19+'Cuota Artesanal'!F20+'Cuota Artesanal'!F21+'Cuota Artesanal'!F22+'Cuota Artesanal'!F23)</f>
        <v>0</v>
      </c>
      <c r="F10" s="2">
        <f>SUM('Cuota Artesanal'!M18+'Cuota Artesanal'!M20+'Cuota Artesanal'!M22)</f>
        <v>8174.9989999999998</v>
      </c>
      <c r="G10" s="102">
        <f>SUM('Cuota Artesanal'!N18+'Cuota Artesanal'!N20+'Cuota Artesanal'!N22)</f>
        <v>1934.355</v>
      </c>
      <c r="H10" s="187">
        <f t="shared" si="0"/>
        <v>6240.6440000000002</v>
      </c>
      <c r="I10" s="202">
        <f t="shared" si="1"/>
        <v>0.23661837756799725</v>
      </c>
      <c r="J10" s="33"/>
      <c r="K10" s="33"/>
    </row>
    <row r="11" spans="2:11">
      <c r="B11" s="231"/>
      <c r="C11" s="224" t="s">
        <v>44</v>
      </c>
      <c r="D11" s="213">
        <f>SUM('Cuota Artesanal'!E25+'Cuota Artesanal'!E26+'Cuota Artesanal'!E27+'Cuota Artesanal'!E28+'Cuota Artesanal'!E29+'Cuota Artesanal'!E30+'Cuota Artesanal'!E31+'Cuota Artesanal'!E32+'Cuota Artesanal'!E33+'Cuota Artesanal'!E34)</f>
        <v>3849.0010000000002</v>
      </c>
      <c r="E11" s="102">
        <f>SUM('Cuota Artesanal'!F25+'Cuota Artesanal'!F26+'Cuota Artesanal'!F27+'Cuota Artesanal'!F28+'Cuota Artesanal'!F29+'Cuota Artesanal'!F30+'Cuota Artesanal'!F31+'Cuota Artesanal'!F32+'Cuota Artesanal'!F33+'Cuota Artesanal'!F34)</f>
        <v>0</v>
      </c>
      <c r="F11" s="2">
        <f>SUM('Cuota Artesanal'!M25+'Cuota Artesanal'!M27+'Cuota Artesanal'!M29+'Cuota Artesanal'!M31+'Cuota Artesanal'!M33)</f>
        <v>3849.0010000000002</v>
      </c>
      <c r="G11" s="102">
        <f>SUM('Cuota Artesanal'!N25+'Cuota Artesanal'!N27+'Cuota Artesanal'!N29+'Cuota Artesanal'!N31+'Cuota Artesanal'!N33)</f>
        <v>82.55</v>
      </c>
      <c r="H11" s="187">
        <f t="shared" si="0"/>
        <v>3766.451</v>
      </c>
      <c r="I11" s="202">
        <f t="shared" si="1"/>
        <v>2.1447123552319158E-2</v>
      </c>
      <c r="J11" s="33"/>
      <c r="K11" s="33"/>
    </row>
    <row r="12" spans="2:11">
      <c r="B12" s="231"/>
      <c r="C12" s="224" t="s">
        <v>74</v>
      </c>
      <c r="D12" s="213">
        <f>SUM('Cuota Artesanal'!E36+'Cuota Artesanal'!E37)</f>
        <v>15</v>
      </c>
      <c r="E12" s="102">
        <f>SUM('Cuota Artesanal'!F36+'Cuota Artesanal'!F37)</f>
        <v>0</v>
      </c>
      <c r="F12" s="1">
        <f>'Cuota Artesanal'!M36</f>
        <v>15</v>
      </c>
      <c r="G12" s="102">
        <f>'Cuota Artesanal'!N36</f>
        <v>4.34</v>
      </c>
      <c r="H12" s="187">
        <f t="shared" si="0"/>
        <v>10.66</v>
      </c>
      <c r="I12" s="202">
        <f t="shared" si="1"/>
        <v>0.28933333333333333</v>
      </c>
      <c r="J12" s="33"/>
      <c r="K12" s="33"/>
    </row>
    <row r="13" spans="2:11">
      <c r="B13" s="231"/>
      <c r="C13" s="224" t="s">
        <v>87</v>
      </c>
      <c r="D13" s="213">
        <f>'Cuota Artesanal'!E39+'Cuota Artesanal'!E40</f>
        <v>126</v>
      </c>
      <c r="E13" s="102">
        <f>SUM('Cuota Artesanal'!F39+'Cuota Artesanal'!F40)</f>
        <v>0</v>
      </c>
      <c r="F13" s="1">
        <f>'Cuota Artesanal'!M39</f>
        <v>126</v>
      </c>
      <c r="G13" s="102">
        <f>'Cuota Artesanal'!N39</f>
        <v>24.062999999999999</v>
      </c>
      <c r="H13" s="187">
        <f t="shared" si="0"/>
        <v>101.937</v>
      </c>
      <c r="I13" s="202">
        <f t="shared" si="1"/>
        <v>0.19097619047619047</v>
      </c>
      <c r="J13" s="33"/>
      <c r="K13" s="33"/>
    </row>
    <row r="14" spans="2:11">
      <c r="B14" s="231"/>
      <c r="C14" s="224" t="s">
        <v>88</v>
      </c>
      <c r="D14" s="213">
        <f>SUM('Cuota Artesanal'!E42+'Cuota Artesanal'!E43)</f>
        <v>8200</v>
      </c>
      <c r="E14" s="102">
        <f>SUM('Cuota Artesanal'!F42+'Cuota Artesanal'!F43)</f>
        <v>0</v>
      </c>
      <c r="F14" s="1">
        <f>'Cuota Artesanal'!M42</f>
        <v>8200</v>
      </c>
      <c r="G14" s="102">
        <f>'Cuota Artesanal'!N42</f>
        <v>9336.8189999999995</v>
      </c>
      <c r="H14" s="187">
        <f t="shared" si="0"/>
        <v>-1136.8189999999995</v>
      </c>
      <c r="I14" s="202">
        <f t="shared" si="1"/>
        <v>1.138636463414634</v>
      </c>
      <c r="J14" s="33"/>
      <c r="K14" s="33"/>
    </row>
    <row r="15" spans="2:11">
      <c r="B15" s="231"/>
      <c r="C15" s="224" t="s">
        <v>45</v>
      </c>
      <c r="D15" s="213">
        <f>SUM('Cuota Artesanal'!E45+'Cuota Artesanal'!E46)</f>
        <v>185</v>
      </c>
      <c r="E15" s="102">
        <f>SUM('Cuota Artesanal'!F45+'Cuota Artesanal'!F469)</f>
        <v>0</v>
      </c>
      <c r="F15" s="1">
        <f>SUM('Cuota Artesanal'!M45)</f>
        <v>185</v>
      </c>
      <c r="G15" s="102">
        <f>'Cuota Artesanal'!N45</f>
        <v>1.24</v>
      </c>
      <c r="H15" s="187">
        <f t="shared" si="0"/>
        <v>183.76</v>
      </c>
      <c r="I15" s="202">
        <f t="shared" si="1"/>
        <v>6.7027027027027029E-3</v>
      </c>
      <c r="J15" s="33"/>
      <c r="K15" s="33"/>
    </row>
    <row r="16" spans="2:11">
      <c r="B16" s="231"/>
      <c r="C16" s="224" t="s">
        <v>46</v>
      </c>
      <c r="D16" s="213">
        <f>'Cuota Artesanal'!E48+'Cuota Artesanal'!E49</f>
        <v>959</v>
      </c>
      <c r="E16" s="102">
        <f>SUM('Cuota Artesanal'!F48+'Cuota Artesanal'!F49)</f>
        <v>0</v>
      </c>
      <c r="F16" s="1">
        <f>'Cuota Artesanal'!M48</f>
        <v>959</v>
      </c>
      <c r="G16" s="102">
        <f>'Cuota Artesanal'!H48+'Cuota Artesanal'!H49</f>
        <v>0</v>
      </c>
      <c r="H16" s="187">
        <f t="shared" si="0"/>
        <v>959</v>
      </c>
      <c r="I16" s="202">
        <f t="shared" si="1"/>
        <v>0</v>
      </c>
      <c r="J16" s="33"/>
      <c r="K16" s="33"/>
    </row>
    <row r="17" spans="2:11">
      <c r="B17" s="231"/>
      <c r="C17" s="224" t="s">
        <v>75</v>
      </c>
      <c r="D17" s="213">
        <f>SUM('Cuota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Artesanal'!E67+'Cuota Artesanal'!E68)</f>
        <v>6415.998999999998</v>
      </c>
      <c r="E17" s="102">
        <f>SUM('Cuota Artesanal'!F51+'Cuota Artesanal'!F52+'Cuota Artesanal'!F53++'Cuota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Artesanal'!F67+'Cuota Artesanal'!F68)</f>
        <v>-713.13099999999997</v>
      </c>
      <c r="F17" s="2">
        <f>SUM('Cuota Artesanal'!M51+'Cuota Artesanal'!M53+'Cuota Artesanal'!M55+'Cuota Artesanal'!M57+'Cuota Artesanal'!M59+'Cuota Artesanal'!M61+'Cuota Artesanal'!M63+'Cuota Artesanal'!M65+'Cuota Artesanal'!M67)</f>
        <v>5702.8679999999995</v>
      </c>
      <c r="G17" s="102">
        <f>SUM('Cuota Artesanal'!N51+'Cuota Artesanal'!N53+'Cuota Artesanal'!N55+'Cuota Artesanal'!N57+'Cuota Artesanal'!N59+'Cuota Artesanal'!N61+'Cuota Artesanal'!N63+'Cuota Artesanal'!N65+'Cuota Artesanal'!N67)</f>
        <v>131.81</v>
      </c>
      <c r="H17" s="187">
        <f t="shared" si="0"/>
        <v>5571.0579999999991</v>
      </c>
      <c r="I17" s="202">
        <f t="shared" si="1"/>
        <v>2.3112931949327956E-2</v>
      </c>
      <c r="J17" s="33"/>
      <c r="K17" s="33"/>
    </row>
    <row r="18" spans="2:11">
      <c r="B18" s="231"/>
      <c r="C18" s="224" t="s">
        <v>82</v>
      </c>
      <c r="D18" s="213">
        <f>'Cuota Artesanal'!E72</f>
        <v>327</v>
      </c>
      <c r="E18" s="102">
        <f>SUM('Cuota Artesanal'!F72)</f>
        <v>0</v>
      </c>
      <c r="F18" s="1">
        <f>'Cuota Artesanal'!M72</f>
        <v>327</v>
      </c>
      <c r="G18" s="102">
        <f>'Cuota Artesanal'!N72</f>
        <v>40.195999999999998</v>
      </c>
      <c r="H18" s="187">
        <f t="shared" si="0"/>
        <v>286.80399999999997</v>
      </c>
      <c r="I18" s="202">
        <f t="shared" si="1"/>
        <v>0.12292354740061162</v>
      </c>
      <c r="J18" s="33"/>
      <c r="K18" s="33"/>
    </row>
    <row r="19" spans="2:11">
      <c r="B19" s="231"/>
      <c r="C19" s="224" t="s">
        <v>94</v>
      </c>
      <c r="D19" s="213">
        <f>'Cuota Artesanal'!E74</f>
        <v>153</v>
      </c>
      <c r="E19" s="102">
        <f>SUM('Cuota Artesanal'!F74)</f>
        <v>0</v>
      </c>
      <c r="F19" s="1">
        <f>'Cuota Artesanal'!M74</f>
        <v>153</v>
      </c>
      <c r="G19" s="102">
        <f>'Cuota Artesanal'!N74</f>
        <v>5.1280000000000001</v>
      </c>
      <c r="H19" s="187">
        <f t="shared" si="0"/>
        <v>147.87200000000001</v>
      </c>
      <c r="I19" s="202">
        <f t="shared" si="1"/>
        <v>3.3516339869281049E-2</v>
      </c>
      <c r="J19" s="33"/>
      <c r="K19" s="33"/>
    </row>
    <row r="20" spans="2:11">
      <c r="B20" s="231"/>
      <c r="C20" s="224" t="s">
        <v>84</v>
      </c>
      <c r="D20" s="213">
        <v>3815</v>
      </c>
      <c r="E20" s="1">
        <v>0</v>
      </c>
      <c r="F20" s="1">
        <f t="shared" ref="F20:F26" si="2">D20+E20</f>
        <v>3815</v>
      </c>
      <c r="G20" s="102">
        <v>0</v>
      </c>
      <c r="H20" s="187">
        <f>F20-G20</f>
        <v>3815</v>
      </c>
      <c r="I20" s="202">
        <f t="shared" si="1"/>
        <v>0</v>
      </c>
      <c r="J20" s="33"/>
      <c r="K20" s="33"/>
    </row>
    <row r="21" spans="2:11">
      <c r="B21" s="231"/>
      <c r="C21" s="226" t="s">
        <v>222</v>
      </c>
      <c r="D21" s="214">
        <v>200</v>
      </c>
      <c r="E21" s="209"/>
      <c r="F21" s="209"/>
      <c r="G21" s="370"/>
      <c r="H21" s="210"/>
      <c r="I21" s="211"/>
      <c r="J21" s="33"/>
      <c r="K21" s="33"/>
    </row>
    <row r="22" spans="2:11" ht="15.75" thickBot="1">
      <c r="B22" s="232"/>
      <c r="C22" s="227" t="s">
        <v>85</v>
      </c>
      <c r="D22" s="215">
        <v>3815</v>
      </c>
      <c r="E22" s="4">
        <v>0</v>
      </c>
      <c r="F22" s="4">
        <f t="shared" si="2"/>
        <v>3815</v>
      </c>
      <c r="G22" s="371">
        <f>'Consumo Humano'!D8</f>
        <v>954.31399999999996</v>
      </c>
      <c r="H22" s="188">
        <f t="shared" si="0"/>
        <v>2860.6860000000001</v>
      </c>
      <c r="I22" s="203">
        <f t="shared" si="1"/>
        <v>0.2501478374836173</v>
      </c>
      <c r="J22" s="33"/>
      <c r="K22" s="33"/>
    </row>
    <row r="23" spans="2:11">
      <c r="B23" s="233" t="s">
        <v>78</v>
      </c>
      <c r="C23" s="225" t="s">
        <v>63</v>
      </c>
      <c r="D23" s="212">
        <f>SUM('Cuota Industrial'!E6:E23)</f>
        <v>53236.006999999998</v>
      </c>
      <c r="E23" s="3">
        <f>SUM('Cuota Industrial'!F6:F23)</f>
        <v>-2475.4740000000002</v>
      </c>
      <c r="F23" s="5">
        <f t="shared" si="2"/>
        <v>50760.532999999996</v>
      </c>
      <c r="G23" s="101">
        <f>SUM('Cuota Industrial'!H6:H15)</f>
        <v>0</v>
      </c>
      <c r="H23" s="186">
        <f t="shared" si="0"/>
        <v>50760.532999999996</v>
      </c>
      <c r="I23" s="201">
        <f t="shared" si="1"/>
        <v>0</v>
      </c>
      <c r="J23" s="33"/>
      <c r="K23" s="33"/>
    </row>
    <row r="24" spans="2:11">
      <c r="B24" s="234"/>
      <c r="C24" s="224" t="s">
        <v>79</v>
      </c>
      <c r="D24" s="213">
        <f>SUM('Cuota Industrial'!E24:E49)</f>
        <v>11235.004000000001</v>
      </c>
      <c r="E24" s="1">
        <f>SUM('Cuota Industrial'!F24:F49)</f>
        <v>0</v>
      </c>
      <c r="F24" s="2">
        <f t="shared" si="2"/>
        <v>11235.004000000001</v>
      </c>
      <c r="G24" s="102">
        <f>SUM('Cuota Industrial'!H24:H49)</f>
        <v>0</v>
      </c>
      <c r="H24" s="187">
        <f t="shared" si="0"/>
        <v>11235.004000000001</v>
      </c>
      <c r="I24" s="202">
        <f t="shared" si="1"/>
        <v>0</v>
      </c>
      <c r="J24" s="33"/>
      <c r="K24" s="33"/>
    </row>
    <row r="25" spans="2:11">
      <c r="B25" s="234"/>
      <c r="C25" s="224" t="s">
        <v>80</v>
      </c>
      <c r="D25" s="213">
        <f>SUM('Cuota Industrial'!E50:E79)</f>
        <v>241000.024</v>
      </c>
      <c r="E25" s="1">
        <f>SUM('Cuota Industrial'!F50:F79)</f>
        <v>2475.4740000000002</v>
      </c>
      <c r="F25" s="2">
        <f t="shared" si="2"/>
        <v>243475.49799999999</v>
      </c>
      <c r="G25" s="102">
        <f>SUM('Cuota Industrial'!H50:H79)</f>
        <v>63853.065999999999</v>
      </c>
      <c r="H25" s="187">
        <f t="shared" si="0"/>
        <v>179622.432</v>
      </c>
      <c r="I25" s="202">
        <f t="shared" si="1"/>
        <v>0.26225663988579256</v>
      </c>
      <c r="J25" s="33"/>
      <c r="K25" s="33"/>
    </row>
    <row r="26" spans="2:11" ht="15.75" thickBot="1">
      <c r="B26" s="235"/>
      <c r="C26" s="227" t="s">
        <v>86</v>
      </c>
      <c r="D26" s="215">
        <f>SUM('Cuota Industrial'!E80:E107)</f>
        <v>33560.999000000003</v>
      </c>
      <c r="E26" s="4">
        <f>SUM('Cuota Industrial'!F80:F107)</f>
        <v>713.13099999999997</v>
      </c>
      <c r="F26" s="6">
        <f t="shared" si="2"/>
        <v>34274.130000000005</v>
      </c>
      <c r="G26" s="371">
        <v>0</v>
      </c>
      <c r="H26" s="188">
        <f t="shared" si="0"/>
        <v>34274.130000000005</v>
      </c>
      <c r="I26" s="203">
        <f t="shared" si="1"/>
        <v>0</v>
      </c>
      <c r="J26" s="33"/>
      <c r="K26" s="33"/>
    </row>
    <row r="27" spans="2:11" hidden="1">
      <c r="B27" s="33"/>
      <c r="C27" s="33"/>
      <c r="D27" s="34">
        <f>SUM(D6:D26)</f>
        <v>381572.033</v>
      </c>
      <c r="E27" s="33">
        <f>SUM(E6:E26)</f>
        <v>0</v>
      </c>
      <c r="F27" s="33"/>
      <c r="G27" s="33"/>
      <c r="H27" s="33"/>
      <c r="I27" s="58">
        <v>1</v>
      </c>
      <c r="J27" s="33"/>
      <c r="K27" s="33"/>
    </row>
    <row r="28" spans="2:11">
      <c r="B28" s="33"/>
      <c r="C28" s="33"/>
      <c r="D28" s="33"/>
      <c r="E28" s="33">
        <f>SUM(E6:E26)</f>
        <v>0</v>
      </c>
      <c r="F28" s="33"/>
      <c r="G28" s="33"/>
      <c r="H28" s="33"/>
      <c r="I28" s="33"/>
      <c r="J28" s="33"/>
      <c r="K28" s="33"/>
    </row>
    <row r="29" spans="2:11">
      <c r="B29" s="217" t="s">
        <v>227</v>
      </c>
      <c r="C29" s="33"/>
      <c r="D29" s="34"/>
      <c r="E29" s="33"/>
      <c r="F29" s="33"/>
      <c r="G29" s="33"/>
      <c r="H29" s="33"/>
      <c r="I29" s="33"/>
      <c r="J29" s="33"/>
      <c r="K29" s="33"/>
    </row>
    <row r="35" ht="63" customHeight="1"/>
  </sheetData>
  <mergeCells count="5">
    <mergeCell ref="B6:B22"/>
    <mergeCell ref="B23:B26"/>
    <mergeCell ref="B2:I2"/>
    <mergeCell ref="B3:I3"/>
    <mergeCell ref="B4:I4"/>
  </mergeCells>
  <pageMargins left="0.7" right="0.7" top="0.75" bottom="0.75" header="0.3" footer="0.3"/>
  <pageSetup paperSize="173" orientation="portrait" r:id="rId1"/>
  <ignoredErrors>
    <ignoredError sqref="G24:G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Q85"/>
  <sheetViews>
    <sheetView topLeftCell="B43" zoomScale="90" zoomScaleNormal="90" workbookViewId="0">
      <selection activeCell="C83" sqref="C83"/>
    </sheetView>
  </sheetViews>
  <sheetFormatPr baseColWidth="10" defaultColWidth="11.42578125" defaultRowHeight="15"/>
  <cols>
    <col min="1" max="1" width="11.42578125" style="39"/>
    <col min="2" max="2" width="30.28515625" style="39" customWidth="1"/>
    <col min="3" max="3" width="32.7109375" style="39" customWidth="1"/>
    <col min="4" max="5" width="11.42578125" style="39"/>
    <col min="6" max="6" width="25" style="39" customWidth="1"/>
    <col min="7" max="9" width="11.42578125" style="39"/>
    <col min="10" max="10" width="17" style="39" customWidth="1"/>
    <col min="11" max="11" width="13.140625" style="39" customWidth="1"/>
    <col min="12" max="12" width="14.85546875" style="39" customWidth="1"/>
    <col min="13" max="13" width="12.85546875" style="39" customWidth="1"/>
    <col min="14" max="15" width="11.42578125" style="39"/>
    <col min="16" max="16" width="16.5703125" style="39" customWidth="1"/>
    <col min="17" max="17" width="16.42578125" style="39" bestFit="1" customWidth="1"/>
    <col min="18" max="18" width="36.85546875" style="39" customWidth="1"/>
    <col min="19" max="16384" width="11.42578125" style="39"/>
  </cols>
  <sheetData>
    <row r="1" spans="2:17" ht="15.75" thickBot="1"/>
    <row r="2" spans="2:17" ht="26.25" customHeight="1">
      <c r="B2" s="274" t="s">
        <v>225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6"/>
    </row>
    <row r="3" spans="2:17" ht="24" customHeight="1" thickBot="1">
      <c r="B3" s="239">
        <v>43508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1"/>
    </row>
    <row r="4" spans="2:17" ht="42" customHeight="1" thickBot="1"/>
    <row r="5" spans="2:17" ht="16.5" customHeight="1">
      <c r="B5" s="255" t="s">
        <v>32</v>
      </c>
      <c r="C5" s="253" t="s">
        <v>37</v>
      </c>
      <c r="D5" s="262" t="s">
        <v>89</v>
      </c>
      <c r="E5" s="263"/>
      <c r="F5" s="263"/>
      <c r="G5" s="263"/>
      <c r="H5" s="263"/>
      <c r="I5" s="263"/>
      <c r="J5" s="264"/>
      <c r="K5" s="277" t="s">
        <v>70</v>
      </c>
      <c r="L5" s="263"/>
      <c r="M5" s="263"/>
      <c r="N5" s="263"/>
      <c r="O5" s="263"/>
      <c r="P5" s="264"/>
      <c r="Q5" s="265" t="s">
        <v>93</v>
      </c>
    </row>
    <row r="6" spans="2:17" ht="47.25">
      <c r="B6" s="256"/>
      <c r="C6" s="254"/>
      <c r="D6" s="156" t="s">
        <v>6</v>
      </c>
      <c r="E6" s="155" t="s">
        <v>4</v>
      </c>
      <c r="F6" s="155" t="s">
        <v>3</v>
      </c>
      <c r="G6" s="155" t="s">
        <v>2</v>
      </c>
      <c r="H6" s="155" t="s">
        <v>1</v>
      </c>
      <c r="I6" s="155" t="s">
        <v>0</v>
      </c>
      <c r="J6" s="158" t="s">
        <v>5</v>
      </c>
      <c r="K6" s="161" t="s">
        <v>4</v>
      </c>
      <c r="L6" s="155" t="s">
        <v>3</v>
      </c>
      <c r="M6" s="155" t="s">
        <v>2</v>
      </c>
      <c r="N6" s="155" t="s">
        <v>1</v>
      </c>
      <c r="O6" s="155" t="s">
        <v>0</v>
      </c>
      <c r="P6" s="158" t="s">
        <v>5</v>
      </c>
      <c r="Q6" s="266"/>
    </row>
    <row r="7" spans="2:17" ht="15" customHeight="1">
      <c r="B7" s="257" t="s">
        <v>62</v>
      </c>
      <c r="C7" s="244" t="s">
        <v>33</v>
      </c>
      <c r="D7" s="157" t="s">
        <v>7</v>
      </c>
      <c r="E7" s="153">
        <v>1260</v>
      </c>
      <c r="F7" s="99"/>
      <c r="G7" s="99">
        <f>E7+F7</f>
        <v>1260</v>
      </c>
      <c r="H7" s="229"/>
      <c r="I7" s="99">
        <f>G7-H7</f>
        <v>1260</v>
      </c>
      <c r="J7" s="27">
        <f>H7/G7</f>
        <v>0</v>
      </c>
      <c r="K7" s="250">
        <f>E7+E8</f>
        <v>1326</v>
      </c>
      <c r="L7" s="249">
        <f>F7+F8</f>
        <v>0</v>
      </c>
      <c r="M7" s="249">
        <f>K7+L7</f>
        <v>1326</v>
      </c>
      <c r="N7" s="249">
        <f>H7+H8</f>
        <v>0</v>
      </c>
      <c r="O7" s="249">
        <f>M7-N7</f>
        <v>1326</v>
      </c>
      <c r="P7" s="247">
        <f>N7/M7</f>
        <v>0</v>
      </c>
      <c r="Q7" s="159" t="s">
        <v>156</v>
      </c>
    </row>
    <row r="8" spans="2:17" ht="15" customHeight="1" thickBot="1">
      <c r="B8" s="258"/>
      <c r="C8" s="260"/>
      <c r="D8" s="18" t="s">
        <v>8</v>
      </c>
      <c r="E8" s="152">
        <v>66</v>
      </c>
      <c r="F8" s="100"/>
      <c r="G8" s="100">
        <f>E8+F8+I7</f>
        <v>1326</v>
      </c>
      <c r="H8" s="221"/>
      <c r="I8" s="100">
        <f t="shared" ref="I8:I68" si="0">G8-H8</f>
        <v>1326</v>
      </c>
      <c r="J8" s="25">
        <f>H8/G8</f>
        <v>0</v>
      </c>
      <c r="K8" s="251"/>
      <c r="L8" s="261"/>
      <c r="M8" s="261"/>
      <c r="N8" s="261"/>
      <c r="O8" s="261"/>
      <c r="P8" s="252"/>
      <c r="Q8" s="160" t="s">
        <v>156</v>
      </c>
    </row>
    <row r="9" spans="2:17" ht="15.95" customHeight="1" thickBot="1">
      <c r="B9" s="40"/>
      <c r="C9" s="41"/>
      <c r="D9" s="42"/>
      <c r="E9" s="42"/>
      <c r="F9" s="42"/>
      <c r="G9" s="42"/>
      <c r="H9" s="42"/>
      <c r="I9" s="42"/>
      <c r="J9" s="43"/>
      <c r="K9" s="42"/>
      <c r="P9" s="44"/>
      <c r="Q9" s="62"/>
    </row>
    <row r="10" spans="2:17">
      <c r="B10" s="259" t="s">
        <v>61</v>
      </c>
      <c r="C10" s="243" t="s">
        <v>38</v>
      </c>
      <c r="D10" s="12" t="s">
        <v>7</v>
      </c>
      <c r="E10" s="151">
        <v>1260</v>
      </c>
      <c r="F10" s="11"/>
      <c r="G10" s="11">
        <f>E10+F10</f>
        <v>1260</v>
      </c>
      <c r="H10" s="228">
        <v>2.5000000000000001E-2</v>
      </c>
      <c r="I10" s="11">
        <f>G10-H10</f>
        <v>1259.9749999999999</v>
      </c>
      <c r="J10" s="24">
        <f>H10/G10</f>
        <v>1.9841269841269841E-5</v>
      </c>
      <c r="K10" s="267">
        <f>E10+E11</f>
        <v>1326</v>
      </c>
      <c r="L10" s="248">
        <f>F10+F11</f>
        <v>0</v>
      </c>
      <c r="M10" s="248">
        <f>K10+L10</f>
        <v>1326</v>
      </c>
      <c r="N10" s="248">
        <f>H10+H11</f>
        <v>2.5000000000000001E-2</v>
      </c>
      <c r="O10" s="248">
        <f>M10-N10</f>
        <v>1325.9749999999999</v>
      </c>
      <c r="P10" s="268">
        <f>N10/M10</f>
        <v>1.885369532428356E-5</v>
      </c>
      <c r="Q10" s="162" t="s">
        <v>156</v>
      </c>
    </row>
    <row r="11" spans="2:17" ht="15.75" thickBot="1">
      <c r="B11" s="258"/>
      <c r="C11" s="260"/>
      <c r="D11" s="8" t="s">
        <v>8</v>
      </c>
      <c r="E11" s="152">
        <v>66</v>
      </c>
      <c r="F11" s="100"/>
      <c r="G11" s="100">
        <f>E11+F11+I10</f>
        <v>1325.9749999999999</v>
      </c>
      <c r="H11" s="221"/>
      <c r="I11" s="100">
        <f>G11-H11</f>
        <v>1325.9749999999999</v>
      </c>
      <c r="J11" s="25">
        <f>H11/G11</f>
        <v>0</v>
      </c>
      <c r="K11" s="251"/>
      <c r="L11" s="261"/>
      <c r="M11" s="261"/>
      <c r="N11" s="261"/>
      <c r="O11" s="261"/>
      <c r="P11" s="252"/>
      <c r="Q11" s="109" t="s">
        <v>156</v>
      </c>
    </row>
    <row r="12" spans="2:17" ht="15.95" customHeight="1" thickBot="1">
      <c r="B12" s="40"/>
      <c r="C12" s="41"/>
      <c r="D12" s="42"/>
      <c r="E12" s="42"/>
      <c r="F12" s="42"/>
      <c r="G12" s="42"/>
      <c r="H12" s="42"/>
      <c r="I12" s="42"/>
      <c r="J12" s="43"/>
      <c r="K12" s="42"/>
      <c r="P12" s="44"/>
      <c r="Q12" s="62"/>
    </row>
    <row r="13" spans="2:17" ht="15.75" thickBot="1">
      <c r="B13" s="13" t="s">
        <v>63</v>
      </c>
      <c r="C13" s="21" t="s">
        <v>64</v>
      </c>
      <c r="D13" s="16" t="s">
        <v>65</v>
      </c>
      <c r="E13" s="14">
        <v>150</v>
      </c>
      <c r="F13" s="15"/>
      <c r="G13" s="15">
        <f>E13+F13</f>
        <v>150</v>
      </c>
      <c r="H13" s="14">
        <f>0.14</f>
        <v>0.14000000000000001</v>
      </c>
      <c r="I13" s="15">
        <f>G13-H13</f>
        <v>149.86000000000001</v>
      </c>
      <c r="J13" s="26">
        <f>H13/G13</f>
        <v>9.3333333333333343E-4</v>
      </c>
      <c r="K13" s="29">
        <f>E13</f>
        <v>150</v>
      </c>
      <c r="L13" s="30">
        <f>F13</f>
        <v>0</v>
      </c>
      <c r="M13" s="30">
        <f>K13+L13</f>
        <v>150</v>
      </c>
      <c r="N13" s="30">
        <f>H13</f>
        <v>0.14000000000000001</v>
      </c>
      <c r="O13" s="30">
        <f>M13-N13</f>
        <v>149.86000000000001</v>
      </c>
      <c r="P13" s="31">
        <f>N13/M13</f>
        <v>9.3333333333333343E-4</v>
      </c>
      <c r="Q13" s="80" t="s">
        <v>156</v>
      </c>
    </row>
    <row r="14" spans="2:17" ht="33.950000000000003" customHeight="1" thickBot="1">
      <c r="B14" s="40"/>
      <c r="C14" s="41"/>
      <c r="D14" s="42"/>
      <c r="E14" s="42"/>
      <c r="F14" s="42"/>
      <c r="G14" s="42"/>
      <c r="H14" s="42"/>
      <c r="I14" s="42"/>
      <c r="J14" s="43"/>
      <c r="K14" s="42"/>
      <c r="P14" s="44"/>
      <c r="Q14" s="62"/>
    </row>
    <row r="15" spans="2:17">
      <c r="B15" s="259" t="s">
        <v>69</v>
      </c>
      <c r="C15" s="243" t="s">
        <v>38</v>
      </c>
      <c r="D15" s="12" t="s">
        <v>188</v>
      </c>
      <c r="E15" s="166">
        <v>3328</v>
      </c>
      <c r="F15" s="166"/>
      <c r="G15" s="11">
        <f>E15+F15</f>
        <v>3328</v>
      </c>
      <c r="H15" s="228">
        <v>1.9690000000000001</v>
      </c>
      <c r="I15" s="11">
        <f>G15-H15</f>
        <v>3326.0309999999999</v>
      </c>
      <c r="J15" s="24">
        <f>H15/G15</f>
        <v>5.9164663461538469E-4</v>
      </c>
      <c r="K15" s="267">
        <f>E15+E16</f>
        <v>3503</v>
      </c>
      <c r="L15" s="248">
        <f>F15+F16</f>
        <v>0</v>
      </c>
      <c r="M15" s="248">
        <f>K15+L15</f>
        <v>3503</v>
      </c>
      <c r="N15" s="248">
        <f>H15+H16</f>
        <v>1.9690000000000001</v>
      </c>
      <c r="O15" s="248">
        <f>M15-N15</f>
        <v>3501.0309999999999</v>
      </c>
      <c r="P15" s="268">
        <f>N15/M15</f>
        <v>5.6208963745361126E-4</v>
      </c>
      <c r="Q15" s="162" t="s">
        <v>156</v>
      </c>
    </row>
    <row r="16" spans="2:17" ht="15.75" thickBot="1">
      <c r="B16" s="258"/>
      <c r="C16" s="260"/>
      <c r="D16" s="8" t="s">
        <v>189</v>
      </c>
      <c r="E16" s="167">
        <v>175</v>
      </c>
      <c r="F16" s="167"/>
      <c r="G16" s="100">
        <f>E16+F16+I15</f>
        <v>3501.0309999999999</v>
      </c>
      <c r="H16" s="216"/>
      <c r="I16" s="100">
        <f>G16-H16</f>
        <v>3501.0309999999999</v>
      </c>
      <c r="J16" s="25">
        <f t="shared" ref="J16" si="1">H16/G16</f>
        <v>0</v>
      </c>
      <c r="K16" s="251"/>
      <c r="L16" s="261"/>
      <c r="M16" s="261"/>
      <c r="N16" s="261"/>
      <c r="O16" s="261"/>
      <c r="P16" s="252"/>
      <c r="Q16" s="109" t="s">
        <v>156</v>
      </c>
    </row>
    <row r="17" spans="2:17" ht="33.950000000000003" customHeight="1" thickBot="1">
      <c r="B17" s="45"/>
      <c r="C17" s="41"/>
      <c r="D17" s="42"/>
      <c r="E17" s="42"/>
      <c r="F17" s="42"/>
      <c r="G17" s="42"/>
      <c r="H17" s="42"/>
      <c r="I17" s="42"/>
      <c r="J17" s="43"/>
      <c r="K17" s="42"/>
      <c r="P17" s="44"/>
      <c r="Q17" s="62"/>
    </row>
    <row r="18" spans="2:17">
      <c r="B18" s="259" t="s">
        <v>60</v>
      </c>
      <c r="C18" s="243" t="s">
        <v>39</v>
      </c>
      <c r="D18" s="12" t="s">
        <v>188</v>
      </c>
      <c r="E18" s="179">
        <v>1144.913</v>
      </c>
      <c r="F18" s="11"/>
      <c r="G18" s="11">
        <f>E18+F18</f>
        <v>1144.913</v>
      </c>
      <c r="H18" s="228">
        <v>0.20499999999999999</v>
      </c>
      <c r="I18" s="11">
        <f t="shared" si="0"/>
        <v>1144.7080000000001</v>
      </c>
      <c r="J18" s="24">
        <f>H18/G18</f>
        <v>1.7905290620335342E-4</v>
      </c>
      <c r="K18" s="267">
        <f>E18+E19</f>
        <v>1205.21</v>
      </c>
      <c r="L18" s="248">
        <f>F18+F19</f>
        <v>0</v>
      </c>
      <c r="M18" s="248">
        <f>K18+L18</f>
        <v>1205.21</v>
      </c>
      <c r="N18" s="248">
        <f>H18+H19</f>
        <v>0.20499999999999999</v>
      </c>
      <c r="O18" s="248">
        <f>M18-N18</f>
        <v>1205.0050000000001</v>
      </c>
      <c r="P18" s="268">
        <f>N18/M18</f>
        <v>1.7009483824395746E-4</v>
      </c>
      <c r="Q18" s="162" t="s">
        <v>156</v>
      </c>
    </row>
    <row r="19" spans="2:17">
      <c r="B19" s="257"/>
      <c r="C19" s="244"/>
      <c r="D19" s="7" t="s">
        <v>189</v>
      </c>
      <c r="E19" s="180">
        <v>60.296999999999997</v>
      </c>
      <c r="F19" s="99"/>
      <c r="G19" s="99">
        <f>E19+F19+I18</f>
        <v>1205.0050000000001</v>
      </c>
      <c r="H19" s="222"/>
      <c r="I19" s="99">
        <f t="shared" si="0"/>
        <v>1205.0050000000001</v>
      </c>
      <c r="J19" s="27">
        <f t="shared" ref="J19:J23" si="2">H19/G19</f>
        <v>0</v>
      </c>
      <c r="K19" s="250"/>
      <c r="L19" s="249"/>
      <c r="M19" s="249"/>
      <c r="N19" s="249"/>
      <c r="O19" s="249"/>
      <c r="P19" s="247"/>
      <c r="Q19" s="108" t="s">
        <v>156</v>
      </c>
    </row>
    <row r="20" spans="2:17">
      <c r="B20" s="257"/>
      <c r="C20" s="244" t="s">
        <v>40</v>
      </c>
      <c r="D20" s="7" t="s">
        <v>188</v>
      </c>
      <c r="E20" s="180">
        <v>5260.9709999999995</v>
      </c>
      <c r="F20" s="168"/>
      <c r="G20" s="99">
        <f>E20+F20</f>
        <v>5260.9709999999995</v>
      </c>
      <c r="H20" s="229">
        <v>1932.51</v>
      </c>
      <c r="I20" s="99">
        <f t="shared" si="0"/>
        <v>3328.4609999999993</v>
      </c>
      <c r="J20" s="27">
        <f t="shared" si="2"/>
        <v>0.36732952909263333</v>
      </c>
      <c r="K20" s="250">
        <f>E20+E21</f>
        <v>5538.0419999999995</v>
      </c>
      <c r="L20" s="249">
        <f>F20+F21</f>
        <v>0</v>
      </c>
      <c r="M20" s="249">
        <f>K20+L20</f>
        <v>5538.0419999999995</v>
      </c>
      <c r="N20" s="249">
        <f>H20+H21</f>
        <v>1932.51</v>
      </c>
      <c r="O20" s="249">
        <f>M20-N20</f>
        <v>3605.5319999999992</v>
      </c>
      <c r="P20" s="247">
        <f t="shared" ref="P20" si="3">N20/M20</f>
        <v>0.34895184976928673</v>
      </c>
      <c r="Q20" s="108" t="s">
        <v>156</v>
      </c>
    </row>
    <row r="21" spans="2:17">
      <c r="B21" s="257"/>
      <c r="C21" s="244"/>
      <c r="D21" s="7" t="s">
        <v>189</v>
      </c>
      <c r="E21" s="180">
        <v>277.07100000000003</v>
      </c>
      <c r="F21" s="99"/>
      <c r="G21" s="99">
        <f>E21+F21+I20</f>
        <v>3605.5319999999992</v>
      </c>
      <c r="H21" s="222"/>
      <c r="I21" s="99">
        <f t="shared" si="0"/>
        <v>3605.5319999999992</v>
      </c>
      <c r="J21" s="27">
        <f t="shared" si="2"/>
        <v>0</v>
      </c>
      <c r="K21" s="250"/>
      <c r="L21" s="249"/>
      <c r="M21" s="249"/>
      <c r="N21" s="249"/>
      <c r="O21" s="249"/>
      <c r="P21" s="247"/>
      <c r="Q21" s="108" t="s">
        <v>156</v>
      </c>
    </row>
    <row r="22" spans="2:17">
      <c r="B22" s="257"/>
      <c r="C22" s="244" t="s">
        <v>41</v>
      </c>
      <c r="D22" s="7" t="s">
        <v>188</v>
      </c>
      <c r="E22" s="84">
        <v>1360.116</v>
      </c>
      <c r="F22" s="99"/>
      <c r="G22" s="99">
        <f>E22+F22</f>
        <v>1360.116</v>
      </c>
      <c r="H22" s="229">
        <v>1.64</v>
      </c>
      <c r="I22" s="99">
        <f t="shared" si="0"/>
        <v>1358.4759999999999</v>
      </c>
      <c r="J22" s="27">
        <f t="shared" si="2"/>
        <v>1.2057795070420463E-3</v>
      </c>
      <c r="K22" s="250">
        <f>E22+E23</f>
        <v>1431.7470000000001</v>
      </c>
      <c r="L22" s="249">
        <f>F22+F23</f>
        <v>0</v>
      </c>
      <c r="M22" s="249">
        <f>K22+L22</f>
        <v>1431.7470000000001</v>
      </c>
      <c r="N22" s="249">
        <f>H22+H23</f>
        <v>1.64</v>
      </c>
      <c r="O22" s="249">
        <f>M22-N22</f>
        <v>1430.107</v>
      </c>
      <c r="P22" s="247">
        <f t="shared" ref="P22" si="4">N22/M22</f>
        <v>1.14545377081286E-3</v>
      </c>
      <c r="Q22" s="108" t="s">
        <v>156</v>
      </c>
    </row>
    <row r="23" spans="2:17" ht="15.75" thickBot="1">
      <c r="B23" s="258"/>
      <c r="C23" s="260"/>
      <c r="D23" s="8" t="s">
        <v>189</v>
      </c>
      <c r="E23" s="181">
        <v>71.631</v>
      </c>
      <c r="F23" s="100"/>
      <c r="G23" s="100">
        <f>E23+F23+I22</f>
        <v>1430.107</v>
      </c>
      <c r="H23" s="221"/>
      <c r="I23" s="100">
        <f t="shared" si="0"/>
        <v>1430.107</v>
      </c>
      <c r="J23" s="25">
        <f t="shared" si="2"/>
        <v>0</v>
      </c>
      <c r="K23" s="251"/>
      <c r="L23" s="261"/>
      <c r="M23" s="261"/>
      <c r="N23" s="261"/>
      <c r="O23" s="261"/>
      <c r="P23" s="252"/>
      <c r="Q23" s="109" t="s">
        <v>156</v>
      </c>
    </row>
    <row r="24" spans="2:17" ht="33.950000000000003" customHeight="1" thickBot="1">
      <c r="B24" s="40"/>
      <c r="C24" s="41"/>
      <c r="D24" s="42"/>
      <c r="E24" s="42"/>
      <c r="F24" s="42"/>
      <c r="G24" s="42"/>
      <c r="H24" s="42"/>
      <c r="I24" s="42"/>
      <c r="J24" s="43"/>
      <c r="K24" s="42"/>
      <c r="P24" s="44"/>
      <c r="Q24" s="62"/>
    </row>
    <row r="25" spans="2:17">
      <c r="B25" s="259" t="s">
        <v>59</v>
      </c>
      <c r="C25" s="243" t="s">
        <v>42</v>
      </c>
      <c r="D25" s="17" t="s">
        <v>7</v>
      </c>
      <c r="E25" s="11">
        <v>2976.4140000000002</v>
      </c>
      <c r="F25" s="166"/>
      <c r="G25" s="11">
        <f>E25+F25</f>
        <v>2976.4140000000002</v>
      </c>
      <c r="H25" s="228">
        <v>25.917999999999999</v>
      </c>
      <c r="I25" s="11">
        <f t="shared" si="0"/>
        <v>2950.4960000000001</v>
      </c>
      <c r="J25" s="24">
        <f>H25/G25</f>
        <v>8.707794009838685E-3</v>
      </c>
      <c r="K25" s="267">
        <f>E25+E26</f>
        <v>3133.5390000000002</v>
      </c>
      <c r="L25" s="248">
        <f>F25+F26</f>
        <v>0</v>
      </c>
      <c r="M25" s="248">
        <f>K25+L25</f>
        <v>3133.5390000000002</v>
      </c>
      <c r="N25" s="248">
        <f>H25+H26</f>
        <v>25.917999999999999</v>
      </c>
      <c r="O25" s="248">
        <f>M25-N25</f>
        <v>3107.6210000000001</v>
      </c>
      <c r="P25" s="268">
        <f>N25/M25</f>
        <v>8.2711592228467551E-3</v>
      </c>
      <c r="Q25" s="162" t="s">
        <v>156</v>
      </c>
    </row>
    <row r="26" spans="2:17">
      <c r="B26" s="257"/>
      <c r="C26" s="244"/>
      <c r="D26" s="157" t="s">
        <v>8</v>
      </c>
      <c r="E26" s="99">
        <v>157.125</v>
      </c>
      <c r="F26" s="99"/>
      <c r="G26" s="99">
        <f>E26+F26+I25</f>
        <v>3107.6210000000001</v>
      </c>
      <c r="H26" s="222"/>
      <c r="I26" s="99">
        <f t="shared" si="0"/>
        <v>3107.6210000000001</v>
      </c>
      <c r="J26" s="27">
        <f t="shared" ref="J26:J34" si="5">H26/G26</f>
        <v>0</v>
      </c>
      <c r="K26" s="250"/>
      <c r="L26" s="249"/>
      <c r="M26" s="249"/>
      <c r="N26" s="249"/>
      <c r="O26" s="249"/>
      <c r="P26" s="247"/>
      <c r="Q26" s="108" t="s">
        <v>156</v>
      </c>
    </row>
    <row r="27" spans="2:17">
      <c r="B27" s="257"/>
      <c r="C27" s="244" t="s">
        <v>214</v>
      </c>
      <c r="D27" s="157" t="s">
        <v>7</v>
      </c>
      <c r="E27" s="99">
        <v>50.554000000000002</v>
      </c>
      <c r="F27" s="99"/>
      <c r="G27" s="99">
        <f>E27+F27</f>
        <v>50.554000000000002</v>
      </c>
      <c r="H27" s="222"/>
      <c r="I27" s="99">
        <f t="shared" si="0"/>
        <v>50.554000000000002</v>
      </c>
      <c r="J27" s="27">
        <f>H27/G27</f>
        <v>0</v>
      </c>
      <c r="K27" s="250">
        <f>E27+E28</f>
        <v>53.222999999999999</v>
      </c>
      <c r="L27" s="249">
        <f>F27+F28</f>
        <v>0</v>
      </c>
      <c r="M27" s="249">
        <f>K27+L27</f>
        <v>53.222999999999999</v>
      </c>
      <c r="N27" s="249">
        <f>H27+H28</f>
        <v>0</v>
      </c>
      <c r="O27" s="249">
        <f>M27-N27</f>
        <v>53.222999999999999</v>
      </c>
      <c r="P27" s="247">
        <f>N27/M27</f>
        <v>0</v>
      </c>
      <c r="Q27" s="108" t="s">
        <v>156</v>
      </c>
    </row>
    <row r="28" spans="2:17">
      <c r="B28" s="257"/>
      <c r="C28" s="244"/>
      <c r="D28" s="157" t="s">
        <v>8</v>
      </c>
      <c r="E28" s="99">
        <v>2.669</v>
      </c>
      <c r="F28" s="99"/>
      <c r="G28" s="99">
        <f>E28+F28+I27</f>
        <v>53.222999999999999</v>
      </c>
      <c r="H28" s="222"/>
      <c r="I28" s="99">
        <f t="shared" si="0"/>
        <v>53.222999999999999</v>
      </c>
      <c r="J28" s="27">
        <f t="shared" si="5"/>
        <v>0</v>
      </c>
      <c r="K28" s="250"/>
      <c r="L28" s="249"/>
      <c r="M28" s="249"/>
      <c r="N28" s="249"/>
      <c r="O28" s="249"/>
      <c r="P28" s="247"/>
      <c r="Q28" s="108" t="s">
        <v>156</v>
      </c>
    </row>
    <row r="29" spans="2:17">
      <c r="B29" s="257"/>
      <c r="C29" s="244" t="s">
        <v>213</v>
      </c>
      <c r="D29" s="157" t="s">
        <v>7</v>
      </c>
      <c r="E29" s="99">
        <v>103.71</v>
      </c>
      <c r="F29" s="99"/>
      <c r="G29" s="99">
        <f>E29+F29</f>
        <v>103.71</v>
      </c>
      <c r="H29" s="229">
        <v>4.4000000000000004</v>
      </c>
      <c r="I29" s="99">
        <f t="shared" si="0"/>
        <v>99.309999999999988</v>
      </c>
      <c r="J29" s="27">
        <f t="shared" si="5"/>
        <v>4.2425995564555015E-2</v>
      </c>
      <c r="K29" s="250">
        <f>E29+E30</f>
        <v>109.18499999999999</v>
      </c>
      <c r="L29" s="249">
        <f>F29+F30</f>
        <v>0</v>
      </c>
      <c r="M29" s="249">
        <f>K29+L29</f>
        <v>109.18499999999999</v>
      </c>
      <c r="N29" s="249">
        <f>H29+H30</f>
        <v>4.4000000000000004</v>
      </c>
      <c r="O29" s="249">
        <f>M29-N29</f>
        <v>104.78499999999998</v>
      </c>
      <c r="P29" s="247">
        <f>N29/M29</f>
        <v>4.0298575811695755E-2</v>
      </c>
      <c r="Q29" s="108" t="s">
        <v>156</v>
      </c>
    </row>
    <row r="30" spans="2:17">
      <c r="B30" s="257"/>
      <c r="C30" s="244"/>
      <c r="D30" s="157" t="s">
        <v>8</v>
      </c>
      <c r="E30" s="168">
        <v>5.4749999999999996</v>
      </c>
      <c r="F30" s="99"/>
      <c r="G30" s="99">
        <f>E30+F30+I29</f>
        <v>104.78499999999998</v>
      </c>
      <c r="H30" s="222"/>
      <c r="I30" s="99">
        <f t="shared" si="0"/>
        <v>104.78499999999998</v>
      </c>
      <c r="J30" s="27">
        <f t="shared" si="5"/>
        <v>0</v>
      </c>
      <c r="K30" s="250"/>
      <c r="L30" s="249"/>
      <c r="M30" s="249"/>
      <c r="N30" s="249"/>
      <c r="O30" s="249"/>
      <c r="P30" s="247"/>
      <c r="Q30" s="108" t="s">
        <v>156</v>
      </c>
    </row>
    <row r="31" spans="2:17">
      <c r="B31" s="257"/>
      <c r="C31" s="244" t="s">
        <v>43</v>
      </c>
      <c r="D31" s="157" t="s">
        <v>7</v>
      </c>
      <c r="E31" s="99">
        <v>79.5</v>
      </c>
      <c r="F31" s="99"/>
      <c r="G31" s="99">
        <f>E31+F31</f>
        <v>79.5</v>
      </c>
      <c r="H31" s="222"/>
      <c r="I31" s="99">
        <f t="shared" si="0"/>
        <v>79.5</v>
      </c>
      <c r="J31" s="27">
        <f t="shared" si="5"/>
        <v>0</v>
      </c>
      <c r="K31" s="250">
        <f>E31+E32</f>
        <v>83.697000000000003</v>
      </c>
      <c r="L31" s="249">
        <f>F31+F32</f>
        <v>0</v>
      </c>
      <c r="M31" s="249">
        <f>K31+L31</f>
        <v>83.697000000000003</v>
      </c>
      <c r="N31" s="249">
        <f>H31+H32</f>
        <v>0</v>
      </c>
      <c r="O31" s="249">
        <f>M31-N31</f>
        <v>83.697000000000003</v>
      </c>
      <c r="P31" s="247">
        <f>N31/M31</f>
        <v>0</v>
      </c>
      <c r="Q31" s="108" t="s">
        <v>156</v>
      </c>
    </row>
    <row r="32" spans="2:17">
      <c r="B32" s="257"/>
      <c r="C32" s="244"/>
      <c r="D32" s="157" t="s">
        <v>8</v>
      </c>
      <c r="E32" s="99">
        <v>4.1970000000000001</v>
      </c>
      <c r="F32" s="99"/>
      <c r="G32" s="99">
        <f>E32+F32+I31</f>
        <v>83.697000000000003</v>
      </c>
      <c r="H32" s="222"/>
      <c r="I32" s="99">
        <f t="shared" si="0"/>
        <v>83.697000000000003</v>
      </c>
      <c r="J32" s="27">
        <f t="shared" si="5"/>
        <v>0</v>
      </c>
      <c r="K32" s="250"/>
      <c r="L32" s="249"/>
      <c r="M32" s="249"/>
      <c r="N32" s="249"/>
      <c r="O32" s="249"/>
      <c r="P32" s="247"/>
      <c r="Q32" s="108" t="s">
        <v>156</v>
      </c>
    </row>
    <row r="33" spans="2:17">
      <c r="B33" s="257"/>
      <c r="C33" s="269" t="s">
        <v>41</v>
      </c>
      <c r="D33" s="157" t="s">
        <v>7</v>
      </c>
      <c r="E33" s="168">
        <v>445.822</v>
      </c>
      <c r="F33" s="99"/>
      <c r="G33" s="99">
        <f>E33+F33</f>
        <v>445.822</v>
      </c>
      <c r="H33" s="229">
        <v>52.231999999999999</v>
      </c>
      <c r="I33" s="99">
        <f t="shared" si="0"/>
        <v>393.59000000000003</v>
      </c>
      <c r="J33" s="27">
        <f t="shared" si="5"/>
        <v>0.11715886609453997</v>
      </c>
      <c r="K33" s="250">
        <f>E33+E34</f>
        <v>469.35700000000003</v>
      </c>
      <c r="L33" s="249">
        <f>F33+F34</f>
        <v>0</v>
      </c>
      <c r="M33" s="249">
        <f>K33+L33</f>
        <v>469.35700000000003</v>
      </c>
      <c r="N33" s="249">
        <f>H33+H34</f>
        <v>52.231999999999999</v>
      </c>
      <c r="O33" s="249">
        <f>M33-N33</f>
        <v>417.125</v>
      </c>
      <c r="P33" s="247">
        <f>N33/M33</f>
        <v>0.11128416109699013</v>
      </c>
      <c r="Q33" s="108" t="s">
        <v>156</v>
      </c>
    </row>
    <row r="34" spans="2:17" ht="15.75" thickBot="1">
      <c r="B34" s="258"/>
      <c r="C34" s="246"/>
      <c r="D34" s="18" t="s">
        <v>8</v>
      </c>
      <c r="E34" s="100">
        <v>23.535</v>
      </c>
      <c r="F34" s="100"/>
      <c r="G34" s="100">
        <f>E34+F34+I33</f>
        <v>417.12500000000006</v>
      </c>
      <c r="H34" s="221"/>
      <c r="I34" s="100">
        <f t="shared" si="0"/>
        <v>417.12500000000006</v>
      </c>
      <c r="J34" s="25">
        <f t="shared" si="5"/>
        <v>0</v>
      </c>
      <c r="K34" s="251"/>
      <c r="L34" s="261"/>
      <c r="M34" s="261"/>
      <c r="N34" s="261"/>
      <c r="O34" s="261"/>
      <c r="P34" s="252"/>
      <c r="Q34" s="109" t="s">
        <v>156</v>
      </c>
    </row>
    <row r="35" spans="2:17" ht="33.950000000000003" customHeight="1" thickBot="1">
      <c r="B35" s="40"/>
      <c r="C35" s="46"/>
      <c r="D35" s="42"/>
      <c r="E35" s="42"/>
      <c r="F35" s="42"/>
      <c r="G35" s="42"/>
      <c r="H35" s="42"/>
      <c r="I35" s="42"/>
      <c r="J35" s="43"/>
      <c r="K35" s="42"/>
      <c r="P35" s="44"/>
      <c r="Q35" s="62"/>
    </row>
    <row r="36" spans="2:17">
      <c r="B36" s="259" t="s">
        <v>58</v>
      </c>
      <c r="C36" s="245" t="s">
        <v>38</v>
      </c>
      <c r="D36" s="12" t="s">
        <v>7</v>
      </c>
      <c r="E36" s="151">
        <v>14</v>
      </c>
      <c r="F36" s="11"/>
      <c r="G36" s="11">
        <f>E36+F36</f>
        <v>14</v>
      </c>
      <c r="H36" s="228">
        <v>4.34</v>
      </c>
      <c r="I36" s="11">
        <f t="shared" si="0"/>
        <v>9.66</v>
      </c>
      <c r="J36" s="24">
        <f>H36/G36</f>
        <v>0.31</v>
      </c>
      <c r="K36" s="270">
        <f>E36+E37</f>
        <v>15</v>
      </c>
      <c r="L36" s="248">
        <f>F36+F37</f>
        <v>0</v>
      </c>
      <c r="M36" s="248">
        <f>K36+L36</f>
        <v>15</v>
      </c>
      <c r="N36" s="248">
        <f>H36+H37</f>
        <v>4.34</v>
      </c>
      <c r="O36" s="248">
        <f>M36-N36</f>
        <v>10.66</v>
      </c>
      <c r="P36" s="272">
        <f>N36/M36</f>
        <v>0.28933333333333333</v>
      </c>
      <c r="Q36" s="78" t="s">
        <v>156</v>
      </c>
    </row>
    <row r="37" spans="2:17" ht="15.75" thickBot="1">
      <c r="B37" s="258"/>
      <c r="C37" s="246"/>
      <c r="D37" s="8" t="s">
        <v>8</v>
      </c>
      <c r="E37" s="152">
        <v>1</v>
      </c>
      <c r="F37" s="100"/>
      <c r="G37" s="100">
        <f>E37+F37+I36</f>
        <v>10.66</v>
      </c>
      <c r="H37" s="216"/>
      <c r="I37" s="100">
        <f t="shared" si="0"/>
        <v>10.66</v>
      </c>
      <c r="J37" s="25">
        <f>H37/G37</f>
        <v>0</v>
      </c>
      <c r="K37" s="271"/>
      <c r="L37" s="261"/>
      <c r="M37" s="261"/>
      <c r="N37" s="261"/>
      <c r="O37" s="261"/>
      <c r="P37" s="273"/>
      <c r="Q37" s="79" t="s">
        <v>156</v>
      </c>
    </row>
    <row r="38" spans="2:17" ht="33.950000000000003" customHeight="1" thickBot="1">
      <c r="B38" s="40"/>
      <c r="C38" s="46"/>
      <c r="D38" s="42"/>
      <c r="E38" s="42"/>
      <c r="F38" s="42"/>
      <c r="G38" s="42"/>
      <c r="H38" s="42"/>
      <c r="I38" s="42"/>
      <c r="J38" s="43"/>
      <c r="K38" s="42"/>
      <c r="P38" s="44"/>
      <c r="Q38" s="62"/>
    </row>
    <row r="39" spans="2:17">
      <c r="B39" s="259" t="s">
        <v>57</v>
      </c>
      <c r="C39" s="245" t="s">
        <v>38</v>
      </c>
      <c r="D39" s="17" t="s">
        <v>7</v>
      </c>
      <c r="E39" s="151">
        <v>120</v>
      </c>
      <c r="F39" s="11"/>
      <c r="G39" s="11">
        <f>E39+F39</f>
        <v>120</v>
      </c>
      <c r="H39" s="228">
        <v>24.062999999999999</v>
      </c>
      <c r="I39" s="11">
        <f t="shared" si="0"/>
        <v>95.936999999999998</v>
      </c>
      <c r="J39" s="24">
        <f>H39/G39</f>
        <v>0.20052499999999998</v>
      </c>
      <c r="K39" s="270">
        <f>E39+E40</f>
        <v>126</v>
      </c>
      <c r="L39" s="248">
        <f>F39+F40</f>
        <v>0</v>
      </c>
      <c r="M39" s="248">
        <f>K39+L39</f>
        <v>126</v>
      </c>
      <c r="N39" s="248">
        <f>H39+H40</f>
        <v>24.062999999999999</v>
      </c>
      <c r="O39" s="248">
        <f>M39-N39</f>
        <v>101.937</v>
      </c>
      <c r="P39" s="272">
        <f>N39/M39</f>
        <v>0.19097619047619047</v>
      </c>
      <c r="Q39" s="78" t="s">
        <v>156</v>
      </c>
    </row>
    <row r="40" spans="2:17" ht="15.75" thickBot="1">
      <c r="B40" s="258"/>
      <c r="C40" s="246"/>
      <c r="D40" s="18" t="s">
        <v>8</v>
      </c>
      <c r="E40" s="152">
        <v>6</v>
      </c>
      <c r="F40" s="100"/>
      <c r="G40" s="100">
        <f>E40+F40+I39</f>
        <v>101.937</v>
      </c>
      <c r="H40" s="216"/>
      <c r="I40" s="100">
        <f t="shared" si="0"/>
        <v>101.937</v>
      </c>
      <c r="J40" s="25">
        <f>H40/G40</f>
        <v>0</v>
      </c>
      <c r="K40" s="271"/>
      <c r="L40" s="261"/>
      <c r="M40" s="261"/>
      <c r="N40" s="261"/>
      <c r="O40" s="261"/>
      <c r="P40" s="273"/>
      <c r="Q40" s="79" t="s">
        <v>156</v>
      </c>
    </row>
    <row r="41" spans="2:17" ht="33.950000000000003" customHeight="1" thickBot="1">
      <c r="B41" s="40"/>
      <c r="C41" s="46"/>
      <c r="D41" s="42"/>
      <c r="E41" s="42"/>
      <c r="F41" s="42"/>
      <c r="G41" s="42"/>
      <c r="H41" s="42"/>
      <c r="I41" s="42"/>
      <c r="J41" s="43"/>
      <c r="K41" s="42"/>
      <c r="P41" s="44"/>
      <c r="Q41" s="62"/>
    </row>
    <row r="42" spans="2:17">
      <c r="B42" s="259" t="s">
        <v>68</v>
      </c>
      <c r="C42" s="245" t="s">
        <v>38</v>
      </c>
      <c r="D42" s="12" t="s">
        <v>7</v>
      </c>
      <c r="E42" s="151">
        <v>7790</v>
      </c>
      <c r="F42" s="151"/>
      <c r="G42" s="11">
        <f>E42+F42</f>
        <v>7790</v>
      </c>
      <c r="H42" s="228">
        <v>9336.8189999999995</v>
      </c>
      <c r="I42" s="11">
        <f>G42-H42</f>
        <v>-1546.8189999999995</v>
      </c>
      <c r="J42" s="24">
        <f t="shared" ref="J42:J43" si="6">H42/G42</f>
        <v>1.1985646983311937</v>
      </c>
      <c r="K42" s="267">
        <f>E42+E43</f>
        <v>8200</v>
      </c>
      <c r="L42" s="248">
        <f>F42+F43</f>
        <v>0</v>
      </c>
      <c r="M42" s="248">
        <f>K42+L42</f>
        <v>8200</v>
      </c>
      <c r="N42" s="248">
        <f>H42+H43</f>
        <v>9336.8189999999995</v>
      </c>
      <c r="O42" s="248">
        <f>M42-N42</f>
        <v>-1136.8189999999995</v>
      </c>
      <c r="P42" s="268">
        <f>N42/M42</f>
        <v>1.138636463414634</v>
      </c>
      <c r="Q42" s="223">
        <v>43473</v>
      </c>
    </row>
    <row r="43" spans="2:17">
      <c r="B43" s="257"/>
      <c r="C43" s="269"/>
      <c r="D43" s="7" t="s">
        <v>8</v>
      </c>
      <c r="E43" s="153">
        <v>410</v>
      </c>
      <c r="F43" s="153"/>
      <c r="G43" s="99">
        <f>E43+F43+I42</f>
        <v>-1136.8189999999995</v>
      </c>
      <c r="H43" s="153"/>
      <c r="I43" s="99">
        <f t="shared" si="0"/>
        <v>-1136.8189999999995</v>
      </c>
      <c r="J43" s="27">
        <f t="shared" si="6"/>
        <v>0</v>
      </c>
      <c r="K43" s="250"/>
      <c r="L43" s="249"/>
      <c r="M43" s="249"/>
      <c r="N43" s="249"/>
      <c r="O43" s="249"/>
      <c r="P43" s="247"/>
      <c r="Q43" s="159">
        <v>43479</v>
      </c>
    </row>
    <row r="44" spans="2:17" ht="33.950000000000003" customHeight="1" thickBot="1">
      <c r="B44" s="40"/>
      <c r="C44" s="46"/>
      <c r="D44" s="42"/>
      <c r="E44" s="42"/>
      <c r="F44" s="42"/>
      <c r="G44" s="42"/>
      <c r="H44" s="42"/>
      <c r="I44" s="42"/>
      <c r="J44" s="43"/>
      <c r="K44" s="42"/>
      <c r="P44" s="44"/>
      <c r="Q44" s="62"/>
    </row>
    <row r="45" spans="2:17">
      <c r="B45" s="259" t="s">
        <v>56</v>
      </c>
      <c r="C45" s="245" t="s">
        <v>38</v>
      </c>
      <c r="D45" s="12" t="s">
        <v>7</v>
      </c>
      <c r="E45" s="151">
        <v>175</v>
      </c>
      <c r="F45" s="11"/>
      <c r="G45" s="11">
        <f>E45+F45</f>
        <v>175</v>
      </c>
      <c r="H45" s="228">
        <v>1.24</v>
      </c>
      <c r="I45" s="11">
        <f t="shared" si="0"/>
        <v>173.76</v>
      </c>
      <c r="J45" s="24">
        <f>H45/G45</f>
        <v>7.0857142857142855E-3</v>
      </c>
      <c r="K45" s="270">
        <f>E45+E46</f>
        <v>185</v>
      </c>
      <c r="L45" s="248">
        <f>F45+F46</f>
        <v>0</v>
      </c>
      <c r="M45" s="248">
        <f>K45+L45</f>
        <v>185</v>
      </c>
      <c r="N45" s="248">
        <f>H45+H46</f>
        <v>1.24</v>
      </c>
      <c r="O45" s="248">
        <f>M45-N45</f>
        <v>183.76</v>
      </c>
      <c r="P45" s="272">
        <f>N45/M45</f>
        <v>6.7027027027027029E-3</v>
      </c>
      <c r="Q45" s="78" t="s">
        <v>156</v>
      </c>
    </row>
    <row r="46" spans="2:17" ht="15.75" thickBot="1">
      <c r="B46" s="258"/>
      <c r="C46" s="246"/>
      <c r="D46" s="8" t="s">
        <v>8</v>
      </c>
      <c r="E46" s="152">
        <v>10</v>
      </c>
      <c r="F46" s="100"/>
      <c r="G46" s="100">
        <f>E46+F46+I45</f>
        <v>183.76</v>
      </c>
      <c r="H46" s="100"/>
      <c r="I46" s="100">
        <f t="shared" si="0"/>
        <v>183.76</v>
      </c>
      <c r="J46" s="25">
        <f>H46/G46</f>
        <v>0</v>
      </c>
      <c r="K46" s="271"/>
      <c r="L46" s="261"/>
      <c r="M46" s="261"/>
      <c r="N46" s="261"/>
      <c r="O46" s="261"/>
      <c r="P46" s="273"/>
      <c r="Q46" s="79" t="s">
        <v>156</v>
      </c>
    </row>
    <row r="47" spans="2:17" ht="33.950000000000003" customHeight="1" thickBot="1">
      <c r="B47" s="40"/>
      <c r="C47" s="46"/>
      <c r="D47" s="42"/>
      <c r="E47" s="42"/>
      <c r="F47" s="42"/>
      <c r="G47" s="42"/>
      <c r="H47" s="42"/>
      <c r="I47" s="42"/>
      <c r="J47" s="43"/>
      <c r="K47" s="42"/>
      <c r="P47" s="44"/>
      <c r="Q47" s="62"/>
    </row>
    <row r="48" spans="2:17">
      <c r="B48" s="259" t="s">
        <v>55</v>
      </c>
      <c r="C48" s="245" t="s">
        <v>38</v>
      </c>
      <c r="D48" s="12" t="s">
        <v>7</v>
      </c>
      <c r="E48" s="151">
        <v>911</v>
      </c>
      <c r="F48" s="11"/>
      <c r="G48" s="11">
        <f>E48+F48</f>
        <v>911</v>
      </c>
      <c r="H48" s="228"/>
      <c r="I48" s="11">
        <f t="shared" si="0"/>
        <v>911</v>
      </c>
      <c r="J48" s="24">
        <f>H48/G48</f>
        <v>0</v>
      </c>
      <c r="K48" s="270">
        <f>E48+E49</f>
        <v>959</v>
      </c>
      <c r="L48" s="248">
        <f>F48+F49</f>
        <v>0</v>
      </c>
      <c r="M48" s="248">
        <f>K48+L48</f>
        <v>959</v>
      </c>
      <c r="N48" s="248">
        <f>H48+H49</f>
        <v>0</v>
      </c>
      <c r="O48" s="248">
        <f>M48-N48</f>
        <v>959</v>
      </c>
      <c r="P48" s="272">
        <f>N48/M48</f>
        <v>0</v>
      </c>
      <c r="Q48" s="78" t="s">
        <v>156</v>
      </c>
    </row>
    <row r="49" spans="2:17" ht="15.75" thickBot="1">
      <c r="B49" s="258"/>
      <c r="C49" s="246"/>
      <c r="D49" s="8" t="s">
        <v>8</v>
      </c>
      <c r="E49" s="152">
        <v>48</v>
      </c>
      <c r="F49" s="100"/>
      <c r="G49" s="100">
        <f>E49+F49+I48</f>
        <v>959</v>
      </c>
      <c r="H49" s="221"/>
      <c r="I49" s="100">
        <f t="shared" si="0"/>
        <v>959</v>
      </c>
      <c r="J49" s="25">
        <f>H49/G49</f>
        <v>0</v>
      </c>
      <c r="K49" s="271"/>
      <c r="L49" s="261"/>
      <c r="M49" s="261"/>
      <c r="N49" s="261"/>
      <c r="O49" s="261"/>
      <c r="P49" s="273"/>
      <c r="Q49" s="79" t="s">
        <v>156</v>
      </c>
    </row>
    <row r="50" spans="2:17" ht="33.950000000000003" customHeight="1" thickBot="1">
      <c r="B50" s="40"/>
      <c r="C50" s="46"/>
      <c r="D50" s="42"/>
      <c r="E50" s="42"/>
      <c r="F50" s="42"/>
      <c r="G50" s="42"/>
      <c r="H50" s="42"/>
      <c r="I50" s="42"/>
      <c r="J50" s="43"/>
      <c r="K50" s="42"/>
      <c r="P50" s="44"/>
      <c r="Q50" s="62"/>
    </row>
    <row r="51" spans="2:17">
      <c r="B51" s="259" t="s">
        <v>54</v>
      </c>
      <c r="C51" s="243" t="s">
        <v>47</v>
      </c>
      <c r="D51" s="12" t="s">
        <v>7</v>
      </c>
      <c r="E51" s="151">
        <v>93.293999999999997</v>
      </c>
      <c r="F51" s="151"/>
      <c r="G51" s="11">
        <f>E51+F51</f>
        <v>93.293999999999997</v>
      </c>
      <c r="H51" s="220"/>
      <c r="I51" s="11">
        <f t="shared" ref="I51:I56" si="7">G51-H51</f>
        <v>93.293999999999997</v>
      </c>
      <c r="J51" s="24">
        <f>H51/G51</f>
        <v>0</v>
      </c>
      <c r="K51" s="267">
        <f>E51+E52</f>
        <v>98.206999999999994</v>
      </c>
      <c r="L51" s="248">
        <f>F51+F52</f>
        <v>0</v>
      </c>
      <c r="M51" s="248">
        <f>K51+L51</f>
        <v>98.206999999999994</v>
      </c>
      <c r="N51" s="248">
        <f>H51+H52</f>
        <v>0</v>
      </c>
      <c r="O51" s="248">
        <f>M51-N51</f>
        <v>98.206999999999994</v>
      </c>
      <c r="P51" s="268">
        <f>N51/M51</f>
        <v>0</v>
      </c>
      <c r="Q51" s="162" t="s">
        <v>156</v>
      </c>
    </row>
    <row r="52" spans="2:17">
      <c r="B52" s="257"/>
      <c r="C52" s="244"/>
      <c r="D52" s="7" t="s">
        <v>8</v>
      </c>
      <c r="E52" s="153">
        <v>4.9130000000000003</v>
      </c>
      <c r="F52" s="153"/>
      <c r="G52" s="99">
        <f>E52+F52+I51</f>
        <v>98.206999999999994</v>
      </c>
      <c r="H52" s="222"/>
      <c r="I52" s="99">
        <f t="shared" si="7"/>
        <v>98.206999999999994</v>
      </c>
      <c r="J52" s="27">
        <f>H52/G52</f>
        <v>0</v>
      </c>
      <c r="K52" s="250"/>
      <c r="L52" s="249"/>
      <c r="M52" s="249"/>
      <c r="N52" s="249"/>
      <c r="O52" s="249"/>
      <c r="P52" s="247"/>
      <c r="Q52" s="108" t="s">
        <v>156</v>
      </c>
    </row>
    <row r="53" spans="2:17">
      <c r="B53" s="257"/>
      <c r="C53" s="244" t="s">
        <v>48</v>
      </c>
      <c r="D53" s="7" t="s">
        <v>7</v>
      </c>
      <c r="E53" s="153">
        <v>440.75599999999997</v>
      </c>
      <c r="F53" s="153"/>
      <c r="G53" s="99">
        <f>E53+F53</f>
        <v>440.75599999999997</v>
      </c>
      <c r="H53" s="229">
        <v>50.19</v>
      </c>
      <c r="I53" s="99">
        <f t="shared" si="7"/>
        <v>390.56599999999997</v>
      </c>
      <c r="J53" s="27">
        <f t="shared" ref="J53:J68" si="8">H53/G53</f>
        <v>0.11387252811079146</v>
      </c>
      <c r="K53" s="250">
        <f>E53+E54</f>
        <v>463.96899999999999</v>
      </c>
      <c r="L53" s="249">
        <f>F53+F54</f>
        <v>0</v>
      </c>
      <c r="M53" s="249">
        <f>K53+L53</f>
        <v>463.96899999999999</v>
      </c>
      <c r="N53" s="249">
        <f>H53+H54</f>
        <v>50.19</v>
      </c>
      <c r="O53" s="249">
        <f>M53-N53</f>
        <v>413.779</v>
      </c>
      <c r="P53" s="247">
        <f>N53/M53</f>
        <v>0.1081753306794204</v>
      </c>
      <c r="Q53" s="108" t="s">
        <v>156</v>
      </c>
    </row>
    <row r="54" spans="2:17">
      <c r="B54" s="257"/>
      <c r="C54" s="244"/>
      <c r="D54" s="7" t="s">
        <v>8</v>
      </c>
      <c r="E54" s="153">
        <v>23.213000000000001</v>
      </c>
      <c r="F54" s="153"/>
      <c r="G54" s="99">
        <f>E54+F54+I53</f>
        <v>413.779</v>
      </c>
      <c r="H54" s="222"/>
      <c r="I54" s="99">
        <f t="shared" si="7"/>
        <v>413.779</v>
      </c>
      <c r="J54" s="27">
        <f t="shared" si="8"/>
        <v>0</v>
      </c>
      <c r="K54" s="250"/>
      <c r="L54" s="249"/>
      <c r="M54" s="249"/>
      <c r="N54" s="249"/>
      <c r="O54" s="249"/>
      <c r="P54" s="247"/>
      <c r="Q54" s="108" t="s">
        <v>156</v>
      </c>
    </row>
    <row r="55" spans="2:17">
      <c r="B55" s="257"/>
      <c r="C55" s="244" t="s">
        <v>49</v>
      </c>
      <c r="D55" s="7" t="s">
        <v>7</v>
      </c>
      <c r="E55" s="153">
        <v>2690.7</v>
      </c>
      <c r="F55" s="153"/>
      <c r="G55" s="99">
        <f>E55+F55</f>
        <v>2690.7</v>
      </c>
      <c r="H55" s="65">
        <v>65.27</v>
      </c>
      <c r="I55" s="99">
        <f t="shared" si="7"/>
        <v>2625.43</v>
      </c>
      <c r="J55" s="27">
        <f t="shared" si="8"/>
        <v>2.425762812650983E-2</v>
      </c>
      <c r="K55" s="250">
        <f>E55+E56</f>
        <v>2832.4089999999997</v>
      </c>
      <c r="L55" s="249">
        <f>F55+F56</f>
        <v>0</v>
      </c>
      <c r="M55" s="249">
        <f>K55+L55</f>
        <v>2832.4089999999997</v>
      </c>
      <c r="N55" s="249">
        <f>H55+H56</f>
        <v>65.27</v>
      </c>
      <c r="O55" s="249">
        <f>M55-N55</f>
        <v>2767.1389999999997</v>
      </c>
      <c r="P55" s="247">
        <f>N55/M55</f>
        <v>2.3043988350552481E-2</v>
      </c>
      <c r="Q55" s="108" t="s">
        <v>156</v>
      </c>
    </row>
    <row r="56" spans="2:17">
      <c r="B56" s="257"/>
      <c r="C56" s="244"/>
      <c r="D56" s="7" t="s">
        <v>8</v>
      </c>
      <c r="E56" s="153">
        <v>141.709</v>
      </c>
      <c r="F56" s="153"/>
      <c r="G56" s="99">
        <f>E56+F56+I55</f>
        <v>2767.1389999999997</v>
      </c>
      <c r="H56" s="222"/>
      <c r="I56" s="99">
        <f t="shared" si="7"/>
        <v>2767.1389999999997</v>
      </c>
      <c r="J56" s="27">
        <f t="shared" si="8"/>
        <v>0</v>
      </c>
      <c r="K56" s="250"/>
      <c r="L56" s="249"/>
      <c r="M56" s="249"/>
      <c r="N56" s="249"/>
      <c r="O56" s="249"/>
      <c r="P56" s="247"/>
      <c r="Q56" s="108" t="s">
        <v>156</v>
      </c>
    </row>
    <row r="57" spans="2:17">
      <c r="B57" s="257"/>
      <c r="C57" s="244" t="s">
        <v>50</v>
      </c>
      <c r="D57" s="7" t="s">
        <v>7</v>
      </c>
      <c r="E57" s="153">
        <v>449.62599999999998</v>
      </c>
      <c r="F57" s="153"/>
      <c r="G57" s="99">
        <f>E57+F57</f>
        <v>449.62599999999998</v>
      </c>
      <c r="H57" s="222"/>
      <c r="I57" s="99">
        <f t="shared" si="0"/>
        <v>449.62599999999998</v>
      </c>
      <c r="J57" s="27">
        <f>H57/G57</f>
        <v>0</v>
      </c>
      <c r="K57" s="250">
        <f>E57+E58</f>
        <v>473.30599999999998</v>
      </c>
      <c r="L57" s="249">
        <f>F57+F58</f>
        <v>0</v>
      </c>
      <c r="M57" s="249">
        <f>K57+L57</f>
        <v>473.30599999999998</v>
      </c>
      <c r="N57" s="249">
        <f>H57+H58</f>
        <v>0</v>
      </c>
      <c r="O57" s="249">
        <f>M57-N57</f>
        <v>473.30599999999998</v>
      </c>
      <c r="P57" s="247">
        <f>((N57+L57)/K57)*-1</f>
        <v>0</v>
      </c>
      <c r="Q57" s="108" t="s">
        <v>156</v>
      </c>
    </row>
    <row r="58" spans="2:17" ht="12" customHeight="1">
      <c r="B58" s="257"/>
      <c r="C58" s="244"/>
      <c r="D58" s="7" t="s">
        <v>8</v>
      </c>
      <c r="E58" s="153">
        <v>23.68</v>
      </c>
      <c r="F58" s="153"/>
      <c r="G58" s="99">
        <f>E58+F58+I57</f>
        <v>473.30599999999998</v>
      </c>
      <c r="H58" s="222"/>
      <c r="I58" s="99">
        <f t="shared" si="0"/>
        <v>473.30599999999998</v>
      </c>
      <c r="J58" s="27">
        <f>H58/G58</f>
        <v>0</v>
      </c>
      <c r="K58" s="250"/>
      <c r="L58" s="249"/>
      <c r="M58" s="249"/>
      <c r="N58" s="249"/>
      <c r="O58" s="249"/>
      <c r="P58" s="247"/>
      <c r="Q58" s="108" t="s">
        <v>156</v>
      </c>
    </row>
    <row r="59" spans="2:17">
      <c r="B59" s="257"/>
      <c r="C59" s="244" t="s">
        <v>51</v>
      </c>
      <c r="D59" s="7" t="s">
        <v>7</v>
      </c>
      <c r="E59" s="153">
        <v>1425.646</v>
      </c>
      <c r="F59" s="153"/>
      <c r="G59" s="99">
        <f>E59+F59</f>
        <v>1425.646</v>
      </c>
      <c r="H59" s="222"/>
      <c r="I59" s="99">
        <f t="shared" si="0"/>
        <v>1425.646</v>
      </c>
      <c r="J59" s="27">
        <f t="shared" si="8"/>
        <v>0</v>
      </c>
      <c r="K59" s="250">
        <f>E59+E60</f>
        <v>1500.729</v>
      </c>
      <c r="L59" s="249">
        <f>F59+F60</f>
        <v>0</v>
      </c>
      <c r="M59" s="249">
        <f>K59+L59</f>
        <v>1500.729</v>
      </c>
      <c r="N59" s="249">
        <f>H59+H60</f>
        <v>0</v>
      </c>
      <c r="O59" s="249">
        <f>M59-N59</f>
        <v>1500.729</v>
      </c>
      <c r="P59" s="247">
        <f>N59/M59</f>
        <v>0</v>
      </c>
      <c r="Q59" s="108" t="s">
        <v>156</v>
      </c>
    </row>
    <row r="60" spans="2:17">
      <c r="B60" s="257"/>
      <c r="C60" s="244"/>
      <c r="D60" s="7" t="s">
        <v>8</v>
      </c>
      <c r="E60" s="153">
        <v>75.082999999999998</v>
      </c>
      <c r="F60" s="153"/>
      <c r="G60" s="99">
        <f>E60+F60+I59</f>
        <v>1500.729</v>
      </c>
      <c r="H60" s="222"/>
      <c r="I60" s="99">
        <f t="shared" si="0"/>
        <v>1500.729</v>
      </c>
      <c r="J60" s="27">
        <f t="shared" si="8"/>
        <v>0</v>
      </c>
      <c r="K60" s="250"/>
      <c r="L60" s="249"/>
      <c r="M60" s="249"/>
      <c r="N60" s="249"/>
      <c r="O60" s="249"/>
      <c r="P60" s="247"/>
      <c r="Q60" s="108" t="s">
        <v>156</v>
      </c>
    </row>
    <row r="61" spans="2:17">
      <c r="B61" s="257"/>
      <c r="C61" s="244" t="s">
        <v>52</v>
      </c>
      <c r="D61" s="7" t="s">
        <v>7</v>
      </c>
      <c r="E61" s="153">
        <v>2.3660000000000001</v>
      </c>
      <c r="F61" s="153"/>
      <c r="G61" s="99">
        <f>E61+F61</f>
        <v>2.3660000000000001</v>
      </c>
      <c r="H61" s="222"/>
      <c r="I61" s="99">
        <f t="shared" si="0"/>
        <v>2.3660000000000001</v>
      </c>
      <c r="J61" s="27">
        <f t="shared" si="8"/>
        <v>0</v>
      </c>
      <c r="K61" s="250">
        <f>E61+E62</f>
        <v>2.4910000000000001</v>
      </c>
      <c r="L61" s="249">
        <f>F61+F62</f>
        <v>0</v>
      </c>
      <c r="M61" s="249">
        <f>K61+L61</f>
        <v>2.4910000000000001</v>
      </c>
      <c r="N61" s="249">
        <f>H61+H62</f>
        <v>0</v>
      </c>
      <c r="O61" s="249">
        <f>M61-N61</f>
        <v>2.4910000000000001</v>
      </c>
      <c r="P61" s="247">
        <f>N61/M61</f>
        <v>0</v>
      </c>
      <c r="Q61" s="108" t="s">
        <v>156</v>
      </c>
    </row>
    <row r="62" spans="2:17">
      <c r="B62" s="257"/>
      <c r="C62" s="244"/>
      <c r="D62" s="7" t="s">
        <v>8</v>
      </c>
      <c r="E62" s="153">
        <v>0.125</v>
      </c>
      <c r="F62" s="153"/>
      <c r="G62" s="99">
        <f>E62+F62+I61</f>
        <v>2.4910000000000001</v>
      </c>
      <c r="H62" s="222"/>
      <c r="I62" s="99">
        <f t="shared" si="0"/>
        <v>2.4910000000000001</v>
      </c>
      <c r="J62" s="27">
        <f t="shared" si="8"/>
        <v>0</v>
      </c>
      <c r="K62" s="250"/>
      <c r="L62" s="249"/>
      <c r="M62" s="249"/>
      <c r="N62" s="249"/>
      <c r="O62" s="249"/>
      <c r="P62" s="247"/>
      <c r="Q62" s="108" t="s">
        <v>156</v>
      </c>
    </row>
    <row r="63" spans="2:17" ht="15" customHeight="1">
      <c r="B63" s="257"/>
      <c r="C63" s="244" t="s">
        <v>53</v>
      </c>
      <c r="D63" s="7" t="s">
        <v>7</v>
      </c>
      <c r="E63" s="153">
        <v>677.51599999999996</v>
      </c>
      <c r="F63" s="153">
        <v>-713.13099999999997</v>
      </c>
      <c r="G63" s="99">
        <f>E63+F63</f>
        <v>-35.615000000000009</v>
      </c>
      <c r="H63" s="222"/>
      <c r="I63" s="99">
        <f t="shared" si="0"/>
        <v>-35.615000000000009</v>
      </c>
      <c r="J63" s="27">
        <f t="shared" si="8"/>
        <v>0</v>
      </c>
      <c r="K63" s="250">
        <f>E63+E64</f>
        <v>713.19799999999998</v>
      </c>
      <c r="L63" s="249">
        <f>F63+F64</f>
        <v>-713.13099999999997</v>
      </c>
      <c r="M63" s="249">
        <f>K63+L63</f>
        <v>6.7000000000007276E-2</v>
      </c>
      <c r="N63" s="249">
        <f>H63+H64</f>
        <v>0</v>
      </c>
      <c r="O63" s="249">
        <f>M63-N63</f>
        <v>6.7000000000007276E-2</v>
      </c>
      <c r="P63" s="247">
        <f>N63/M63</f>
        <v>0</v>
      </c>
      <c r="Q63" s="108" t="s">
        <v>156</v>
      </c>
    </row>
    <row r="64" spans="2:17">
      <c r="B64" s="257"/>
      <c r="C64" s="244"/>
      <c r="D64" s="7" t="s">
        <v>8</v>
      </c>
      <c r="E64" s="153">
        <v>35.682000000000002</v>
      </c>
      <c r="F64" s="153"/>
      <c r="G64" s="99">
        <f>E64+F64+I63</f>
        <v>6.6999999999993065E-2</v>
      </c>
      <c r="H64" s="222"/>
      <c r="I64" s="99">
        <f t="shared" si="0"/>
        <v>6.6999999999993065E-2</v>
      </c>
      <c r="J64" s="27">
        <f t="shared" si="8"/>
        <v>0</v>
      </c>
      <c r="K64" s="250"/>
      <c r="L64" s="249"/>
      <c r="M64" s="249"/>
      <c r="N64" s="249"/>
      <c r="O64" s="249"/>
      <c r="P64" s="247"/>
      <c r="Q64" s="108" t="s">
        <v>156</v>
      </c>
    </row>
    <row r="65" spans="2:17">
      <c r="B65" s="257"/>
      <c r="C65" s="244" t="s">
        <v>215</v>
      </c>
      <c r="D65" s="7" t="s">
        <v>7</v>
      </c>
      <c r="E65" s="153">
        <v>90.896000000000001</v>
      </c>
      <c r="F65" s="153"/>
      <c r="G65" s="99">
        <f>E65+F65</f>
        <v>90.896000000000001</v>
      </c>
      <c r="H65" s="222"/>
      <c r="I65" s="99">
        <f t="shared" si="0"/>
        <v>90.896000000000001</v>
      </c>
      <c r="J65" s="27">
        <f t="shared" si="8"/>
        <v>0</v>
      </c>
      <c r="K65" s="250">
        <f>E65+E66</f>
        <v>95.683000000000007</v>
      </c>
      <c r="L65" s="249">
        <f>F65+F66</f>
        <v>0</v>
      </c>
      <c r="M65" s="249">
        <f>K65+L65</f>
        <v>95.683000000000007</v>
      </c>
      <c r="N65" s="249">
        <f>H65+H66</f>
        <v>0</v>
      </c>
      <c r="O65" s="249">
        <f>M65-N65</f>
        <v>95.683000000000007</v>
      </c>
      <c r="P65" s="247">
        <f>N65/M65</f>
        <v>0</v>
      </c>
      <c r="Q65" s="108" t="s">
        <v>156</v>
      </c>
    </row>
    <row r="66" spans="2:17">
      <c r="B66" s="257"/>
      <c r="C66" s="244"/>
      <c r="D66" s="7" t="s">
        <v>8</v>
      </c>
      <c r="E66" s="153">
        <v>4.7869999999999999</v>
      </c>
      <c r="F66" s="153"/>
      <c r="G66" s="99">
        <f>E66+F66+I65</f>
        <v>95.683000000000007</v>
      </c>
      <c r="H66" s="222"/>
      <c r="I66" s="99">
        <f t="shared" si="0"/>
        <v>95.683000000000007</v>
      </c>
      <c r="J66" s="27">
        <f t="shared" si="8"/>
        <v>0</v>
      </c>
      <c r="K66" s="250"/>
      <c r="L66" s="249"/>
      <c r="M66" s="249"/>
      <c r="N66" s="249"/>
      <c r="O66" s="249"/>
      <c r="P66" s="247"/>
      <c r="Q66" s="108" t="s">
        <v>156</v>
      </c>
    </row>
    <row r="67" spans="2:17">
      <c r="B67" s="257"/>
      <c r="C67" s="244" t="s">
        <v>41</v>
      </c>
      <c r="D67" s="7" t="s">
        <v>7</v>
      </c>
      <c r="E67" s="153">
        <v>224.19900000000001</v>
      </c>
      <c r="F67" s="153"/>
      <c r="G67" s="99">
        <f>E67+F67</f>
        <v>224.19900000000001</v>
      </c>
      <c r="H67" s="229">
        <v>16.350000000000001</v>
      </c>
      <c r="I67" s="99">
        <f t="shared" si="0"/>
        <v>207.84900000000002</v>
      </c>
      <c r="J67" s="27">
        <f t="shared" si="8"/>
        <v>7.2926284238555933E-2</v>
      </c>
      <c r="K67" s="250">
        <f>E67+E68</f>
        <v>236.00700000000001</v>
      </c>
      <c r="L67" s="249">
        <f>F67+F68</f>
        <v>0</v>
      </c>
      <c r="M67" s="249">
        <f>K67+L67</f>
        <v>236.00700000000001</v>
      </c>
      <c r="N67" s="249">
        <f>H67+H68</f>
        <v>16.350000000000001</v>
      </c>
      <c r="O67" s="249">
        <f>M67-N67</f>
        <v>219.65700000000001</v>
      </c>
      <c r="P67" s="247">
        <f>N67/M67</f>
        <v>6.9277606172698278E-2</v>
      </c>
      <c r="Q67" s="108" t="s">
        <v>156</v>
      </c>
    </row>
    <row r="68" spans="2:17" ht="15.75" thickBot="1">
      <c r="B68" s="258"/>
      <c r="C68" s="260"/>
      <c r="D68" s="8" t="s">
        <v>8</v>
      </c>
      <c r="E68" s="152">
        <v>11.808</v>
      </c>
      <c r="F68" s="152"/>
      <c r="G68" s="100">
        <f>E68+F68+I67</f>
        <v>219.65700000000001</v>
      </c>
      <c r="H68" s="221"/>
      <c r="I68" s="100">
        <f t="shared" si="0"/>
        <v>219.65700000000001</v>
      </c>
      <c r="J68" s="25">
        <f t="shared" si="8"/>
        <v>0</v>
      </c>
      <c r="K68" s="251"/>
      <c r="L68" s="261"/>
      <c r="M68" s="261"/>
      <c r="N68" s="261"/>
      <c r="O68" s="261"/>
      <c r="P68" s="252"/>
      <c r="Q68" s="109" t="s">
        <v>156</v>
      </c>
    </row>
    <row r="69" spans="2:17" ht="33.950000000000003" customHeight="1">
      <c r="C69" s="46"/>
      <c r="D69" s="42"/>
      <c r="E69" s="42"/>
      <c r="F69" s="42"/>
      <c r="G69" s="42"/>
      <c r="H69" s="42"/>
      <c r="I69" s="42"/>
      <c r="J69" s="43"/>
      <c r="K69" s="42"/>
      <c r="P69" s="44"/>
      <c r="Q69" s="62"/>
    </row>
    <row r="70" spans="2:17" ht="12.75" customHeight="1">
      <c r="B70" s="46"/>
      <c r="E70" s="42"/>
      <c r="F70" s="42"/>
      <c r="G70" s="42"/>
      <c r="H70" s="42"/>
      <c r="I70" s="42"/>
      <c r="J70" s="43"/>
      <c r="K70" s="42"/>
      <c r="P70" s="44"/>
      <c r="Q70" s="62"/>
    </row>
    <row r="71" spans="2:17" ht="16.5" customHeight="1" thickBot="1">
      <c r="C71" s="46"/>
      <c r="D71" s="42"/>
      <c r="E71" s="42"/>
      <c r="F71" s="42"/>
      <c r="G71" s="42"/>
      <c r="H71" s="42"/>
      <c r="I71" s="42"/>
      <c r="J71" s="43"/>
      <c r="K71" s="42"/>
      <c r="P71" s="44"/>
      <c r="Q71" s="62"/>
    </row>
    <row r="72" spans="2:17" ht="15.75" thickBot="1">
      <c r="B72" s="19" t="s">
        <v>67</v>
      </c>
      <c r="C72" s="22" t="s">
        <v>66</v>
      </c>
      <c r="D72" s="16" t="s">
        <v>65</v>
      </c>
      <c r="E72" s="14">
        <v>327</v>
      </c>
      <c r="F72" s="15"/>
      <c r="G72" s="15">
        <f>E72+F72</f>
        <v>327</v>
      </c>
      <c r="H72" s="14">
        <v>40.195999999999998</v>
      </c>
      <c r="I72" s="14">
        <f>G72-H72</f>
        <v>286.80399999999997</v>
      </c>
      <c r="J72" s="28">
        <f>H72/G72</f>
        <v>0.12292354740061162</v>
      </c>
      <c r="K72" s="29">
        <f>E72</f>
        <v>327</v>
      </c>
      <c r="L72" s="30">
        <f>F72</f>
        <v>0</v>
      </c>
      <c r="M72" s="30">
        <f>K72+L72</f>
        <v>327</v>
      </c>
      <c r="N72" s="30">
        <f>H72</f>
        <v>40.195999999999998</v>
      </c>
      <c r="O72" s="30">
        <f>M72-N72</f>
        <v>286.80399999999997</v>
      </c>
      <c r="P72" s="31">
        <f>N72/M72</f>
        <v>0.12292354740061162</v>
      </c>
      <c r="Q72" s="80" t="s">
        <v>156</v>
      </c>
    </row>
    <row r="73" spans="2:17" ht="15.75" thickBot="1">
      <c r="C73" s="46"/>
      <c r="J73" s="47"/>
      <c r="P73" s="44"/>
      <c r="Q73" s="62"/>
    </row>
    <row r="74" spans="2:17" ht="15.75" thickBot="1">
      <c r="B74" s="19" t="s">
        <v>71</v>
      </c>
      <c r="C74" s="22" t="s">
        <v>72</v>
      </c>
      <c r="D74" s="20" t="s">
        <v>65</v>
      </c>
      <c r="E74" s="15">
        <v>153</v>
      </c>
      <c r="F74" s="15"/>
      <c r="G74" s="15">
        <f>E74+F74</f>
        <v>153</v>
      </c>
      <c r="H74" s="14">
        <v>5.1280000000000001</v>
      </c>
      <c r="I74" s="15">
        <f>G74-H74</f>
        <v>147.87200000000001</v>
      </c>
      <c r="J74" s="26">
        <f>H74/G74</f>
        <v>3.3516339869281049E-2</v>
      </c>
      <c r="K74" s="29">
        <f>E74</f>
        <v>153</v>
      </c>
      <c r="L74" s="30">
        <f>F74</f>
        <v>0</v>
      </c>
      <c r="M74" s="30">
        <f>K74+L74</f>
        <v>153</v>
      </c>
      <c r="N74" s="30">
        <f>H74</f>
        <v>5.1280000000000001</v>
      </c>
      <c r="O74" s="30">
        <f>M74-N74</f>
        <v>147.87200000000001</v>
      </c>
      <c r="P74" s="31">
        <f>N74/M74</f>
        <v>3.3516339869281049E-2</v>
      </c>
      <c r="Q74" s="80" t="s">
        <v>156</v>
      </c>
    </row>
    <row r="76" spans="2:17" ht="15" customHeight="1"/>
    <row r="80" spans="2:17">
      <c r="C80" s="51"/>
    </row>
    <row r="81" spans="3:3">
      <c r="C81" s="51"/>
    </row>
    <row r="82" spans="3:3">
      <c r="C82" s="51"/>
    </row>
    <row r="83" spans="3:3">
      <c r="C83" s="51"/>
    </row>
    <row r="84" spans="3:3">
      <c r="C84" s="51"/>
    </row>
    <row r="85" spans="3:3">
      <c r="C85" s="51"/>
    </row>
  </sheetData>
  <mergeCells count="193">
    <mergeCell ref="B3:Q3"/>
    <mergeCell ref="K51:K52"/>
    <mergeCell ref="K53:K54"/>
    <mergeCell ref="M42:M43"/>
    <mergeCell ref="N42:N43"/>
    <mergeCell ref="P39:P40"/>
    <mergeCell ref="B2:Q2"/>
    <mergeCell ref="O67:O68"/>
    <mergeCell ref="P67:P68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P57:P58"/>
    <mergeCell ref="P48:P49"/>
    <mergeCell ref="O57:O58"/>
    <mergeCell ref="K36:K37"/>
    <mergeCell ref="L36:L37"/>
    <mergeCell ref="M36:M37"/>
    <mergeCell ref="N36:N37"/>
    <mergeCell ref="O36:O37"/>
    <mergeCell ref="P36:P37"/>
    <mergeCell ref="P53:P54"/>
    <mergeCell ref="N53:N54"/>
    <mergeCell ref="N67:N68"/>
    <mergeCell ref="K65:K66"/>
    <mergeCell ref="L65:L66"/>
    <mergeCell ref="M65:M66"/>
    <mergeCell ref="N65:N66"/>
    <mergeCell ref="K63:K64"/>
    <mergeCell ref="K67:K68"/>
    <mergeCell ref="N57:N58"/>
    <mergeCell ref="K61:K62"/>
    <mergeCell ref="L67:L68"/>
    <mergeCell ref="M67:M68"/>
    <mergeCell ref="N61:N62"/>
    <mergeCell ref="L59:L60"/>
    <mergeCell ref="K57:K58"/>
    <mergeCell ref="L61:L62"/>
    <mergeCell ref="M61:M62"/>
    <mergeCell ref="O65:O66"/>
    <mergeCell ref="P65:P66"/>
    <mergeCell ref="K45:K46"/>
    <mergeCell ref="L45:L46"/>
    <mergeCell ref="K39:K40"/>
    <mergeCell ref="P45:P46"/>
    <mergeCell ref="P42:P43"/>
    <mergeCell ref="O53:O54"/>
    <mergeCell ref="L51:L52"/>
    <mergeCell ref="M51:M52"/>
    <mergeCell ref="K42:K43"/>
    <mergeCell ref="L42:L43"/>
    <mergeCell ref="K59:K60"/>
    <mergeCell ref="N51:N52"/>
    <mergeCell ref="L55:L56"/>
    <mergeCell ref="M55:M56"/>
    <mergeCell ref="N55:N56"/>
    <mergeCell ref="K55:K56"/>
    <mergeCell ref="P59:P60"/>
    <mergeCell ref="O51:O52"/>
    <mergeCell ref="P51:P52"/>
    <mergeCell ref="L53:L54"/>
    <mergeCell ref="M53:M54"/>
    <mergeCell ref="O61:O62"/>
    <mergeCell ref="C53:C54"/>
    <mergeCell ref="C55:C56"/>
    <mergeCell ref="B42:B43"/>
    <mergeCell ref="B39:B40"/>
    <mergeCell ref="C39:C40"/>
    <mergeCell ref="C42:C43"/>
    <mergeCell ref="C51:C52"/>
    <mergeCell ref="B51:B68"/>
    <mergeCell ref="C65:C66"/>
    <mergeCell ref="C67:C68"/>
    <mergeCell ref="C63:C64"/>
    <mergeCell ref="C59:C60"/>
    <mergeCell ref="C61:C62"/>
    <mergeCell ref="C57:C58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L33:L34"/>
    <mergeCell ref="M33:M34"/>
    <mergeCell ref="N33:N34"/>
    <mergeCell ref="O33:O34"/>
    <mergeCell ref="B18:B23"/>
    <mergeCell ref="B25:B34"/>
    <mergeCell ref="P20:P21"/>
    <mergeCell ref="L20:L21"/>
    <mergeCell ref="K20:K21"/>
    <mergeCell ref="K22:K23"/>
    <mergeCell ref="K18:K19"/>
    <mergeCell ref="O22:O23"/>
    <mergeCell ref="P22:P23"/>
    <mergeCell ref="L18:L19"/>
    <mergeCell ref="C18:C19"/>
    <mergeCell ref="C20:C21"/>
    <mergeCell ref="O20:O21"/>
    <mergeCell ref="C22:C23"/>
    <mergeCell ref="C31:C32"/>
    <mergeCell ref="C33:C34"/>
    <mergeCell ref="M18:M19"/>
    <mergeCell ref="N18:N19"/>
    <mergeCell ref="N25:N26"/>
    <mergeCell ref="O25:O26"/>
    <mergeCell ref="P25:P26"/>
    <mergeCell ref="M20:M21"/>
    <mergeCell ref="N20:N21"/>
    <mergeCell ref="M25:M26"/>
    <mergeCell ref="Q5:Q6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C5:C6"/>
    <mergeCell ref="B5:B6"/>
    <mergeCell ref="B7:B8"/>
    <mergeCell ref="B10:B11"/>
    <mergeCell ref="C7:C8"/>
    <mergeCell ref="C10:C11"/>
    <mergeCell ref="C15:C16"/>
    <mergeCell ref="N15:N16"/>
    <mergeCell ref="D5:J5"/>
    <mergeCell ref="B15:B16"/>
    <mergeCell ref="L15:L16"/>
    <mergeCell ref="C25:C26"/>
    <mergeCell ref="C29:C30"/>
    <mergeCell ref="C36:C37"/>
    <mergeCell ref="P31:P32"/>
    <mergeCell ref="L25:L26"/>
    <mergeCell ref="K31:K32"/>
    <mergeCell ref="K33:K34"/>
    <mergeCell ref="L31:L32"/>
    <mergeCell ref="M31:M32"/>
    <mergeCell ref="N31:N32"/>
    <mergeCell ref="P29:P30"/>
    <mergeCell ref="O29:O30"/>
    <mergeCell ref="N29:N30"/>
    <mergeCell ref="P33:P34"/>
    <mergeCell ref="O31:O32"/>
    <mergeCell ref="K27:K28"/>
    <mergeCell ref="L27:L28"/>
    <mergeCell ref="M27:M28"/>
    <mergeCell ref="N27:N28"/>
    <mergeCell ref="O27:O28"/>
    <mergeCell ref="P27:P28"/>
  </mergeCells>
  <pageMargins left="0.7" right="0.7" top="0.75" bottom="0.75" header="0.3" footer="0.3"/>
  <pageSetup paperSize="173" orientation="portrait" r:id="rId1"/>
  <ignoredErrors>
    <ignoredError sqref="G44 G17 G24 G33 M8:M9 M75 M73 M56 G47 G50 M11:M12 M14 M16 M17 M19 M21 M23 M24 M26 M30 M32 M34:M35 M37:M38 M40:M41 M44 M46:M47 M49:M50 M52 M54 M58 M60 M64 M68:M69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P107"/>
  <sheetViews>
    <sheetView showGridLines="0" topLeftCell="A88" zoomScaleNormal="100" workbookViewId="0">
      <selection activeCell="C129" sqref="C129"/>
    </sheetView>
  </sheetViews>
  <sheetFormatPr baseColWidth="10" defaultColWidth="11.42578125" defaultRowHeight="15"/>
  <cols>
    <col min="1" max="1" width="6" style="51" customWidth="1"/>
    <col min="2" max="2" width="21.42578125" style="51" bestFit="1" customWidth="1"/>
    <col min="3" max="3" width="37.85546875" style="51" customWidth="1"/>
    <col min="4" max="4" width="8.7109375" style="46" bestFit="1" customWidth="1"/>
    <col min="5" max="5" width="22.5703125" style="39" customWidth="1"/>
    <col min="6" max="6" width="18.5703125" style="39" bestFit="1" customWidth="1"/>
    <col min="7" max="7" width="19.7109375" style="39" bestFit="1" customWidth="1"/>
    <col min="8" max="8" width="14.140625" style="39" bestFit="1" customWidth="1"/>
    <col min="9" max="9" width="11.85546875" style="39" bestFit="1" customWidth="1"/>
    <col min="10" max="10" width="13.85546875" style="39" bestFit="1" customWidth="1"/>
    <col min="11" max="11" width="18.42578125" style="39" customWidth="1"/>
    <col min="12" max="12" width="16.42578125" style="39" customWidth="1"/>
    <col min="13" max="13" width="14.42578125" style="39" bestFit="1" customWidth="1"/>
    <col min="14" max="14" width="11.140625" style="39" bestFit="1" customWidth="1"/>
    <col min="15" max="15" width="11.85546875" style="39" bestFit="1" customWidth="1"/>
    <col min="16" max="16" width="13.85546875" style="39" bestFit="1" customWidth="1"/>
    <col min="17" max="16384" width="11.42578125" style="51"/>
  </cols>
  <sheetData>
    <row r="1" spans="2:16" ht="0.75" customHeight="1" thickBot="1">
      <c r="F1" s="51"/>
      <c r="G1" s="51"/>
      <c r="J1" s="51"/>
      <c r="K1" s="51"/>
      <c r="L1" s="51"/>
      <c r="M1" s="51"/>
      <c r="N1" s="51"/>
      <c r="O1" s="51"/>
      <c r="P1" s="51"/>
    </row>
    <row r="2" spans="2:16" s="165" customFormat="1" ht="22.5" customHeight="1">
      <c r="B2" s="288" t="s">
        <v>226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</row>
    <row r="3" spans="2:16" ht="21.95" customHeight="1" thickBot="1">
      <c r="B3" s="310">
        <v>43508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2"/>
    </row>
    <row r="4" spans="2:16" ht="15.75" thickBot="1">
      <c r="F4" s="51"/>
      <c r="G4" s="51"/>
      <c r="J4" s="51"/>
      <c r="K4" s="51"/>
      <c r="L4" s="51"/>
      <c r="M4" s="51"/>
      <c r="N4" s="51"/>
      <c r="O4" s="51"/>
      <c r="P4" s="51"/>
    </row>
    <row r="5" spans="2:16" ht="62.25" customHeight="1" thickBot="1">
      <c r="B5" s="48" t="s">
        <v>28</v>
      </c>
      <c r="C5" s="178" t="s">
        <v>29</v>
      </c>
      <c r="D5" s="174" t="s">
        <v>6</v>
      </c>
      <c r="E5" s="50" t="s">
        <v>4</v>
      </c>
      <c r="F5" s="50" t="s">
        <v>3</v>
      </c>
      <c r="G5" s="50" t="s">
        <v>2</v>
      </c>
      <c r="H5" s="50" t="s">
        <v>1</v>
      </c>
      <c r="I5" s="50" t="s">
        <v>0</v>
      </c>
      <c r="J5" s="49" t="s">
        <v>5</v>
      </c>
      <c r="K5" s="170" t="s">
        <v>4</v>
      </c>
      <c r="L5" s="171" t="s">
        <v>3</v>
      </c>
      <c r="M5" s="171" t="s">
        <v>2</v>
      </c>
      <c r="N5" s="171" t="s">
        <v>1</v>
      </c>
      <c r="O5" s="171" t="s">
        <v>0</v>
      </c>
      <c r="P5" s="172" t="s">
        <v>5</v>
      </c>
    </row>
    <row r="6" spans="2:16" ht="15" customHeight="1">
      <c r="B6" s="315" t="s">
        <v>13</v>
      </c>
      <c r="C6" s="320" t="s">
        <v>9</v>
      </c>
      <c r="D6" s="175" t="s">
        <v>211</v>
      </c>
      <c r="E6" s="52">
        <v>182.93199999999999</v>
      </c>
      <c r="F6" s="151"/>
      <c r="G6" s="11">
        <f>E6+F6</f>
        <v>182.93199999999999</v>
      </c>
      <c r="H6" s="151"/>
      <c r="I6" s="11">
        <f>G6-H6</f>
        <v>182.93199999999999</v>
      </c>
      <c r="J6" s="164">
        <f>H6/G6</f>
        <v>0</v>
      </c>
      <c r="K6" s="309">
        <f>E6+E7</f>
        <v>186.666</v>
      </c>
      <c r="L6" s="295">
        <f>F6+F7</f>
        <v>0</v>
      </c>
      <c r="M6" s="295">
        <f>K6+L6</f>
        <v>186.666</v>
      </c>
      <c r="N6" s="295">
        <f>H6+H7</f>
        <v>0</v>
      </c>
      <c r="O6" s="295">
        <f>M6-N6</f>
        <v>186.666</v>
      </c>
      <c r="P6" s="293">
        <f>N6/M6</f>
        <v>0</v>
      </c>
    </row>
    <row r="7" spans="2:16" ht="15" customHeight="1">
      <c r="B7" s="316"/>
      <c r="C7" s="292"/>
      <c r="D7" s="176" t="s">
        <v>212</v>
      </c>
      <c r="E7" s="53">
        <v>3.734</v>
      </c>
      <c r="F7" s="153"/>
      <c r="G7" s="99">
        <f>E7+F7+I6</f>
        <v>186.666</v>
      </c>
      <c r="H7" s="153"/>
      <c r="I7" s="10">
        <f t="shared" ref="I7:I23" si="0">G7-H7</f>
        <v>186.666</v>
      </c>
      <c r="J7" s="23">
        <f t="shared" ref="J7:J48" si="1">H7/G7</f>
        <v>0</v>
      </c>
      <c r="K7" s="291"/>
      <c r="L7" s="283"/>
      <c r="M7" s="283"/>
      <c r="N7" s="283"/>
      <c r="O7" s="283"/>
      <c r="P7" s="281"/>
    </row>
    <row r="8" spans="2:16" ht="15" customHeight="1">
      <c r="B8" s="316"/>
      <c r="C8" s="292" t="s">
        <v>10</v>
      </c>
      <c r="D8" s="176" t="s">
        <v>211</v>
      </c>
      <c r="E8" s="53">
        <v>7750.268</v>
      </c>
      <c r="F8" s="153"/>
      <c r="G8" s="10">
        <f>E8+F8</f>
        <v>7750.268</v>
      </c>
      <c r="H8" s="153"/>
      <c r="I8" s="10">
        <f t="shared" si="0"/>
        <v>7750.268</v>
      </c>
      <c r="J8" s="23">
        <f t="shared" si="1"/>
        <v>0</v>
      </c>
      <c r="K8" s="291">
        <f>E8+E9</f>
        <v>7908.4790000000003</v>
      </c>
      <c r="L8" s="283">
        <f>F8+F9</f>
        <v>0</v>
      </c>
      <c r="M8" s="283">
        <f>K8+L8</f>
        <v>7908.4790000000003</v>
      </c>
      <c r="N8" s="283">
        <f>H8+H9</f>
        <v>0</v>
      </c>
      <c r="O8" s="283">
        <f>M8-N8</f>
        <v>7908.4790000000003</v>
      </c>
      <c r="P8" s="281">
        <f t="shared" ref="P8" si="2">N8/M8</f>
        <v>0</v>
      </c>
    </row>
    <row r="9" spans="2:16" ht="15" customHeight="1">
      <c r="B9" s="316"/>
      <c r="C9" s="292"/>
      <c r="D9" s="176" t="s">
        <v>212</v>
      </c>
      <c r="E9" s="53">
        <v>158.21100000000001</v>
      </c>
      <c r="F9" s="153"/>
      <c r="G9" s="99">
        <f>E9+F9+I8</f>
        <v>7908.4790000000003</v>
      </c>
      <c r="H9" s="153"/>
      <c r="I9" s="10">
        <f t="shared" si="0"/>
        <v>7908.4790000000003</v>
      </c>
      <c r="J9" s="23">
        <f t="shared" si="1"/>
        <v>0</v>
      </c>
      <c r="K9" s="291"/>
      <c r="L9" s="283"/>
      <c r="M9" s="283"/>
      <c r="N9" s="283"/>
      <c r="O9" s="283"/>
      <c r="P9" s="281"/>
    </row>
    <row r="10" spans="2:16" ht="15" customHeight="1">
      <c r="B10" s="316"/>
      <c r="C10" s="292" t="s">
        <v>11</v>
      </c>
      <c r="D10" s="176" t="s">
        <v>211</v>
      </c>
      <c r="E10" s="53">
        <v>19820.879000000001</v>
      </c>
      <c r="F10" s="153"/>
      <c r="G10" s="10">
        <f>E10+F10</f>
        <v>19820.879000000001</v>
      </c>
      <c r="H10" s="153"/>
      <c r="I10" s="10">
        <f t="shared" si="0"/>
        <v>19820.879000000001</v>
      </c>
      <c r="J10" s="23">
        <f t="shared" si="1"/>
        <v>0</v>
      </c>
      <c r="K10" s="291">
        <f>E10+E11</f>
        <v>20225.495000000003</v>
      </c>
      <c r="L10" s="283">
        <f>F10+F11</f>
        <v>0</v>
      </c>
      <c r="M10" s="283">
        <f>K10+L10</f>
        <v>20225.495000000003</v>
      </c>
      <c r="N10" s="283">
        <f>H10+H11</f>
        <v>0</v>
      </c>
      <c r="O10" s="283">
        <f>M10-N10</f>
        <v>20225.495000000003</v>
      </c>
      <c r="P10" s="281">
        <f t="shared" ref="P10" si="3">N10/M10</f>
        <v>0</v>
      </c>
    </row>
    <row r="11" spans="2:16" ht="15" customHeight="1">
      <c r="B11" s="316"/>
      <c r="C11" s="292"/>
      <c r="D11" s="176" t="s">
        <v>212</v>
      </c>
      <c r="E11" s="53">
        <v>404.61599999999999</v>
      </c>
      <c r="F11" s="153"/>
      <c r="G11" s="99">
        <f>E11+F11+I10</f>
        <v>20225.495000000003</v>
      </c>
      <c r="H11" s="153"/>
      <c r="I11" s="10">
        <f t="shared" si="0"/>
        <v>20225.495000000003</v>
      </c>
      <c r="J11" s="23">
        <f t="shared" si="1"/>
        <v>0</v>
      </c>
      <c r="K11" s="291"/>
      <c r="L11" s="283"/>
      <c r="M11" s="283"/>
      <c r="N11" s="283"/>
      <c r="O11" s="283"/>
      <c r="P11" s="281"/>
    </row>
    <row r="12" spans="2:16" ht="15" customHeight="1">
      <c r="B12" s="316"/>
      <c r="C12" s="292" t="s">
        <v>19</v>
      </c>
      <c r="D12" s="176" t="s">
        <v>211</v>
      </c>
      <c r="E12" s="53">
        <v>3016.5949999999998</v>
      </c>
      <c r="F12" s="154"/>
      <c r="G12" s="10">
        <f>E12+F12</f>
        <v>3016.5949999999998</v>
      </c>
      <c r="H12" s="154"/>
      <c r="I12" s="10">
        <f t="shared" ref="I12:I13" si="4">G12-H12</f>
        <v>3016.5949999999998</v>
      </c>
      <c r="J12" s="23">
        <f t="shared" ref="J12:J13" si="5">H12/G12</f>
        <v>0</v>
      </c>
      <c r="K12" s="291">
        <f>E12+E13</f>
        <v>3078.1749999999997</v>
      </c>
      <c r="L12" s="283">
        <f>F12+F13</f>
        <v>0</v>
      </c>
      <c r="M12" s="283">
        <f>K12+L12</f>
        <v>3078.1749999999997</v>
      </c>
      <c r="N12" s="283">
        <f>H12+H13</f>
        <v>0</v>
      </c>
      <c r="O12" s="283">
        <f>M12-N12</f>
        <v>3078.1749999999997</v>
      </c>
      <c r="P12" s="281">
        <f t="shared" ref="P12" si="6">N12/M12</f>
        <v>0</v>
      </c>
    </row>
    <row r="13" spans="2:16" ht="15" customHeight="1">
      <c r="B13" s="316"/>
      <c r="C13" s="292"/>
      <c r="D13" s="176" t="s">
        <v>212</v>
      </c>
      <c r="E13" s="53">
        <v>61.58</v>
      </c>
      <c r="F13" s="154"/>
      <c r="G13" s="99">
        <f>E13+F13+I12</f>
        <v>3078.1749999999997</v>
      </c>
      <c r="H13" s="154"/>
      <c r="I13" s="10">
        <f t="shared" si="4"/>
        <v>3078.1749999999997</v>
      </c>
      <c r="J13" s="23">
        <f t="shared" si="5"/>
        <v>0</v>
      </c>
      <c r="K13" s="291"/>
      <c r="L13" s="283"/>
      <c r="M13" s="283"/>
      <c r="N13" s="283"/>
      <c r="O13" s="283"/>
      <c r="P13" s="281"/>
    </row>
    <row r="14" spans="2:16" ht="15" customHeight="1">
      <c r="B14" s="316"/>
      <c r="C14" s="292" t="s">
        <v>12</v>
      </c>
      <c r="D14" s="176" t="s">
        <v>211</v>
      </c>
      <c r="E14" s="53">
        <f>13574.675+2152.057</f>
        <v>15726.732</v>
      </c>
      <c r="F14" s="153"/>
      <c r="G14" s="10">
        <f>E14+F14</f>
        <v>15726.732</v>
      </c>
      <c r="H14" s="153"/>
      <c r="I14" s="10">
        <f t="shared" si="0"/>
        <v>15726.732</v>
      </c>
      <c r="J14" s="23">
        <f t="shared" si="1"/>
        <v>0</v>
      </c>
      <c r="K14" s="291">
        <f>E14+E15</f>
        <v>16047.772999999999</v>
      </c>
      <c r="L14" s="283">
        <f>F14+F15</f>
        <v>0</v>
      </c>
      <c r="M14" s="283">
        <f>K14+L14</f>
        <v>16047.772999999999</v>
      </c>
      <c r="N14" s="283">
        <f>H14+H15</f>
        <v>0</v>
      </c>
      <c r="O14" s="283">
        <f>M14-N14</f>
        <v>16047.772999999999</v>
      </c>
      <c r="P14" s="281">
        <f t="shared" ref="P14:P22" si="7">N14/M14</f>
        <v>0</v>
      </c>
    </row>
    <row r="15" spans="2:16" ht="15" customHeight="1">
      <c r="B15" s="316"/>
      <c r="C15" s="292"/>
      <c r="D15" s="176" t="s">
        <v>212</v>
      </c>
      <c r="E15" s="53">
        <f>277.109+43.932</f>
        <v>321.041</v>
      </c>
      <c r="F15" s="153"/>
      <c r="G15" s="99">
        <f>E15+F15+I14</f>
        <v>16047.772999999999</v>
      </c>
      <c r="H15" s="153"/>
      <c r="I15" s="10">
        <f t="shared" si="0"/>
        <v>16047.772999999999</v>
      </c>
      <c r="J15" s="23">
        <f t="shared" si="1"/>
        <v>0</v>
      </c>
      <c r="K15" s="291"/>
      <c r="L15" s="283"/>
      <c r="M15" s="283"/>
      <c r="N15" s="283"/>
      <c r="O15" s="283"/>
      <c r="P15" s="281"/>
    </row>
    <row r="16" spans="2:16" ht="15" customHeight="1">
      <c r="B16" s="316"/>
      <c r="C16" s="292" t="s">
        <v>125</v>
      </c>
      <c r="D16" s="176" t="s">
        <v>211</v>
      </c>
      <c r="E16" s="53">
        <v>508.66699999999997</v>
      </c>
      <c r="F16" s="153"/>
      <c r="G16" s="10">
        <f>E16+F16</f>
        <v>508.66699999999997</v>
      </c>
      <c r="H16" s="153"/>
      <c r="I16" s="10">
        <f t="shared" si="0"/>
        <v>508.66699999999997</v>
      </c>
      <c r="J16" s="23">
        <f t="shared" si="1"/>
        <v>0</v>
      </c>
      <c r="K16" s="291">
        <f>E16+E17</f>
        <v>519.05099999999993</v>
      </c>
      <c r="L16" s="283">
        <f>F16+F17</f>
        <v>0</v>
      </c>
      <c r="M16" s="283">
        <f>K16+L16</f>
        <v>519.05099999999993</v>
      </c>
      <c r="N16" s="283">
        <f>H16+H17</f>
        <v>0</v>
      </c>
      <c r="O16" s="283">
        <f>M16-N16</f>
        <v>519.05099999999993</v>
      </c>
      <c r="P16" s="281">
        <f t="shared" si="7"/>
        <v>0</v>
      </c>
    </row>
    <row r="17" spans="2:16" ht="15" customHeight="1">
      <c r="B17" s="316"/>
      <c r="C17" s="292"/>
      <c r="D17" s="176" t="s">
        <v>212</v>
      </c>
      <c r="E17" s="53">
        <v>10.384</v>
      </c>
      <c r="F17" s="153"/>
      <c r="G17" s="99">
        <f>E17+F17+I16</f>
        <v>519.05099999999993</v>
      </c>
      <c r="H17" s="153"/>
      <c r="I17" s="10">
        <f t="shared" si="0"/>
        <v>519.05099999999993</v>
      </c>
      <c r="J17" s="23">
        <f t="shared" si="1"/>
        <v>0</v>
      </c>
      <c r="K17" s="291"/>
      <c r="L17" s="283"/>
      <c r="M17" s="283"/>
      <c r="N17" s="283"/>
      <c r="O17" s="283"/>
      <c r="P17" s="281"/>
    </row>
    <row r="18" spans="2:16" ht="15" customHeight="1">
      <c r="B18" s="316"/>
      <c r="C18" s="292" t="s">
        <v>21</v>
      </c>
      <c r="D18" s="176" t="s">
        <v>211</v>
      </c>
      <c r="E18" s="53">
        <f>2425.95</f>
        <v>2425.9499999999998</v>
      </c>
      <c r="F18" s="153">
        <f>-2475.474</f>
        <v>-2475.4740000000002</v>
      </c>
      <c r="G18" s="10">
        <f>E18+F18</f>
        <v>-49.524000000000342</v>
      </c>
      <c r="H18" s="153"/>
      <c r="I18" s="10">
        <f t="shared" si="0"/>
        <v>-49.524000000000342</v>
      </c>
      <c r="J18" s="23">
        <f t="shared" si="1"/>
        <v>0</v>
      </c>
      <c r="K18" s="291">
        <f>E18+E19</f>
        <v>2475.4739999999997</v>
      </c>
      <c r="L18" s="283">
        <f>F18+F19</f>
        <v>-2475.4740000000002</v>
      </c>
      <c r="M18" s="283">
        <f>K18+L18</f>
        <v>0</v>
      </c>
      <c r="N18" s="283">
        <f>H18+H19</f>
        <v>0</v>
      </c>
      <c r="O18" s="283">
        <f>M18-N18</f>
        <v>0</v>
      </c>
      <c r="P18" s="281" t="e">
        <f t="shared" si="7"/>
        <v>#DIV/0!</v>
      </c>
    </row>
    <row r="19" spans="2:16" ht="15" customHeight="1">
      <c r="B19" s="316"/>
      <c r="C19" s="292"/>
      <c r="D19" s="176" t="s">
        <v>212</v>
      </c>
      <c r="E19" s="53">
        <v>49.524000000000001</v>
      </c>
      <c r="F19" s="153"/>
      <c r="G19" s="99">
        <f>E19+F19+I18</f>
        <v>-3.4106051316484809E-13</v>
      </c>
      <c r="H19" s="153"/>
      <c r="I19" s="10">
        <f t="shared" si="0"/>
        <v>-3.4106051316484809E-13</v>
      </c>
      <c r="J19" s="23">
        <f t="shared" si="1"/>
        <v>0</v>
      </c>
      <c r="K19" s="291"/>
      <c r="L19" s="283"/>
      <c r="M19" s="283"/>
      <c r="N19" s="283"/>
      <c r="O19" s="283"/>
      <c r="P19" s="281"/>
    </row>
    <row r="20" spans="2:16" ht="15" customHeight="1">
      <c r="B20" s="316"/>
      <c r="C20" s="292" t="s">
        <v>16</v>
      </c>
      <c r="D20" s="176" t="s">
        <v>211</v>
      </c>
      <c r="E20" s="53">
        <v>1486.8720000000001</v>
      </c>
      <c r="F20" s="163"/>
      <c r="G20" s="10">
        <f>E20+F20</f>
        <v>1486.8720000000001</v>
      </c>
      <c r="H20" s="153"/>
      <c r="I20" s="10">
        <f t="shared" si="0"/>
        <v>1486.8720000000001</v>
      </c>
      <c r="J20" s="23">
        <f t="shared" si="1"/>
        <v>0</v>
      </c>
      <c r="K20" s="291">
        <f>E20+E21</f>
        <v>1517.2260000000001</v>
      </c>
      <c r="L20" s="299">
        <f>F20+F21</f>
        <v>0</v>
      </c>
      <c r="M20" s="299">
        <f>K20+L20</f>
        <v>1517.2260000000001</v>
      </c>
      <c r="N20" s="283">
        <f>H20+H21</f>
        <v>0</v>
      </c>
      <c r="O20" s="299">
        <f>M20-N20</f>
        <v>1517.2260000000001</v>
      </c>
      <c r="P20" s="281">
        <f t="shared" si="7"/>
        <v>0</v>
      </c>
    </row>
    <row r="21" spans="2:16" ht="15" customHeight="1">
      <c r="B21" s="316"/>
      <c r="C21" s="292"/>
      <c r="D21" s="176" t="s">
        <v>212</v>
      </c>
      <c r="E21" s="53">
        <v>30.353999999999999</v>
      </c>
      <c r="F21" s="153"/>
      <c r="G21" s="99">
        <f>E21+F21+I20</f>
        <v>1517.2260000000001</v>
      </c>
      <c r="H21" s="153"/>
      <c r="I21" s="10">
        <f t="shared" si="0"/>
        <v>1517.2260000000001</v>
      </c>
      <c r="J21" s="23">
        <f t="shared" si="1"/>
        <v>0</v>
      </c>
      <c r="K21" s="291"/>
      <c r="L21" s="283"/>
      <c r="M21" s="283"/>
      <c r="N21" s="283"/>
      <c r="O21" s="283"/>
      <c r="P21" s="281"/>
    </row>
    <row r="22" spans="2:16" ht="15" customHeight="1">
      <c r="B22" s="316"/>
      <c r="C22" s="307" t="s">
        <v>15</v>
      </c>
      <c r="D22" s="176" t="s">
        <v>211</v>
      </c>
      <c r="E22" s="53">
        <v>1252.106</v>
      </c>
      <c r="F22" s="153"/>
      <c r="G22" s="10">
        <f>E22+F22</f>
        <v>1252.106</v>
      </c>
      <c r="H22" s="153"/>
      <c r="I22" s="10">
        <f t="shared" si="0"/>
        <v>1252.106</v>
      </c>
      <c r="J22" s="23">
        <f t="shared" si="1"/>
        <v>0</v>
      </c>
      <c r="K22" s="291">
        <f>E22+E23</f>
        <v>1277.6679999999999</v>
      </c>
      <c r="L22" s="283">
        <f>F22+F23</f>
        <v>0</v>
      </c>
      <c r="M22" s="283">
        <f>K22+L22</f>
        <v>1277.6679999999999</v>
      </c>
      <c r="N22" s="283">
        <f>H22+H23</f>
        <v>0</v>
      </c>
      <c r="O22" s="283">
        <f>M22-N22</f>
        <v>1277.6679999999999</v>
      </c>
      <c r="P22" s="281">
        <f t="shared" si="7"/>
        <v>0</v>
      </c>
    </row>
    <row r="23" spans="2:16" ht="15" customHeight="1" thickBot="1">
      <c r="B23" s="316"/>
      <c r="C23" s="308"/>
      <c r="D23" s="176" t="s">
        <v>212</v>
      </c>
      <c r="E23" s="53">
        <v>25.562000000000001</v>
      </c>
      <c r="F23" s="153"/>
      <c r="G23" s="99">
        <f>E23+F23+I22</f>
        <v>1277.6679999999999</v>
      </c>
      <c r="H23" s="153"/>
      <c r="I23" s="10">
        <f t="shared" si="0"/>
        <v>1277.6679999999999</v>
      </c>
      <c r="J23" s="23">
        <f t="shared" si="1"/>
        <v>0</v>
      </c>
      <c r="K23" s="291"/>
      <c r="L23" s="283"/>
      <c r="M23" s="283"/>
      <c r="N23" s="283"/>
      <c r="O23" s="283"/>
      <c r="P23" s="281"/>
    </row>
    <row r="24" spans="2:16" ht="15" customHeight="1">
      <c r="B24" s="317" t="s">
        <v>26</v>
      </c>
      <c r="C24" s="306" t="s">
        <v>22</v>
      </c>
      <c r="D24" s="175" t="s">
        <v>7</v>
      </c>
      <c r="E24" s="52">
        <v>894.91300000000001</v>
      </c>
      <c r="F24" s="206"/>
      <c r="G24" s="11">
        <f>E24+F24</f>
        <v>894.91300000000001</v>
      </c>
      <c r="H24" s="206"/>
      <c r="I24" s="11">
        <f>G24-H24</f>
        <v>894.91300000000001</v>
      </c>
      <c r="J24" s="24">
        <f t="shared" si="1"/>
        <v>0</v>
      </c>
      <c r="K24" s="294">
        <f>E24+E25</f>
        <v>942.03600000000006</v>
      </c>
      <c r="L24" s="295">
        <f>F24+F25</f>
        <v>0</v>
      </c>
      <c r="M24" s="295">
        <f>K24+L24</f>
        <v>942.03600000000006</v>
      </c>
      <c r="N24" s="295">
        <f t="shared" ref="N24:N48" si="8">H24+H25</f>
        <v>0</v>
      </c>
      <c r="O24" s="295">
        <f>M24-N24</f>
        <v>942.03600000000006</v>
      </c>
      <c r="P24" s="293">
        <f>N24/M24</f>
        <v>0</v>
      </c>
    </row>
    <row r="25" spans="2:16" ht="15" customHeight="1">
      <c r="B25" s="318"/>
      <c r="C25" s="303"/>
      <c r="D25" s="176" t="s">
        <v>8</v>
      </c>
      <c r="E25" s="53">
        <v>47.122999999999998</v>
      </c>
      <c r="F25" s="208"/>
      <c r="G25" s="99">
        <f>E25+F25+I24</f>
        <v>942.03600000000006</v>
      </c>
      <c r="H25" s="208"/>
      <c r="I25" s="99">
        <f>G25-H25</f>
        <v>942.03600000000006</v>
      </c>
      <c r="J25" s="83">
        <f t="shared" si="1"/>
        <v>0</v>
      </c>
      <c r="K25" s="284"/>
      <c r="L25" s="283"/>
      <c r="M25" s="283"/>
      <c r="N25" s="283"/>
      <c r="O25" s="283"/>
      <c r="P25" s="281"/>
    </row>
    <row r="26" spans="2:16" ht="15" customHeight="1">
      <c r="B26" s="318"/>
      <c r="C26" s="303" t="s">
        <v>9</v>
      </c>
      <c r="D26" s="176" t="s">
        <v>7</v>
      </c>
      <c r="E26" s="53">
        <v>2.76</v>
      </c>
      <c r="F26" s="208"/>
      <c r="G26" s="10">
        <f>E26+F26</f>
        <v>2.76</v>
      </c>
      <c r="H26" s="208"/>
      <c r="I26" s="99">
        <f t="shared" ref="I26:I49" si="9">G26-H26</f>
        <v>2.76</v>
      </c>
      <c r="J26" s="83">
        <f t="shared" si="1"/>
        <v>0</v>
      </c>
      <c r="K26" s="284">
        <f t="shared" ref="K26" si="10">E26+E27</f>
        <v>2.9049999999999998</v>
      </c>
      <c r="L26" s="283">
        <f t="shared" ref="L26" si="11">F26+F27</f>
        <v>0</v>
      </c>
      <c r="M26" s="283">
        <f t="shared" ref="M26" si="12">K26+L26</f>
        <v>2.9049999999999998</v>
      </c>
      <c r="N26" s="283">
        <f t="shared" si="8"/>
        <v>0</v>
      </c>
      <c r="O26" s="283">
        <f t="shared" ref="O26" si="13">M26-N26</f>
        <v>2.9049999999999998</v>
      </c>
      <c r="P26" s="281">
        <f t="shared" ref="P26" si="14">N26/M26</f>
        <v>0</v>
      </c>
    </row>
    <row r="27" spans="2:16" ht="15" customHeight="1">
      <c r="B27" s="318"/>
      <c r="C27" s="303"/>
      <c r="D27" s="176" t="s">
        <v>8</v>
      </c>
      <c r="E27" s="53">
        <v>0.14499999999999999</v>
      </c>
      <c r="F27" s="208"/>
      <c r="G27" s="99">
        <f>E27+F27+I26</f>
        <v>2.9049999999999998</v>
      </c>
      <c r="H27" s="208"/>
      <c r="I27" s="99">
        <f t="shared" si="9"/>
        <v>2.9049999999999998</v>
      </c>
      <c r="J27" s="83">
        <f t="shared" si="1"/>
        <v>0</v>
      </c>
      <c r="K27" s="284"/>
      <c r="L27" s="283"/>
      <c r="M27" s="283"/>
      <c r="N27" s="283"/>
      <c r="O27" s="283"/>
      <c r="P27" s="281"/>
    </row>
    <row r="28" spans="2:16" ht="15" customHeight="1">
      <c r="B28" s="318"/>
      <c r="C28" s="303" t="s">
        <v>14</v>
      </c>
      <c r="D28" s="176" t="s">
        <v>7</v>
      </c>
      <c r="E28" s="53">
        <v>40.215000000000003</v>
      </c>
      <c r="F28" s="208"/>
      <c r="G28" s="10">
        <f>E28+F28</f>
        <v>40.215000000000003</v>
      </c>
      <c r="H28" s="208"/>
      <c r="I28" s="99">
        <f t="shared" si="9"/>
        <v>40.215000000000003</v>
      </c>
      <c r="J28" s="83">
        <f t="shared" si="1"/>
        <v>0</v>
      </c>
      <c r="K28" s="284">
        <f t="shared" ref="K28" si="15">E28+E29</f>
        <v>42.333000000000006</v>
      </c>
      <c r="L28" s="283">
        <f t="shared" ref="L28" si="16">F28+F29</f>
        <v>0</v>
      </c>
      <c r="M28" s="283">
        <f t="shared" ref="M28" si="17">K28+L28</f>
        <v>42.333000000000006</v>
      </c>
      <c r="N28" s="283">
        <f t="shared" si="8"/>
        <v>0</v>
      </c>
      <c r="O28" s="283">
        <f t="shared" ref="O28" si="18">M28-N28</f>
        <v>42.333000000000006</v>
      </c>
      <c r="P28" s="281">
        <f t="shared" ref="P28" si="19">N28/M28</f>
        <v>0</v>
      </c>
    </row>
    <row r="29" spans="2:16" ht="15" customHeight="1">
      <c r="B29" s="318"/>
      <c r="C29" s="303"/>
      <c r="D29" s="176" t="s">
        <v>8</v>
      </c>
      <c r="E29" s="53">
        <v>2.1179999999999999</v>
      </c>
      <c r="F29" s="208"/>
      <c r="G29" s="99">
        <f>E29+F29+I28</f>
        <v>42.333000000000006</v>
      </c>
      <c r="H29" s="208"/>
      <c r="I29" s="99">
        <f t="shared" si="9"/>
        <v>42.333000000000006</v>
      </c>
      <c r="J29" s="83">
        <f t="shared" si="1"/>
        <v>0</v>
      </c>
      <c r="K29" s="284"/>
      <c r="L29" s="283"/>
      <c r="M29" s="283"/>
      <c r="N29" s="283"/>
      <c r="O29" s="283"/>
      <c r="P29" s="281"/>
    </row>
    <row r="30" spans="2:16" ht="15" customHeight="1">
      <c r="B30" s="318"/>
      <c r="C30" s="303" t="s">
        <v>15</v>
      </c>
      <c r="D30" s="176" t="s">
        <v>7</v>
      </c>
      <c r="E30" s="53">
        <f>2436.044+512.304</f>
        <v>2948.348</v>
      </c>
      <c r="F30" s="208"/>
      <c r="G30" s="10">
        <f>E30+F30</f>
        <v>2948.348</v>
      </c>
      <c r="H30" s="208"/>
      <c r="I30" s="99">
        <f t="shared" si="9"/>
        <v>2948.348</v>
      </c>
      <c r="J30" s="83">
        <f t="shared" si="1"/>
        <v>0</v>
      </c>
      <c r="K30" s="284">
        <f t="shared" ref="K30" si="20">E30+E31</f>
        <v>3103.5969999999998</v>
      </c>
      <c r="L30" s="283">
        <f t="shared" ref="L30" si="21">F30+F31</f>
        <v>0</v>
      </c>
      <c r="M30" s="283">
        <f t="shared" ref="M30" si="22">K30+L30</f>
        <v>3103.5969999999998</v>
      </c>
      <c r="N30" s="283">
        <f t="shared" si="8"/>
        <v>0</v>
      </c>
      <c r="O30" s="283">
        <f t="shared" ref="O30" si="23">M30-N30</f>
        <v>3103.5969999999998</v>
      </c>
      <c r="P30" s="281">
        <f t="shared" ref="P30" si="24">N30/M30</f>
        <v>0</v>
      </c>
    </row>
    <row r="31" spans="2:16" ht="15" customHeight="1">
      <c r="B31" s="318"/>
      <c r="C31" s="303"/>
      <c r="D31" s="176" t="s">
        <v>8</v>
      </c>
      <c r="E31" s="53">
        <f>128.273+26.976</f>
        <v>155.249</v>
      </c>
      <c r="F31" s="208"/>
      <c r="G31" s="99">
        <f>E31+F31+I30</f>
        <v>3103.5969999999998</v>
      </c>
      <c r="H31" s="208"/>
      <c r="I31" s="99">
        <f t="shared" si="9"/>
        <v>3103.5969999999998</v>
      </c>
      <c r="J31" s="83">
        <f t="shared" si="1"/>
        <v>0</v>
      </c>
      <c r="K31" s="284"/>
      <c r="L31" s="283"/>
      <c r="M31" s="283"/>
      <c r="N31" s="283"/>
      <c r="O31" s="283"/>
      <c r="P31" s="281"/>
    </row>
    <row r="32" spans="2:16" ht="15" customHeight="1">
      <c r="B32" s="318"/>
      <c r="C32" s="303" t="s">
        <v>10</v>
      </c>
      <c r="D32" s="176" t="s">
        <v>7</v>
      </c>
      <c r="E32" s="53">
        <v>159.124</v>
      </c>
      <c r="F32" s="208"/>
      <c r="G32" s="10">
        <f>E32+F32</f>
        <v>159.124</v>
      </c>
      <c r="H32" s="208"/>
      <c r="I32" s="99">
        <f t="shared" si="9"/>
        <v>159.124</v>
      </c>
      <c r="J32" s="83">
        <f t="shared" si="1"/>
        <v>0</v>
      </c>
      <c r="K32" s="284">
        <f t="shared" ref="K32" si="25">E32+E33</f>
        <v>167.50299999999999</v>
      </c>
      <c r="L32" s="283">
        <f t="shared" ref="L32" si="26">F32+F33</f>
        <v>0</v>
      </c>
      <c r="M32" s="283">
        <f t="shared" ref="M32" si="27">K32+L32</f>
        <v>167.50299999999999</v>
      </c>
      <c r="N32" s="283">
        <f t="shared" si="8"/>
        <v>0</v>
      </c>
      <c r="O32" s="283">
        <f t="shared" ref="O32" si="28">M32-N32</f>
        <v>167.50299999999999</v>
      </c>
      <c r="P32" s="281">
        <v>0</v>
      </c>
    </row>
    <row r="33" spans="2:16" ht="15" customHeight="1">
      <c r="B33" s="318"/>
      <c r="C33" s="303"/>
      <c r="D33" s="176" t="s">
        <v>8</v>
      </c>
      <c r="E33" s="53">
        <v>8.3789999999999996</v>
      </c>
      <c r="F33" s="208"/>
      <c r="G33" s="99">
        <f>E33+F33+I32</f>
        <v>167.50299999999999</v>
      </c>
      <c r="H33" s="208"/>
      <c r="I33" s="99">
        <f t="shared" si="9"/>
        <v>167.50299999999999</v>
      </c>
      <c r="J33" s="83">
        <f t="shared" si="1"/>
        <v>0</v>
      </c>
      <c r="K33" s="284"/>
      <c r="L33" s="283"/>
      <c r="M33" s="283"/>
      <c r="N33" s="283"/>
      <c r="O33" s="283"/>
      <c r="P33" s="281"/>
    </row>
    <row r="34" spans="2:16" ht="15" customHeight="1">
      <c r="B34" s="318"/>
      <c r="C34" s="303" t="s">
        <v>16</v>
      </c>
      <c r="D34" s="176" t="s">
        <v>7</v>
      </c>
      <c r="E34" s="53">
        <f>61.795+448.267</f>
        <v>510.06200000000001</v>
      </c>
      <c r="F34" s="84"/>
      <c r="G34" s="10">
        <f>E34+F34</f>
        <v>510.06200000000001</v>
      </c>
      <c r="H34" s="208"/>
      <c r="I34" s="99">
        <f t="shared" si="9"/>
        <v>510.06200000000001</v>
      </c>
      <c r="J34" s="83">
        <f t="shared" si="1"/>
        <v>0</v>
      </c>
      <c r="K34" s="284">
        <f t="shared" ref="K34" si="29">E34+E35</f>
        <v>536.91999999999996</v>
      </c>
      <c r="L34" s="283">
        <f t="shared" ref="L34" si="30">F34+F35</f>
        <v>0</v>
      </c>
      <c r="M34" s="283">
        <f t="shared" ref="M34" si="31">K34+L34</f>
        <v>536.91999999999996</v>
      </c>
      <c r="N34" s="283">
        <f t="shared" si="8"/>
        <v>0</v>
      </c>
      <c r="O34" s="283">
        <f t="shared" ref="O34" si="32">M34-N34</f>
        <v>536.91999999999996</v>
      </c>
      <c r="P34" s="281">
        <f t="shared" ref="P34" si="33">N34/M34</f>
        <v>0</v>
      </c>
    </row>
    <row r="35" spans="2:16" ht="15" customHeight="1">
      <c r="B35" s="318"/>
      <c r="C35" s="303"/>
      <c r="D35" s="176" t="s">
        <v>8</v>
      </c>
      <c r="E35" s="53">
        <f>3.254+23.604</f>
        <v>26.858000000000001</v>
      </c>
      <c r="F35" s="208"/>
      <c r="G35" s="99">
        <f>E35+F35+I34</f>
        <v>536.91999999999996</v>
      </c>
      <c r="H35" s="208"/>
      <c r="I35" s="99">
        <f t="shared" si="9"/>
        <v>536.91999999999996</v>
      </c>
      <c r="J35" s="83">
        <f t="shared" si="1"/>
        <v>0</v>
      </c>
      <c r="K35" s="284"/>
      <c r="L35" s="283"/>
      <c r="M35" s="283"/>
      <c r="N35" s="283"/>
      <c r="O35" s="283"/>
      <c r="P35" s="281"/>
    </row>
    <row r="36" spans="2:16" ht="15" customHeight="1">
      <c r="B36" s="318"/>
      <c r="C36" s="303" t="s">
        <v>128</v>
      </c>
      <c r="D36" s="176" t="s">
        <v>7</v>
      </c>
      <c r="E36" s="53">
        <f>103.611+336.2</f>
        <v>439.81099999999998</v>
      </c>
      <c r="F36" s="208"/>
      <c r="G36" s="10">
        <f>E36+F36</f>
        <v>439.81099999999998</v>
      </c>
      <c r="H36" s="208"/>
      <c r="I36" s="99">
        <f t="shared" si="9"/>
        <v>439.81099999999998</v>
      </c>
      <c r="J36" s="83">
        <f t="shared" si="1"/>
        <v>0</v>
      </c>
      <c r="K36" s="284">
        <f t="shared" ref="K36" si="34">E36+E37</f>
        <v>462.96999999999997</v>
      </c>
      <c r="L36" s="283">
        <f t="shared" ref="L36" si="35">F36+F37</f>
        <v>0</v>
      </c>
      <c r="M36" s="283">
        <f t="shared" ref="M36" si="36">K36+L36</f>
        <v>462.96999999999997</v>
      </c>
      <c r="N36" s="283">
        <f t="shared" si="8"/>
        <v>0</v>
      </c>
      <c r="O36" s="283">
        <f t="shared" ref="O36" si="37">M36-N36</f>
        <v>462.96999999999997</v>
      </c>
      <c r="P36" s="281">
        <f t="shared" ref="P36" si="38">N36/M36</f>
        <v>0</v>
      </c>
    </row>
    <row r="37" spans="2:16" ht="15" customHeight="1">
      <c r="B37" s="318"/>
      <c r="C37" s="303"/>
      <c r="D37" s="176" t="s">
        <v>8</v>
      </c>
      <c r="E37" s="53">
        <f>5.456+17.703</f>
        <v>23.158999999999999</v>
      </c>
      <c r="F37" s="208"/>
      <c r="G37" s="99">
        <f>E37+F37+I36</f>
        <v>462.96999999999997</v>
      </c>
      <c r="H37" s="208"/>
      <c r="I37" s="99">
        <f t="shared" si="9"/>
        <v>462.96999999999997</v>
      </c>
      <c r="J37" s="83">
        <f t="shared" si="1"/>
        <v>0</v>
      </c>
      <c r="K37" s="284"/>
      <c r="L37" s="283"/>
      <c r="M37" s="283"/>
      <c r="N37" s="283"/>
      <c r="O37" s="283"/>
      <c r="P37" s="281"/>
    </row>
    <row r="38" spans="2:16" ht="15" customHeight="1">
      <c r="B38" s="318"/>
      <c r="C38" s="303" t="s">
        <v>17</v>
      </c>
      <c r="D38" s="176" t="s">
        <v>7</v>
      </c>
      <c r="E38" s="53">
        <v>10.199</v>
      </c>
      <c r="F38" s="208"/>
      <c r="G38" s="10">
        <f>E38+F38</f>
        <v>10.199</v>
      </c>
      <c r="H38" s="208"/>
      <c r="I38" s="99">
        <f t="shared" si="9"/>
        <v>10.199</v>
      </c>
      <c r="J38" s="83">
        <f t="shared" si="1"/>
        <v>0</v>
      </c>
      <c r="K38" s="284">
        <f t="shared" ref="K38" si="39">E38+E39</f>
        <v>10.736000000000001</v>
      </c>
      <c r="L38" s="283">
        <f t="shared" ref="L38" si="40">F38+F39</f>
        <v>0</v>
      </c>
      <c r="M38" s="283">
        <f t="shared" ref="M38" si="41">K38+L38</f>
        <v>10.736000000000001</v>
      </c>
      <c r="N38" s="283">
        <f t="shared" si="8"/>
        <v>0</v>
      </c>
      <c r="O38" s="283">
        <f t="shared" ref="O38" si="42">M38-N38</f>
        <v>10.736000000000001</v>
      </c>
      <c r="P38" s="281">
        <f t="shared" ref="P38" si="43">N38/M38</f>
        <v>0</v>
      </c>
    </row>
    <row r="39" spans="2:16" ht="15" customHeight="1">
      <c r="B39" s="318"/>
      <c r="C39" s="303"/>
      <c r="D39" s="176" t="s">
        <v>8</v>
      </c>
      <c r="E39" s="53">
        <v>0.53700000000000003</v>
      </c>
      <c r="F39" s="208"/>
      <c r="G39" s="99">
        <f>E39+F39+I38</f>
        <v>10.736000000000001</v>
      </c>
      <c r="H39" s="208"/>
      <c r="I39" s="99">
        <f t="shared" si="9"/>
        <v>10.736000000000001</v>
      </c>
      <c r="J39" s="83">
        <f t="shared" si="1"/>
        <v>0</v>
      </c>
      <c r="K39" s="284"/>
      <c r="L39" s="283"/>
      <c r="M39" s="283"/>
      <c r="N39" s="283"/>
      <c r="O39" s="283"/>
      <c r="P39" s="281"/>
    </row>
    <row r="40" spans="2:16" ht="15" customHeight="1">
      <c r="B40" s="318"/>
      <c r="C40" s="303" t="s">
        <v>18</v>
      </c>
      <c r="D40" s="176" t="s">
        <v>7</v>
      </c>
      <c r="E40" s="53">
        <v>70.665999999999997</v>
      </c>
      <c r="F40" s="208"/>
      <c r="G40" s="10">
        <f>E40+F40</f>
        <v>70.665999999999997</v>
      </c>
      <c r="H40" s="208"/>
      <c r="I40" s="99">
        <f t="shared" si="9"/>
        <v>70.665999999999997</v>
      </c>
      <c r="J40" s="83">
        <f t="shared" si="1"/>
        <v>0</v>
      </c>
      <c r="K40" s="284">
        <f t="shared" ref="K40" si="44">E40+E41</f>
        <v>74.387</v>
      </c>
      <c r="L40" s="283">
        <f t="shared" ref="L40" si="45">F40+F41</f>
        <v>0</v>
      </c>
      <c r="M40" s="283">
        <f t="shared" ref="M40" si="46">K40+L40</f>
        <v>74.387</v>
      </c>
      <c r="N40" s="283">
        <f t="shared" si="8"/>
        <v>0</v>
      </c>
      <c r="O40" s="283">
        <f t="shared" ref="O40" si="47">M40-N40</f>
        <v>74.387</v>
      </c>
      <c r="P40" s="281">
        <f t="shared" ref="P40" si="48">N40/M40</f>
        <v>0</v>
      </c>
    </row>
    <row r="41" spans="2:16" ht="15" customHeight="1">
      <c r="B41" s="318"/>
      <c r="C41" s="303"/>
      <c r="D41" s="176" t="s">
        <v>8</v>
      </c>
      <c r="E41" s="53">
        <v>3.7210000000000001</v>
      </c>
      <c r="F41" s="208"/>
      <c r="G41" s="99">
        <f>E41+F41+I40</f>
        <v>74.387</v>
      </c>
      <c r="H41" s="208"/>
      <c r="I41" s="99">
        <f t="shared" si="9"/>
        <v>74.387</v>
      </c>
      <c r="J41" s="83">
        <f t="shared" si="1"/>
        <v>0</v>
      </c>
      <c r="K41" s="284"/>
      <c r="L41" s="283"/>
      <c r="M41" s="283"/>
      <c r="N41" s="283"/>
      <c r="O41" s="283"/>
      <c r="P41" s="281"/>
    </row>
    <row r="42" spans="2:16" ht="15" customHeight="1">
      <c r="B42" s="318"/>
      <c r="C42" s="303" t="s">
        <v>19</v>
      </c>
      <c r="D42" s="176" t="s">
        <v>7</v>
      </c>
      <c r="E42" s="53">
        <v>4.5890000000000004</v>
      </c>
      <c r="F42" s="208"/>
      <c r="G42" s="10">
        <f>E42+F42</f>
        <v>4.5890000000000004</v>
      </c>
      <c r="H42" s="208"/>
      <c r="I42" s="99">
        <f t="shared" si="9"/>
        <v>4.5890000000000004</v>
      </c>
      <c r="J42" s="83">
        <f t="shared" si="1"/>
        <v>0</v>
      </c>
      <c r="K42" s="284">
        <f t="shared" ref="K42" si="49">E42+E43</f>
        <v>4.8310000000000004</v>
      </c>
      <c r="L42" s="283">
        <f t="shared" ref="L42" si="50">F42+F43</f>
        <v>0</v>
      </c>
      <c r="M42" s="283">
        <f t="shared" ref="M42" si="51">K42+L42</f>
        <v>4.8310000000000004</v>
      </c>
      <c r="N42" s="283">
        <f t="shared" si="8"/>
        <v>0</v>
      </c>
      <c r="O42" s="283">
        <f t="shared" ref="O42" si="52">M42-N42</f>
        <v>4.8310000000000004</v>
      </c>
      <c r="P42" s="281">
        <f t="shared" ref="P42" si="53">N42/M42</f>
        <v>0</v>
      </c>
    </row>
    <row r="43" spans="2:16" ht="15" customHeight="1">
      <c r="B43" s="318"/>
      <c r="C43" s="303"/>
      <c r="D43" s="176" t="s">
        <v>8</v>
      </c>
      <c r="E43" s="53">
        <v>0.24199999999999999</v>
      </c>
      <c r="F43" s="208"/>
      <c r="G43" s="99">
        <f>E43+F43+I42</f>
        <v>4.8310000000000004</v>
      </c>
      <c r="H43" s="208"/>
      <c r="I43" s="99">
        <f t="shared" si="9"/>
        <v>4.8310000000000004</v>
      </c>
      <c r="J43" s="83">
        <f t="shared" si="1"/>
        <v>0</v>
      </c>
      <c r="K43" s="284"/>
      <c r="L43" s="283"/>
      <c r="M43" s="283"/>
      <c r="N43" s="283"/>
      <c r="O43" s="283"/>
      <c r="P43" s="281"/>
    </row>
    <row r="44" spans="2:16" ht="15" customHeight="1">
      <c r="B44" s="318"/>
      <c r="C44" s="303" t="s">
        <v>20</v>
      </c>
      <c r="D44" s="176" t="s">
        <v>7</v>
      </c>
      <c r="E44" s="53">
        <f>4654.176+240.143</f>
        <v>4894.3190000000004</v>
      </c>
      <c r="F44" s="208"/>
      <c r="G44" s="10">
        <f>E44+F44</f>
        <v>4894.3190000000004</v>
      </c>
      <c r="H44" s="208"/>
      <c r="I44" s="99">
        <f t="shared" si="9"/>
        <v>4894.3190000000004</v>
      </c>
      <c r="J44" s="83">
        <f t="shared" si="1"/>
        <v>0</v>
      </c>
      <c r="K44" s="284">
        <f t="shared" ref="K44" si="54">E44+E45</f>
        <v>5152.0350000000008</v>
      </c>
      <c r="L44" s="283">
        <f t="shared" ref="L44" si="55">F44+F45</f>
        <v>0</v>
      </c>
      <c r="M44" s="283">
        <f t="shared" ref="M44" si="56">K44+L44</f>
        <v>5152.0350000000008</v>
      </c>
      <c r="N44" s="283">
        <f t="shared" si="8"/>
        <v>0</v>
      </c>
      <c r="O44" s="283">
        <f t="shared" ref="O44" si="57">M44-N44</f>
        <v>5152.0350000000008</v>
      </c>
      <c r="P44" s="281">
        <f t="shared" ref="P44" si="58">N44/M44</f>
        <v>0</v>
      </c>
    </row>
    <row r="45" spans="2:16" ht="15" customHeight="1">
      <c r="B45" s="318"/>
      <c r="C45" s="303"/>
      <c r="D45" s="176" t="s">
        <v>8</v>
      </c>
      <c r="E45" s="53">
        <f>245.071+12.645</f>
        <v>257.71600000000001</v>
      </c>
      <c r="F45" s="208"/>
      <c r="G45" s="99">
        <f>E45+F45+I44</f>
        <v>5152.0350000000008</v>
      </c>
      <c r="H45" s="208"/>
      <c r="I45" s="99">
        <f t="shared" si="9"/>
        <v>5152.0350000000008</v>
      </c>
      <c r="J45" s="83">
        <f t="shared" si="1"/>
        <v>0</v>
      </c>
      <c r="K45" s="284"/>
      <c r="L45" s="283"/>
      <c r="M45" s="283"/>
      <c r="N45" s="283"/>
      <c r="O45" s="283"/>
      <c r="P45" s="281"/>
    </row>
    <row r="46" spans="2:16" ht="15" customHeight="1">
      <c r="B46" s="318"/>
      <c r="C46" s="303" t="s">
        <v>21</v>
      </c>
      <c r="D46" s="176" t="s">
        <v>7</v>
      </c>
      <c r="E46" s="53">
        <v>633.95899999999995</v>
      </c>
      <c r="F46" s="208"/>
      <c r="G46" s="10">
        <f>E46+F46</f>
        <v>633.95899999999995</v>
      </c>
      <c r="H46" s="208"/>
      <c r="I46" s="99">
        <f t="shared" si="9"/>
        <v>633.95899999999995</v>
      </c>
      <c r="J46" s="83">
        <f t="shared" si="1"/>
        <v>0</v>
      </c>
      <c r="K46" s="284">
        <f t="shared" ref="K46" si="59">E46+E47</f>
        <v>667.34099999999989</v>
      </c>
      <c r="L46" s="283">
        <f t="shared" ref="L46" si="60">F46+F47</f>
        <v>0</v>
      </c>
      <c r="M46" s="283">
        <f t="shared" ref="M46" si="61">K46+L46</f>
        <v>667.34099999999989</v>
      </c>
      <c r="N46" s="283">
        <f t="shared" si="8"/>
        <v>0</v>
      </c>
      <c r="O46" s="283">
        <f t="shared" ref="O46" si="62">M46-N46</f>
        <v>667.34099999999989</v>
      </c>
      <c r="P46" s="281">
        <f t="shared" ref="P46:P48" si="63">N46/M46</f>
        <v>0</v>
      </c>
    </row>
    <row r="47" spans="2:16" ht="15" customHeight="1">
      <c r="B47" s="318"/>
      <c r="C47" s="303"/>
      <c r="D47" s="176" t="s">
        <v>8</v>
      </c>
      <c r="E47" s="53">
        <v>33.381999999999998</v>
      </c>
      <c r="F47" s="208"/>
      <c r="G47" s="99">
        <f>E47+F47+I46</f>
        <v>667.34099999999989</v>
      </c>
      <c r="H47" s="208"/>
      <c r="I47" s="99">
        <f t="shared" si="9"/>
        <v>667.34099999999989</v>
      </c>
      <c r="J47" s="83">
        <f t="shared" si="1"/>
        <v>0</v>
      </c>
      <c r="K47" s="284"/>
      <c r="L47" s="283"/>
      <c r="M47" s="283"/>
      <c r="N47" s="283"/>
      <c r="O47" s="283"/>
      <c r="P47" s="281"/>
    </row>
    <row r="48" spans="2:16" ht="15" customHeight="1">
      <c r="B48" s="318"/>
      <c r="C48" s="303" t="s">
        <v>91</v>
      </c>
      <c r="D48" s="176" t="s">
        <v>7</v>
      </c>
      <c r="E48" s="53">
        <v>64.037999999999997</v>
      </c>
      <c r="F48" s="208"/>
      <c r="G48" s="10">
        <f>E48+F48</f>
        <v>64.037999999999997</v>
      </c>
      <c r="H48" s="208"/>
      <c r="I48" s="99">
        <f t="shared" si="9"/>
        <v>64.037999999999997</v>
      </c>
      <c r="J48" s="83">
        <f t="shared" si="1"/>
        <v>0</v>
      </c>
      <c r="K48" s="284">
        <f t="shared" ref="K48" si="64">E48+E49</f>
        <v>67.41</v>
      </c>
      <c r="L48" s="283">
        <f t="shared" ref="L48" si="65">F48+F49</f>
        <v>0</v>
      </c>
      <c r="M48" s="283">
        <f t="shared" ref="M48" si="66">K48+L48</f>
        <v>67.41</v>
      </c>
      <c r="N48" s="283">
        <f t="shared" si="8"/>
        <v>0</v>
      </c>
      <c r="O48" s="283">
        <f t="shared" ref="O48" si="67">M48-N48</f>
        <v>67.41</v>
      </c>
      <c r="P48" s="281">
        <f t="shared" si="63"/>
        <v>0</v>
      </c>
    </row>
    <row r="49" spans="2:16" ht="15" customHeight="1" thickBot="1">
      <c r="B49" s="319"/>
      <c r="C49" s="305"/>
      <c r="D49" s="177" t="s">
        <v>8</v>
      </c>
      <c r="E49" s="54">
        <v>3.3719999999999999</v>
      </c>
      <c r="F49" s="207"/>
      <c r="G49" s="100">
        <f>E49+F49+I48</f>
        <v>67.41</v>
      </c>
      <c r="H49" s="207"/>
      <c r="I49" s="100">
        <f t="shared" si="9"/>
        <v>67.41</v>
      </c>
      <c r="J49" s="147">
        <f t="shared" ref="J49:J80" si="68">H49/G49</f>
        <v>0</v>
      </c>
      <c r="K49" s="285"/>
      <c r="L49" s="286"/>
      <c r="M49" s="286"/>
      <c r="N49" s="286"/>
      <c r="O49" s="286"/>
      <c r="P49" s="287"/>
    </row>
    <row r="50" spans="2:16" ht="15" customHeight="1">
      <c r="B50" s="313" t="s">
        <v>30</v>
      </c>
      <c r="C50" s="314" t="s">
        <v>22</v>
      </c>
      <c r="D50" s="204" t="s">
        <v>7</v>
      </c>
      <c r="E50" s="205">
        <f>26213.004+2125.62</f>
        <v>28338.624</v>
      </c>
      <c r="F50" s="173"/>
      <c r="G50" s="10">
        <f>E50+F50</f>
        <v>28338.624</v>
      </c>
      <c r="H50" s="372">
        <v>11151.306</v>
      </c>
      <c r="I50" s="10">
        <f t="shared" ref="I50:I63" si="69">G50-H50</f>
        <v>17187.317999999999</v>
      </c>
      <c r="J50" s="83">
        <f t="shared" si="68"/>
        <v>0.39350202748023339</v>
      </c>
      <c r="K50" s="297">
        <f>E50+E51</f>
        <v>28916.963</v>
      </c>
      <c r="L50" s="298">
        <f t="shared" ref="L50" si="70">F50+F51</f>
        <v>0</v>
      </c>
      <c r="M50" s="298">
        <f t="shared" ref="M50" si="71">K50+L50</f>
        <v>28916.963</v>
      </c>
      <c r="N50" s="298">
        <f t="shared" ref="N50" si="72">H50+H51</f>
        <v>11151.306</v>
      </c>
      <c r="O50" s="298">
        <f t="shared" ref="O50" si="73">M50-N50</f>
        <v>17765.656999999999</v>
      </c>
      <c r="P50" s="296">
        <f t="shared" ref="P50" si="74">N50/M50</f>
        <v>0.38563199046870866</v>
      </c>
    </row>
    <row r="51" spans="2:16" ht="15" customHeight="1">
      <c r="B51" s="313"/>
      <c r="C51" s="304"/>
      <c r="D51" s="176" t="s">
        <v>8</v>
      </c>
      <c r="E51" s="53">
        <f>534.959+43.38</f>
        <v>578.33899999999994</v>
      </c>
      <c r="F51" s="153"/>
      <c r="G51" s="99">
        <f>E51+F51+I50</f>
        <v>17765.656999999999</v>
      </c>
      <c r="H51" s="229"/>
      <c r="I51" s="99">
        <f t="shared" si="69"/>
        <v>17765.656999999999</v>
      </c>
      <c r="J51" s="83">
        <f t="shared" si="68"/>
        <v>0</v>
      </c>
      <c r="K51" s="291"/>
      <c r="L51" s="283"/>
      <c r="M51" s="283"/>
      <c r="N51" s="283"/>
      <c r="O51" s="283"/>
      <c r="P51" s="281"/>
    </row>
    <row r="52" spans="2:16" ht="15" customHeight="1">
      <c r="B52" s="313"/>
      <c r="C52" s="304" t="s">
        <v>15</v>
      </c>
      <c r="D52" s="176" t="s">
        <v>7</v>
      </c>
      <c r="E52" s="53">
        <f>47446.247+1417.08</f>
        <v>48863.327000000005</v>
      </c>
      <c r="F52" s="84"/>
      <c r="G52" s="10">
        <f>E52+F52</f>
        <v>48863.327000000005</v>
      </c>
      <c r="H52" s="229">
        <v>9996.768</v>
      </c>
      <c r="I52" s="99">
        <f t="shared" si="69"/>
        <v>38866.559000000008</v>
      </c>
      <c r="J52" s="83">
        <f t="shared" si="68"/>
        <v>0.20458631480414746</v>
      </c>
      <c r="K52" s="291">
        <f>E52+E53</f>
        <v>49860.538000000008</v>
      </c>
      <c r="L52" s="283">
        <f t="shared" ref="L52" si="75">F52+F53</f>
        <v>0</v>
      </c>
      <c r="M52" s="282">
        <f t="shared" ref="M52" si="76">K52+L52</f>
        <v>49860.538000000008</v>
      </c>
      <c r="N52" s="283">
        <f t="shared" ref="N52" si="77">H52+H53</f>
        <v>9996.768</v>
      </c>
      <c r="O52" s="283">
        <f t="shared" ref="O52" si="78">M52-N52</f>
        <v>39863.770000000004</v>
      </c>
      <c r="P52" s="281">
        <f t="shared" ref="P52" si="79">N52/M52</f>
        <v>0.20049458752330346</v>
      </c>
    </row>
    <row r="53" spans="2:16" ht="15" customHeight="1">
      <c r="B53" s="313"/>
      <c r="C53" s="304"/>
      <c r="D53" s="176" t="s">
        <v>8</v>
      </c>
      <c r="E53" s="53">
        <f>968.291+28.92</f>
        <v>997.21100000000001</v>
      </c>
      <c r="F53" s="153"/>
      <c r="G53" s="99">
        <f>E53+F53+I52</f>
        <v>39863.770000000011</v>
      </c>
      <c r="H53" s="229"/>
      <c r="I53" s="99">
        <f t="shared" si="69"/>
        <v>39863.770000000011</v>
      </c>
      <c r="J53" s="83">
        <f t="shared" si="68"/>
        <v>0</v>
      </c>
      <c r="K53" s="291"/>
      <c r="L53" s="283"/>
      <c r="M53" s="282"/>
      <c r="N53" s="283"/>
      <c r="O53" s="283"/>
      <c r="P53" s="281"/>
    </row>
    <row r="54" spans="2:16" ht="15" customHeight="1">
      <c r="B54" s="313"/>
      <c r="C54" s="304" t="s">
        <v>21</v>
      </c>
      <c r="D54" s="176" t="s">
        <v>7</v>
      </c>
      <c r="E54" s="53">
        <f>39567.141+708.54</f>
        <v>40275.681000000004</v>
      </c>
      <c r="F54" s="153">
        <f>2475.474</f>
        <v>2475.4740000000002</v>
      </c>
      <c r="G54" s="10">
        <f>E54+F54</f>
        <v>42751.155000000006</v>
      </c>
      <c r="H54" s="84">
        <v>10184.174000000001</v>
      </c>
      <c r="I54" s="99">
        <f t="shared" si="69"/>
        <v>32566.981000000007</v>
      </c>
      <c r="J54" s="83">
        <f t="shared" si="68"/>
        <v>0.23821985628224546</v>
      </c>
      <c r="K54" s="291">
        <f>E54+E55</f>
        <v>41097.634000000005</v>
      </c>
      <c r="L54" s="283">
        <f t="shared" ref="L54" si="80">F54+F55</f>
        <v>2475.4740000000002</v>
      </c>
      <c r="M54" s="283">
        <f t="shared" ref="M54" si="81">K54+L54</f>
        <v>43573.108000000007</v>
      </c>
      <c r="N54" s="283">
        <f>H54+H55</f>
        <v>10184.174000000001</v>
      </c>
      <c r="O54" s="283">
        <f t="shared" ref="O54" si="82">M54-N54</f>
        <v>33388.934000000008</v>
      </c>
      <c r="P54" s="281">
        <f t="shared" ref="P54" si="83">N54/M54</f>
        <v>0.23372613218226249</v>
      </c>
    </row>
    <row r="55" spans="2:16" ht="15" customHeight="1">
      <c r="B55" s="313"/>
      <c r="C55" s="304"/>
      <c r="D55" s="176" t="s">
        <v>8</v>
      </c>
      <c r="E55" s="53">
        <f>807.493+14.46</f>
        <v>821.95300000000009</v>
      </c>
      <c r="F55" s="153"/>
      <c r="G55" s="99">
        <f>E55+F55+I54</f>
        <v>33388.934000000008</v>
      </c>
      <c r="H55" s="229"/>
      <c r="I55" s="99">
        <f>G55-H55</f>
        <v>33388.934000000008</v>
      </c>
      <c r="J55" s="83">
        <f t="shared" si="68"/>
        <v>0</v>
      </c>
      <c r="K55" s="291"/>
      <c r="L55" s="283"/>
      <c r="M55" s="283"/>
      <c r="N55" s="283"/>
      <c r="O55" s="283"/>
      <c r="P55" s="281"/>
    </row>
    <row r="56" spans="2:16" ht="15" customHeight="1">
      <c r="B56" s="313"/>
      <c r="C56" s="304" t="s">
        <v>10</v>
      </c>
      <c r="D56" s="176" t="s">
        <v>7</v>
      </c>
      <c r="E56" s="53">
        <v>558.96699999999998</v>
      </c>
      <c r="F56" s="153"/>
      <c r="G56" s="10">
        <f>E56+F56</f>
        <v>558.96699999999998</v>
      </c>
      <c r="H56" s="229"/>
      <c r="I56" s="153">
        <f t="shared" si="69"/>
        <v>558.96699999999998</v>
      </c>
      <c r="J56" s="83">
        <f t="shared" si="68"/>
        <v>0</v>
      </c>
      <c r="K56" s="291">
        <f>E56+E57</f>
        <v>570.37400000000002</v>
      </c>
      <c r="L56" s="283">
        <f>F56+F57</f>
        <v>0</v>
      </c>
      <c r="M56" s="283">
        <f>K56+L56</f>
        <v>570.37400000000002</v>
      </c>
      <c r="N56" s="283">
        <f>H56+H57</f>
        <v>0</v>
      </c>
      <c r="O56" s="283">
        <f t="shared" ref="O56" si="84">M56-N56</f>
        <v>570.37400000000002</v>
      </c>
      <c r="P56" s="281">
        <f t="shared" ref="P56" si="85">N56/M56</f>
        <v>0</v>
      </c>
    </row>
    <row r="57" spans="2:16" ht="15" customHeight="1">
      <c r="B57" s="313"/>
      <c r="C57" s="304"/>
      <c r="D57" s="176" t="s">
        <v>8</v>
      </c>
      <c r="E57" s="53">
        <v>11.407</v>
      </c>
      <c r="F57" s="153"/>
      <c r="G57" s="99">
        <f>E57+F57+I56</f>
        <v>570.37400000000002</v>
      </c>
      <c r="H57" s="229"/>
      <c r="I57" s="153">
        <f>G57-H57</f>
        <v>570.37400000000002</v>
      </c>
      <c r="J57" s="83">
        <f t="shared" si="68"/>
        <v>0</v>
      </c>
      <c r="K57" s="291"/>
      <c r="L57" s="283"/>
      <c r="M57" s="283"/>
      <c r="N57" s="283"/>
      <c r="O57" s="283"/>
      <c r="P57" s="281"/>
    </row>
    <row r="58" spans="2:16" ht="15" customHeight="1">
      <c r="B58" s="313"/>
      <c r="C58" s="304" t="s">
        <v>23</v>
      </c>
      <c r="D58" s="176" t="s">
        <v>7</v>
      </c>
      <c r="E58" s="53">
        <f>12073.098+696.731</f>
        <v>12769.829</v>
      </c>
      <c r="F58" s="153"/>
      <c r="G58" s="10">
        <f>E58+F58</f>
        <v>12769.829</v>
      </c>
      <c r="H58" s="229">
        <v>4517.6710000000003</v>
      </c>
      <c r="I58" s="99">
        <f t="shared" si="69"/>
        <v>8252.1579999999994</v>
      </c>
      <c r="J58" s="83">
        <f t="shared" si="68"/>
        <v>0.35377693781177494</v>
      </c>
      <c r="K58" s="291">
        <f>E58+E59</f>
        <v>13030.436</v>
      </c>
      <c r="L58" s="283">
        <f t="shared" ref="L58" si="86">F58+F59</f>
        <v>0</v>
      </c>
      <c r="M58" s="283">
        <f t="shared" ref="M58" si="87">K58+L58</f>
        <v>13030.436</v>
      </c>
      <c r="N58" s="283">
        <f t="shared" ref="N58" si="88">H58+H59</f>
        <v>4517.6710000000003</v>
      </c>
      <c r="O58" s="283">
        <f t="shared" ref="O58" si="89">M58-N58</f>
        <v>8512.7649999999994</v>
      </c>
      <c r="P58" s="281">
        <v>0</v>
      </c>
    </row>
    <row r="59" spans="2:16" ht="15" customHeight="1">
      <c r="B59" s="313"/>
      <c r="C59" s="304"/>
      <c r="D59" s="176" t="s">
        <v>8</v>
      </c>
      <c r="E59" s="53">
        <f>246.388+14.219</f>
        <v>260.60700000000003</v>
      </c>
      <c r="F59" s="153"/>
      <c r="G59" s="99">
        <f>E59+F59+I58</f>
        <v>8512.7649999999994</v>
      </c>
      <c r="H59" s="229"/>
      <c r="I59" s="99">
        <f t="shared" si="69"/>
        <v>8512.7649999999994</v>
      </c>
      <c r="J59" s="83">
        <f t="shared" si="68"/>
        <v>0</v>
      </c>
      <c r="K59" s="291"/>
      <c r="L59" s="283"/>
      <c r="M59" s="283"/>
      <c r="N59" s="283"/>
      <c r="O59" s="283"/>
      <c r="P59" s="281"/>
    </row>
    <row r="60" spans="2:16" ht="15" customHeight="1">
      <c r="B60" s="313"/>
      <c r="C60" s="304" t="s">
        <v>16</v>
      </c>
      <c r="D60" s="176" t="s">
        <v>7</v>
      </c>
      <c r="E60" s="53">
        <f>18911.287+5314.05</f>
        <v>24225.337</v>
      </c>
      <c r="F60" s="153"/>
      <c r="G60" s="10">
        <f>E60+F60</f>
        <v>24225.337</v>
      </c>
      <c r="H60" s="229">
        <v>6549.1909999999998</v>
      </c>
      <c r="I60" s="99">
        <f t="shared" si="69"/>
        <v>17676.146000000001</v>
      </c>
      <c r="J60" s="83">
        <f t="shared" si="68"/>
        <v>0.27034468086037355</v>
      </c>
      <c r="K60" s="291">
        <f t="shared" ref="K60" si="90">E60+E61</f>
        <v>24719.732</v>
      </c>
      <c r="L60" s="283">
        <f>F60+F61</f>
        <v>0</v>
      </c>
      <c r="M60" s="283">
        <f t="shared" ref="M60" si="91">K60+L60</f>
        <v>24719.732</v>
      </c>
      <c r="N60" s="283">
        <f t="shared" ref="N60" si="92">H60+H61</f>
        <v>6549.1909999999998</v>
      </c>
      <c r="O60" s="283">
        <f t="shared" ref="O60" si="93">M60-N60</f>
        <v>18170.541000000001</v>
      </c>
      <c r="P60" s="281">
        <f t="shared" ref="P60" si="94">N60/M60</f>
        <v>0.26493778330606493</v>
      </c>
    </row>
    <row r="61" spans="2:16" ht="15" customHeight="1">
      <c r="B61" s="313"/>
      <c r="C61" s="304"/>
      <c r="D61" s="176" t="s">
        <v>8</v>
      </c>
      <c r="E61" s="53">
        <f>385.945+108.45</f>
        <v>494.39499999999998</v>
      </c>
      <c r="F61" s="153"/>
      <c r="G61" s="99">
        <f>E61+F61+I60</f>
        <v>18170.541000000001</v>
      </c>
      <c r="H61" s="229"/>
      <c r="I61" s="99">
        <f t="shared" si="69"/>
        <v>18170.541000000001</v>
      </c>
      <c r="J61" s="83">
        <f t="shared" si="68"/>
        <v>0</v>
      </c>
      <c r="K61" s="291"/>
      <c r="L61" s="283"/>
      <c r="M61" s="283"/>
      <c r="N61" s="283"/>
      <c r="O61" s="283"/>
      <c r="P61" s="281"/>
    </row>
    <row r="62" spans="2:16" ht="15" customHeight="1">
      <c r="B62" s="313"/>
      <c r="C62" s="304" t="s">
        <v>24</v>
      </c>
      <c r="D62" s="176" t="s">
        <v>7</v>
      </c>
      <c r="E62" s="53">
        <v>2.008</v>
      </c>
      <c r="F62" s="153"/>
      <c r="G62" s="10">
        <f>E62+F62</f>
        <v>2.008</v>
      </c>
      <c r="H62" s="229"/>
      <c r="I62" s="99">
        <f t="shared" si="69"/>
        <v>2.008</v>
      </c>
      <c r="J62" s="83">
        <f t="shared" si="68"/>
        <v>0</v>
      </c>
      <c r="K62" s="291">
        <f>E62+E63</f>
        <v>2.0489999999999999</v>
      </c>
      <c r="L62" s="283">
        <f t="shared" ref="L62" si="95">F62+F63</f>
        <v>0</v>
      </c>
      <c r="M62" s="283">
        <f t="shared" ref="M62" si="96">K62+L62</f>
        <v>2.0489999999999999</v>
      </c>
      <c r="N62" s="283">
        <f t="shared" ref="N62" si="97">H62+H63</f>
        <v>0</v>
      </c>
      <c r="O62" s="283">
        <f t="shared" ref="O62" si="98">M62-N62</f>
        <v>2.0489999999999999</v>
      </c>
      <c r="P62" s="281">
        <f t="shared" ref="P62" si="99">N62/M62</f>
        <v>0</v>
      </c>
    </row>
    <row r="63" spans="2:16" ht="15" customHeight="1">
      <c r="B63" s="313"/>
      <c r="C63" s="304"/>
      <c r="D63" s="176" t="s">
        <v>8</v>
      </c>
      <c r="E63" s="53">
        <v>4.1000000000000002E-2</v>
      </c>
      <c r="F63" s="153"/>
      <c r="G63" s="99">
        <f>E63+F63+I62</f>
        <v>2.0489999999999999</v>
      </c>
      <c r="H63" s="229"/>
      <c r="I63" s="99">
        <f t="shared" si="69"/>
        <v>2.0489999999999999</v>
      </c>
      <c r="J63" s="83">
        <f t="shared" si="68"/>
        <v>0</v>
      </c>
      <c r="K63" s="291"/>
      <c r="L63" s="283"/>
      <c r="M63" s="283"/>
      <c r="N63" s="283"/>
      <c r="O63" s="283"/>
      <c r="P63" s="281"/>
    </row>
    <row r="64" spans="2:16" ht="15" customHeight="1">
      <c r="B64" s="313"/>
      <c r="C64" s="304" t="s">
        <v>18</v>
      </c>
      <c r="D64" s="176" t="s">
        <v>7</v>
      </c>
      <c r="E64" s="53">
        <f>9387.423+8148.21</f>
        <v>17535.633000000002</v>
      </c>
      <c r="F64" s="153"/>
      <c r="G64" s="10">
        <f>E64+F64</f>
        <v>17535.633000000002</v>
      </c>
      <c r="H64" s="229">
        <v>4131.9040000000005</v>
      </c>
      <c r="I64" s="99">
        <f t="shared" ref="I64:I107" si="100">G64-H64</f>
        <v>13403.729000000001</v>
      </c>
      <c r="J64" s="83">
        <f t="shared" si="68"/>
        <v>0.23562901892392479</v>
      </c>
      <c r="K64" s="291">
        <f>E64+E65</f>
        <v>17893.503000000001</v>
      </c>
      <c r="L64" s="283">
        <f t="shared" ref="L64" si="101">F64+F65</f>
        <v>0</v>
      </c>
      <c r="M64" s="283">
        <f t="shared" ref="M64" si="102">K64+L64</f>
        <v>17893.503000000001</v>
      </c>
      <c r="N64" s="283">
        <f t="shared" ref="N64" si="103">H64+H65</f>
        <v>4131.9040000000005</v>
      </c>
      <c r="O64" s="283">
        <f t="shared" ref="O64" si="104">M64-N64</f>
        <v>13761.599</v>
      </c>
      <c r="P64" s="281">
        <f t="shared" ref="P64" si="105">N64/M64</f>
        <v>0.23091643933555103</v>
      </c>
    </row>
    <row r="65" spans="2:16" ht="15" customHeight="1">
      <c r="B65" s="313"/>
      <c r="C65" s="304"/>
      <c r="D65" s="176" t="s">
        <v>8</v>
      </c>
      <c r="E65" s="53">
        <f>191.58+166.29</f>
        <v>357.87</v>
      </c>
      <c r="F65" s="153"/>
      <c r="G65" s="99">
        <f>E65+F65+I64</f>
        <v>13761.599000000002</v>
      </c>
      <c r="H65" s="229"/>
      <c r="I65" s="99">
        <f t="shared" si="100"/>
        <v>13761.599000000002</v>
      </c>
      <c r="J65" s="83">
        <f t="shared" si="68"/>
        <v>0</v>
      </c>
      <c r="K65" s="291"/>
      <c r="L65" s="283"/>
      <c r="M65" s="283"/>
      <c r="N65" s="283"/>
      <c r="O65" s="283"/>
      <c r="P65" s="281"/>
    </row>
    <row r="66" spans="2:16" ht="15" customHeight="1">
      <c r="B66" s="313"/>
      <c r="C66" s="304" t="s">
        <v>19</v>
      </c>
      <c r="D66" s="176" t="s">
        <v>7</v>
      </c>
      <c r="E66" s="53">
        <v>3263.6060000000002</v>
      </c>
      <c r="F66" s="148"/>
      <c r="G66" s="10">
        <f>E66+F66</f>
        <v>3263.6060000000002</v>
      </c>
      <c r="H66" s="229">
        <v>2819.2130000000002</v>
      </c>
      <c r="I66" s="153">
        <f t="shared" si="100"/>
        <v>444.39300000000003</v>
      </c>
      <c r="J66" s="83">
        <f t="shared" si="68"/>
        <v>0.86383374708834337</v>
      </c>
      <c r="K66" s="291">
        <f>E66+E67</f>
        <v>3330.21</v>
      </c>
      <c r="L66" s="283">
        <f>F66+F67</f>
        <v>0</v>
      </c>
      <c r="M66" s="283">
        <f t="shared" ref="M66" si="106">K66+L66</f>
        <v>3330.21</v>
      </c>
      <c r="N66" s="283">
        <f t="shared" ref="N66" si="107">H66+H67</f>
        <v>2819.2130000000002</v>
      </c>
      <c r="O66" s="283">
        <f t="shared" ref="O66" si="108">M66-N66</f>
        <v>510.99699999999984</v>
      </c>
      <c r="P66" s="281">
        <f t="shared" ref="P66" si="109">N66/M66</f>
        <v>0.84655712402521166</v>
      </c>
    </row>
    <row r="67" spans="2:16" ht="15" customHeight="1">
      <c r="B67" s="313"/>
      <c r="C67" s="304"/>
      <c r="D67" s="176" t="s">
        <v>8</v>
      </c>
      <c r="E67" s="53">
        <v>66.603999999999999</v>
      </c>
      <c r="F67" s="148"/>
      <c r="G67" s="99">
        <f>E67+F67+I66</f>
        <v>510.99700000000001</v>
      </c>
      <c r="H67" s="229"/>
      <c r="I67" s="153">
        <f t="shared" si="100"/>
        <v>510.99700000000001</v>
      </c>
      <c r="J67" s="83">
        <f t="shared" si="68"/>
        <v>0</v>
      </c>
      <c r="K67" s="291"/>
      <c r="L67" s="283"/>
      <c r="M67" s="283"/>
      <c r="N67" s="283"/>
      <c r="O67" s="283"/>
      <c r="P67" s="281"/>
    </row>
    <row r="68" spans="2:16" ht="15" customHeight="1">
      <c r="B68" s="313"/>
      <c r="C68" s="304" t="s">
        <v>12</v>
      </c>
      <c r="D68" s="176" t="s">
        <v>7</v>
      </c>
      <c r="E68" s="53">
        <f>43212.603+16473.555</f>
        <v>59686.158000000003</v>
      </c>
      <c r="F68" s="153"/>
      <c r="G68" s="10">
        <f>E68+F68</f>
        <v>59686.158000000003</v>
      </c>
      <c r="H68" s="229">
        <v>14502.785</v>
      </c>
      <c r="I68" s="153">
        <f t="shared" si="100"/>
        <v>45183.373000000007</v>
      </c>
      <c r="J68" s="83">
        <f t="shared" si="68"/>
        <v>0.24298406005626966</v>
      </c>
      <c r="K68" s="291">
        <f>E68+E69</f>
        <v>60904.243000000002</v>
      </c>
      <c r="L68" s="283">
        <f t="shared" ref="L68" si="110">F68+F69</f>
        <v>0</v>
      </c>
      <c r="M68" s="283">
        <f t="shared" ref="M68" si="111">K68+L68</f>
        <v>60904.243000000002</v>
      </c>
      <c r="N68" s="283">
        <f t="shared" ref="N68" si="112">H68+H69</f>
        <v>14502.785</v>
      </c>
      <c r="O68" s="283">
        <f t="shared" ref="O68" si="113">M68-N68</f>
        <v>46401.457999999999</v>
      </c>
      <c r="P68" s="281">
        <f t="shared" ref="P68" si="114">N68/M68</f>
        <v>0.23812437829659913</v>
      </c>
    </row>
    <row r="69" spans="2:16" ht="15" customHeight="1">
      <c r="B69" s="313"/>
      <c r="C69" s="304"/>
      <c r="D69" s="176" t="s">
        <v>8</v>
      </c>
      <c r="E69" s="53">
        <f>881.89+336.195</f>
        <v>1218.085</v>
      </c>
      <c r="F69" s="153"/>
      <c r="G69" s="99">
        <f>E69+F69+I68</f>
        <v>46401.458000000006</v>
      </c>
      <c r="H69" s="229"/>
      <c r="I69" s="153">
        <f t="shared" si="100"/>
        <v>46401.458000000006</v>
      </c>
      <c r="J69" s="83">
        <f t="shared" si="68"/>
        <v>0</v>
      </c>
      <c r="K69" s="291"/>
      <c r="L69" s="283"/>
      <c r="M69" s="283"/>
      <c r="N69" s="283"/>
      <c r="O69" s="283"/>
      <c r="P69" s="281"/>
    </row>
    <row r="70" spans="2:16" ht="15" customHeight="1">
      <c r="B70" s="313"/>
      <c r="C70" s="304" t="s">
        <v>25</v>
      </c>
      <c r="D70" s="176" t="s">
        <v>7</v>
      </c>
      <c r="E70" s="53">
        <v>77.491</v>
      </c>
      <c r="F70" s="153"/>
      <c r="G70" s="10">
        <f>E70+F70</f>
        <v>77.491</v>
      </c>
      <c r="H70" s="229"/>
      <c r="I70" s="99">
        <f t="shared" si="100"/>
        <v>77.491</v>
      </c>
      <c r="J70" s="83">
        <f t="shared" si="68"/>
        <v>0</v>
      </c>
      <c r="K70" s="291">
        <f>E70+E71</f>
        <v>79.072000000000003</v>
      </c>
      <c r="L70" s="283">
        <f t="shared" ref="L70" si="115">F70+F71</f>
        <v>0</v>
      </c>
      <c r="M70" s="283">
        <f t="shared" ref="M70" si="116">K70+L70</f>
        <v>79.072000000000003</v>
      </c>
      <c r="N70" s="283">
        <f t="shared" ref="N70" si="117">H70+H71</f>
        <v>0</v>
      </c>
      <c r="O70" s="283">
        <f t="shared" ref="O70" si="118">M70-N70</f>
        <v>79.072000000000003</v>
      </c>
      <c r="P70" s="281">
        <v>0</v>
      </c>
    </row>
    <row r="71" spans="2:16" ht="15" customHeight="1">
      <c r="B71" s="313"/>
      <c r="C71" s="304"/>
      <c r="D71" s="176" t="s">
        <v>8</v>
      </c>
      <c r="E71" s="53">
        <v>1.581</v>
      </c>
      <c r="F71" s="153"/>
      <c r="G71" s="99">
        <f>E71+F71+I70</f>
        <v>79.072000000000003</v>
      </c>
      <c r="H71" s="229"/>
      <c r="I71" s="99">
        <f t="shared" si="100"/>
        <v>79.072000000000003</v>
      </c>
      <c r="J71" s="83">
        <f t="shared" si="68"/>
        <v>0</v>
      </c>
      <c r="K71" s="291"/>
      <c r="L71" s="283"/>
      <c r="M71" s="283"/>
      <c r="N71" s="283"/>
      <c r="O71" s="283"/>
      <c r="P71" s="281"/>
    </row>
    <row r="72" spans="2:16" ht="15" customHeight="1">
      <c r="B72" s="313"/>
      <c r="C72" s="304" t="s">
        <v>190</v>
      </c>
      <c r="D72" s="176" t="s">
        <v>7</v>
      </c>
      <c r="E72" s="53">
        <v>40.151000000000003</v>
      </c>
      <c r="F72" s="84"/>
      <c r="G72" s="10">
        <f>E72+F72</f>
        <v>40.151000000000003</v>
      </c>
      <c r="H72" s="229">
        <v>5.3999999999999999E-2</v>
      </c>
      <c r="I72" s="153">
        <f t="shared" si="100"/>
        <v>40.097000000000001</v>
      </c>
      <c r="J72" s="83">
        <f t="shared" si="68"/>
        <v>1.3449229159921295E-3</v>
      </c>
      <c r="K72" s="291">
        <f>E72+E73</f>
        <v>40.970000000000006</v>
      </c>
      <c r="L72" s="283">
        <f t="shared" ref="L72" si="119">F72+F73</f>
        <v>0</v>
      </c>
      <c r="M72" s="283">
        <f t="shared" ref="M72" si="120">K72+L72</f>
        <v>40.970000000000006</v>
      </c>
      <c r="N72" s="283">
        <f t="shared" ref="N72" si="121">H72+H73</f>
        <v>5.3999999999999999E-2</v>
      </c>
      <c r="O72" s="283">
        <f t="shared" ref="O72" si="122">M72-N72</f>
        <v>40.916000000000004</v>
      </c>
      <c r="P72" s="281">
        <f t="shared" ref="P72" si="123">N72/M72</f>
        <v>1.318037588479375E-3</v>
      </c>
    </row>
    <row r="73" spans="2:16" ht="15" customHeight="1">
      <c r="B73" s="313"/>
      <c r="C73" s="304"/>
      <c r="D73" s="176" t="s">
        <v>8</v>
      </c>
      <c r="E73" s="53">
        <v>0.81899999999999995</v>
      </c>
      <c r="F73" s="153"/>
      <c r="G73" s="99">
        <f>E73+F73+I72</f>
        <v>40.916000000000004</v>
      </c>
      <c r="H73" s="229"/>
      <c r="I73" s="153">
        <f t="shared" si="100"/>
        <v>40.916000000000004</v>
      </c>
      <c r="J73" s="83">
        <f t="shared" si="68"/>
        <v>0</v>
      </c>
      <c r="K73" s="291"/>
      <c r="L73" s="283"/>
      <c r="M73" s="283"/>
      <c r="N73" s="283"/>
      <c r="O73" s="283"/>
      <c r="P73" s="281"/>
    </row>
    <row r="74" spans="2:16" ht="15" customHeight="1">
      <c r="B74" s="313"/>
      <c r="C74" s="304" t="s">
        <v>27</v>
      </c>
      <c r="D74" s="176" t="s">
        <v>7</v>
      </c>
      <c r="E74" s="53">
        <v>354.27</v>
      </c>
      <c r="F74" s="84"/>
      <c r="G74" s="10">
        <f>E74+F74</f>
        <v>354.27</v>
      </c>
      <c r="H74" s="229"/>
      <c r="I74" s="99">
        <f t="shared" ref="I74:I79" si="124">G74-H74</f>
        <v>354.27</v>
      </c>
      <c r="J74" s="83">
        <f t="shared" si="68"/>
        <v>0</v>
      </c>
      <c r="K74" s="291">
        <f>E74+E75</f>
        <v>361.5</v>
      </c>
      <c r="L74" s="283">
        <f t="shared" ref="L74:L78" si="125">F74+F75</f>
        <v>0</v>
      </c>
      <c r="M74" s="283">
        <f t="shared" ref="M74:M78" si="126">K74+L74</f>
        <v>361.5</v>
      </c>
      <c r="N74" s="283">
        <f t="shared" ref="N74:N78" si="127">H74+H75</f>
        <v>0</v>
      </c>
      <c r="O74" s="282">
        <f t="shared" ref="O74:O78" si="128">M74-N74</f>
        <v>361.5</v>
      </c>
      <c r="P74" s="281">
        <f t="shared" ref="P74:P78" si="129">N74/M74</f>
        <v>0</v>
      </c>
    </row>
    <row r="75" spans="2:16" ht="15" customHeight="1">
      <c r="B75" s="313"/>
      <c r="C75" s="304"/>
      <c r="D75" s="176" t="s">
        <v>8</v>
      </c>
      <c r="E75" s="53">
        <v>7.23</v>
      </c>
      <c r="F75" s="153"/>
      <c r="G75" s="99">
        <f>E75+F75+I74</f>
        <v>361.5</v>
      </c>
      <c r="H75" s="153"/>
      <c r="I75" s="99">
        <f t="shared" si="124"/>
        <v>361.5</v>
      </c>
      <c r="J75" s="83">
        <f t="shared" si="68"/>
        <v>0</v>
      </c>
      <c r="K75" s="291"/>
      <c r="L75" s="283"/>
      <c r="M75" s="283"/>
      <c r="N75" s="283"/>
      <c r="O75" s="282"/>
      <c r="P75" s="281"/>
    </row>
    <row r="76" spans="2:16" ht="15" customHeight="1">
      <c r="B76" s="313"/>
      <c r="C76" s="304" t="s">
        <v>90</v>
      </c>
      <c r="D76" s="176" t="s">
        <v>7</v>
      </c>
      <c r="E76" s="53">
        <v>11.808999999999999</v>
      </c>
      <c r="F76" s="153"/>
      <c r="G76" s="10">
        <f>E76+F76</f>
        <v>11.808999999999999</v>
      </c>
      <c r="H76" s="153"/>
      <c r="I76" s="99">
        <f t="shared" si="124"/>
        <v>11.808999999999999</v>
      </c>
      <c r="J76" s="83">
        <f t="shared" si="68"/>
        <v>0</v>
      </c>
      <c r="K76" s="291">
        <f>E76+E77</f>
        <v>12.049999999999999</v>
      </c>
      <c r="L76" s="283">
        <f t="shared" si="125"/>
        <v>0</v>
      </c>
      <c r="M76" s="283">
        <f t="shared" si="126"/>
        <v>12.049999999999999</v>
      </c>
      <c r="N76" s="283">
        <f t="shared" si="127"/>
        <v>0</v>
      </c>
      <c r="O76" s="283">
        <f t="shared" si="128"/>
        <v>12.049999999999999</v>
      </c>
      <c r="P76" s="281">
        <f t="shared" si="129"/>
        <v>0</v>
      </c>
    </row>
    <row r="77" spans="2:16" ht="15" customHeight="1">
      <c r="B77" s="313"/>
      <c r="C77" s="304"/>
      <c r="D77" s="176" t="s">
        <v>8</v>
      </c>
      <c r="E77" s="53">
        <v>0.24099999999999999</v>
      </c>
      <c r="F77" s="153"/>
      <c r="G77" s="99">
        <f>E77+F77+I76</f>
        <v>12.049999999999999</v>
      </c>
      <c r="H77" s="153"/>
      <c r="I77" s="99">
        <f t="shared" si="124"/>
        <v>12.049999999999999</v>
      </c>
      <c r="J77" s="83">
        <f t="shared" si="68"/>
        <v>0</v>
      </c>
      <c r="K77" s="291"/>
      <c r="L77" s="283"/>
      <c r="M77" s="283"/>
      <c r="N77" s="283"/>
      <c r="O77" s="283"/>
      <c r="P77" s="281"/>
    </row>
    <row r="78" spans="2:16" ht="15" customHeight="1">
      <c r="B78" s="313"/>
      <c r="C78" s="304" t="s">
        <v>91</v>
      </c>
      <c r="D78" s="176" t="s">
        <v>7</v>
      </c>
      <c r="E78" s="53">
        <v>177.13499999999999</v>
      </c>
      <c r="F78" s="84"/>
      <c r="G78" s="10">
        <f>E78+F78</f>
        <v>177.13499999999999</v>
      </c>
      <c r="H78" s="153"/>
      <c r="I78" s="153">
        <f t="shared" si="124"/>
        <v>177.13499999999999</v>
      </c>
      <c r="J78" s="83">
        <f t="shared" si="68"/>
        <v>0</v>
      </c>
      <c r="K78" s="291">
        <f>E78+E79</f>
        <v>180.75</v>
      </c>
      <c r="L78" s="283">
        <f t="shared" si="125"/>
        <v>0</v>
      </c>
      <c r="M78" s="283">
        <f t="shared" si="126"/>
        <v>180.75</v>
      </c>
      <c r="N78" s="283">
        <f t="shared" si="127"/>
        <v>0</v>
      </c>
      <c r="O78" s="283">
        <f t="shared" si="128"/>
        <v>180.75</v>
      </c>
      <c r="P78" s="281">
        <f t="shared" si="129"/>
        <v>0</v>
      </c>
    </row>
    <row r="79" spans="2:16" ht="15" customHeight="1" thickBot="1">
      <c r="B79" s="313"/>
      <c r="C79" s="304"/>
      <c r="D79" s="176" t="s">
        <v>8</v>
      </c>
      <c r="E79" s="53">
        <v>3.6150000000000002</v>
      </c>
      <c r="F79" s="153"/>
      <c r="G79" s="99">
        <f>E79+F79+I78</f>
        <v>180.75</v>
      </c>
      <c r="H79" s="153"/>
      <c r="I79" s="153">
        <f t="shared" si="124"/>
        <v>180.75</v>
      </c>
      <c r="J79" s="83">
        <f t="shared" si="68"/>
        <v>0</v>
      </c>
      <c r="K79" s="291"/>
      <c r="L79" s="283"/>
      <c r="M79" s="283"/>
      <c r="N79" s="283"/>
      <c r="O79" s="283"/>
      <c r="P79" s="281"/>
    </row>
    <row r="80" spans="2:16" ht="15" customHeight="1">
      <c r="B80" s="278" t="s">
        <v>31</v>
      </c>
      <c r="C80" s="302" t="s">
        <v>22</v>
      </c>
      <c r="D80" s="175" t="s">
        <v>7</v>
      </c>
      <c r="E80" s="52">
        <v>3212.8760000000002</v>
      </c>
      <c r="F80" s="206">
        <v>713.13099999999997</v>
      </c>
      <c r="G80" s="11">
        <f>E80+F80</f>
        <v>3926.0070000000001</v>
      </c>
      <c r="H80" s="206"/>
      <c r="I80" s="11">
        <f t="shared" si="100"/>
        <v>3926.0070000000001</v>
      </c>
      <c r="J80" s="24">
        <f t="shared" si="68"/>
        <v>0</v>
      </c>
      <c r="K80" s="294">
        <f>E80+E81</f>
        <v>3278.4230000000002</v>
      </c>
      <c r="L80" s="295">
        <f>F80+F81</f>
        <v>713.13099999999997</v>
      </c>
      <c r="M80" s="295">
        <f>K80+L80</f>
        <v>3991.5540000000001</v>
      </c>
      <c r="N80" s="295">
        <f t="shared" ref="N80" si="130">H80+H81</f>
        <v>0</v>
      </c>
      <c r="O80" s="295">
        <f t="shared" ref="O80" si="131">M80-N80</f>
        <v>3991.5540000000001</v>
      </c>
      <c r="P80" s="293">
        <f t="shared" ref="P80" si="132">N80/M80</f>
        <v>0</v>
      </c>
    </row>
    <row r="81" spans="2:16" ht="15" customHeight="1">
      <c r="B81" s="279"/>
      <c r="C81" s="300"/>
      <c r="D81" s="176" t="s">
        <v>8</v>
      </c>
      <c r="E81" s="53">
        <v>65.546999999999997</v>
      </c>
      <c r="F81" s="208"/>
      <c r="G81" s="99">
        <f>E81+F81+I80</f>
        <v>3991.5540000000001</v>
      </c>
      <c r="H81" s="208"/>
      <c r="I81" s="99">
        <f t="shared" si="100"/>
        <v>3991.5540000000001</v>
      </c>
      <c r="J81" s="83">
        <f t="shared" ref="J81:J105" si="133">H81/G81</f>
        <v>0</v>
      </c>
      <c r="K81" s="284"/>
      <c r="L81" s="283"/>
      <c r="M81" s="283"/>
      <c r="N81" s="283"/>
      <c r="O81" s="283"/>
      <c r="P81" s="281"/>
    </row>
    <row r="82" spans="2:16" ht="15" customHeight="1">
      <c r="B82" s="279"/>
      <c r="C82" s="300" t="s">
        <v>14</v>
      </c>
      <c r="D82" s="176" t="s">
        <v>7</v>
      </c>
      <c r="E82" s="53">
        <v>28.41</v>
      </c>
      <c r="F82" s="208"/>
      <c r="G82" s="10">
        <f>E82+F82</f>
        <v>28.41</v>
      </c>
      <c r="H82" s="208"/>
      <c r="I82" s="99">
        <f t="shared" si="100"/>
        <v>28.41</v>
      </c>
      <c r="J82" s="83">
        <f t="shared" si="133"/>
        <v>0</v>
      </c>
      <c r="K82" s="284">
        <f t="shared" ref="K82" si="134">E82+E83</f>
        <v>28.99</v>
      </c>
      <c r="L82" s="283">
        <f t="shared" ref="L82" si="135">F82+F83</f>
        <v>0</v>
      </c>
      <c r="M82" s="283">
        <f t="shared" ref="M82" si="136">K82+L82</f>
        <v>28.99</v>
      </c>
      <c r="N82" s="283">
        <f t="shared" ref="N82" si="137">H82+H83</f>
        <v>0</v>
      </c>
      <c r="O82" s="283">
        <f t="shared" ref="O82" si="138">M82-N82</f>
        <v>28.99</v>
      </c>
      <c r="P82" s="281">
        <f t="shared" ref="P82:P84" si="139">N82/M82</f>
        <v>0</v>
      </c>
    </row>
    <row r="83" spans="2:16" ht="15" customHeight="1">
      <c r="B83" s="279"/>
      <c r="C83" s="300"/>
      <c r="D83" s="176" t="s">
        <v>8</v>
      </c>
      <c r="E83" s="53">
        <v>0.57999999999999996</v>
      </c>
      <c r="F83" s="208"/>
      <c r="G83" s="99">
        <f>E83+F83+I82</f>
        <v>28.99</v>
      </c>
      <c r="H83" s="208"/>
      <c r="I83" s="99">
        <f t="shared" si="100"/>
        <v>28.99</v>
      </c>
      <c r="J83" s="83">
        <f t="shared" si="133"/>
        <v>0</v>
      </c>
      <c r="K83" s="284"/>
      <c r="L83" s="283"/>
      <c r="M83" s="283"/>
      <c r="N83" s="283"/>
      <c r="O83" s="283"/>
      <c r="P83" s="281"/>
    </row>
    <row r="84" spans="2:16" ht="15" customHeight="1">
      <c r="B84" s="279"/>
      <c r="C84" s="300" t="s">
        <v>21</v>
      </c>
      <c r="D84" s="176" t="s">
        <v>7</v>
      </c>
      <c r="E84" s="53">
        <f>3753.953+789.36</f>
        <v>4543.3130000000001</v>
      </c>
      <c r="F84" s="208"/>
      <c r="G84" s="10">
        <f>E84+F84</f>
        <v>4543.3130000000001</v>
      </c>
      <c r="H84" s="208"/>
      <c r="I84" s="99">
        <f t="shared" si="100"/>
        <v>4543.3130000000001</v>
      </c>
      <c r="J84" s="83">
        <f t="shared" si="133"/>
        <v>0</v>
      </c>
      <c r="K84" s="284">
        <f>E84+E85</f>
        <v>4636.0029999999997</v>
      </c>
      <c r="L84" s="283">
        <f>F84+F85</f>
        <v>0</v>
      </c>
      <c r="M84" s="283">
        <f t="shared" ref="M84" si="140">K84+L84</f>
        <v>4636.0029999999997</v>
      </c>
      <c r="N84" s="283">
        <f t="shared" ref="N84" si="141">H84+H85</f>
        <v>0</v>
      </c>
      <c r="O84" s="283">
        <f t="shared" ref="O84" si="142">M84-N84</f>
        <v>4636.0029999999997</v>
      </c>
      <c r="P84" s="281">
        <f t="shared" si="139"/>
        <v>0</v>
      </c>
    </row>
    <row r="85" spans="2:16" ht="15" customHeight="1">
      <c r="B85" s="279"/>
      <c r="C85" s="300"/>
      <c r="D85" s="176" t="s">
        <v>8</v>
      </c>
      <c r="E85" s="53">
        <f>76.586+16.104</f>
        <v>92.69</v>
      </c>
      <c r="F85" s="208"/>
      <c r="G85" s="99">
        <f>E85+F85+I84</f>
        <v>4636.0029999999997</v>
      </c>
      <c r="H85" s="208"/>
      <c r="I85" s="99">
        <f t="shared" si="100"/>
        <v>4636.0029999999997</v>
      </c>
      <c r="J85" s="83">
        <f t="shared" si="133"/>
        <v>0</v>
      </c>
      <c r="K85" s="284"/>
      <c r="L85" s="283"/>
      <c r="M85" s="283"/>
      <c r="N85" s="283"/>
      <c r="O85" s="283"/>
      <c r="P85" s="281"/>
    </row>
    <row r="86" spans="2:16" ht="15" customHeight="1">
      <c r="B86" s="279"/>
      <c r="C86" s="300" t="s">
        <v>190</v>
      </c>
      <c r="D86" s="176" t="s">
        <v>7</v>
      </c>
      <c r="E86" s="53">
        <v>1.1180000000000001</v>
      </c>
      <c r="F86" s="208"/>
      <c r="G86" s="10">
        <f>E86+F86</f>
        <v>1.1180000000000001</v>
      </c>
      <c r="H86" s="208"/>
      <c r="I86" s="99">
        <f t="shared" si="100"/>
        <v>1.1180000000000001</v>
      </c>
      <c r="J86" s="83">
        <f t="shared" si="133"/>
        <v>0</v>
      </c>
      <c r="K86" s="284">
        <f>E86+E87</f>
        <v>1.141</v>
      </c>
      <c r="L86" s="283">
        <f t="shared" ref="L86" si="143">F86+F87</f>
        <v>0</v>
      </c>
      <c r="M86" s="283">
        <f t="shared" ref="M86" si="144">K86+L86</f>
        <v>1.141</v>
      </c>
      <c r="N86" s="283">
        <f t="shared" ref="N86" si="145">H86+H87</f>
        <v>0</v>
      </c>
      <c r="O86" s="283">
        <f t="shared" ref="O86" si="146">M86-N86</f>
        <v>1.141</v>
      </c>
      <c r="P86" s="281">
        <f t="shared" ref="P86" si="147">N86/M86</f>
        <v>0</v>
      </c>
    </row>
    <row r="87" spans="2:16" ht="15" customHeight="1">
      <c r="B87" s="279"/>
      <c r="C87" s="300"/>
      <c r="D87" s="176" t="s">
        <v>8</v>
      </c>
      <c r="E87" s="53">
        <v>2.3E-2</v>
      </c>
      <c r="F87" s="208"/>
      <c r="G87" s="99">
        <f>E87+F87+I86</f>
        <v>1.141</v>
      </c>
      <c r="H87" s="208"/>
      <c r="I87" s="99">
        <f t="shared" si="100"/>
        <v>1.141</v>
      </c>
      <c r="J87" s="83">
        <f t="shared" si="133"/>
        <v>0</v>
      </c>
      <c r="K87" s="284"/>
      <c r="L87" s="283"/>
      <c r="M87" s="283"/>
      <c r="N87" s="283"/>
      <c r="O87" s="283"/>
      <c r="P87" s="281"/>
    </row>
    <row r="88" spans="2:16" ht="15" customHeight="1">
      <c r="B88" s="279"/>
      <c r="C88" s="300" t="s">
        <v>15</v>
      </c>
      <c r="D88" s="176" t="s">
        <v>7</v>
      </c>
      <c r="E88" s="53">
        <v>6827.2860000000001</v>
      </c>
      <c r="F88" s="208"/>
      <c r="G88" s="10">
        <f>E88+F88</f>
        <v>6827.2860000000001</v>
      </c>
      <c r="H88" s="208"/>
      <c r="I88" s="99">
        <f t="shared" si="100"/>
        <v>6827.2860000000001</v>
      </c>
      <c r="J88" s="83">
        <f t="shared" si="133"/>
        <v>0</v>
      </c>
      <c r="K88" s="284">
        <f>E88+E89</f>
        <v>6966.5720000000001</v>
      </c>
      <c r="L88" s="283">
        <f t="shared" ref="L88" si="148">F88+F89</f>
        <v>0</v>
      </c>
      <c r="M88" s="283">
        <f t="shared" ref="M88" si="149">K88+L88</f>
        <v>6966.5720000000001</v>
      </c>
      <c r="N88" s="283">
        <f t="shared" ref="N88" si="150">H88+H89</f>
        <v>0</v>
      </c>
      <c r="O88" s="283">
        <f t="shared" ref="O88" si="151">M88-N88</f>
        <v>6966.5720000000001</v>
      </c>
      <c r="P88" s="281">
        <f t="shared" ref="P88" si="152">N88/M88</f>
        <v>0</v>
      </c>
    </row>
    <row r="89" spans="2:16" ht="15" customHeight="1">
      <c r="B89" s="279"/>
      <c r="C89" s="300"/>
      <c r="D89" s="176" t="s">
        <v>8</v>
      </c>
      <c r="E89" s="53">
        <v>139.286</v>
      </c>
      <c r="F89" s="208"/>
      <c r="G89" s="99">
        <f>E89+F89+I88</f>
        <v>6966.5720000000001</v>
      </c>
      <c r="H89" s="208"/>
      <c r="I89" s="99">
        <f t="shared" si="100"/>
        <v>6966.5720000000001</v>
      </c>
      <c r="J89" s="83">
        <f t="shared" si="133"/>
        <v>0</v>
      </c>
      <c r="K89" s="284"/>
      <c r="L89" s="283"/>
      <c r="M89" s="283"/>
      <c r="N89" s="283"/>
      <c r="O89" s="283"/>
      <c r="P89" s="281"/>
    </row>
    <row r="90" spans="2:16" ht="15" customHeight="1">
      <c r="B90" s="279"/>
      <c r="C90" s="300" t="s">
        <v>10</v>
      </c>
      <c r="D90" s="176" t="s">
        <v>7</v>
      </c>
      <c r="E90" s="53">
        <v>159.63800000000001</v>
      </c>
      <c r="F90" s="208"/>
      <c r="G90" s="10">
        <f>E90+F90</f>
        <v>159.63800000000001</v>
      </c>
      <c r="H90" s="208"/>
      <c r="I90" s="99">
        <f t="shared" si="100"/>
        <v>159.63800000000001</v>
      </c>
      <c r="J90" s="83">
        <f t="shared" si="133"/>
        <v>0</v>
      </c>
      <c r="K90" s="284">
        <f>E90+E91</f>
        <v>162.89500000000001</v>
      </c>
      <c r="L90" s="283">
        <f t="shared" ref="L90" si="153">F90+F91</f>
        <v>0</v>
      </c>
      <c r="M90" s="283">
        <f t="shared" ref="M90" si="154">K90+L90</f>
        <v>162.89500000000001</v>
      </c>
      <c r="N90" s="283">
        <f t="shared" ref="N90" si="155">H90+H91</f>
        <v>0</v>
      </c>
      <c r="O90" s="283">
        <f t="shared" ref="O90" si="156">M90-N90</f>
        <v>162.89500000000001</v>
      </c>
      <c r="P90" s="281">
        <f t="shared" ref="P90" si="157">N90/M90</f>
        <v>0</v>
      </c>
    </row>
    <row r="91" spans="2:16" ht="15" customHeight="1">
      <c r="B91" s="279"/>
      <c r="C91" s="300"/>
      <c r="D91" s="176" t="s">
        <v>8</v>
      </c>
      <c r="E91" s="53">
        <v>3.2570000000000001</v>
      </c>
      <c r="F91" s="208"/>
      <c r="G91" s="99">
        <f>E91+F91+I90</f>
        <v>162.89500000000001</v>
      </c>
      <c r="H91" s="208"/>
      <c r="I91" s="99">
        <f t="shared" si="100"/>
        <v>162.89500000000001</v>
      </c>
      <c r="J91" s="83">
        <f t="shared" si="133"/>
        <v>0</v>
      </c>
      <c r="K91" s="284"/>
      <c r="L91" s="283"/>
      <c r="M91" s="283"/>
      <c r="N91" s="283"/>
      <c r="O91" s="283"/>
      <c r="P91" s="281"/>
    </row>
    <row r="92" spans="2:16" ht="15" customHeight="1">
      <c r="B92" s="279"/>
      <c r="C92" s="300" t="s">
        <v>23</v>
      </c>
      <c r="D92" s="176" t="s">
        <v>7</v>
      </c>
      <c r="E92" s="53">
        <f>1494.159+592.02</f>
        <v>2086.1790000000001</v>
      </c>
      <c r="F92" s="208"/>
      <c r="G92" s="10">
        <f>E92+F92</f>
        <v>2086.1790000000001</v>
      </c>
      <c r="H92" s="208"/>
      <c r="I92" s="99">
        <f t="shared" si="100"/>
        <v>2086.1790000000001</v>
      </c>
      <c r="J92" s="83">
        <f t="shared" si="133"/>
        <v>0</v>
      </c>
      <c r="K92" s="284">
        <f>E92+E93</f>
        <v>2128.739</v>
      </c>
      <c r="L92" s="283">
        <f t="shared" ref="L92" si="158">F92+F93</f>
        <v>0</v>
      </c>
      <c r="M92" s="283">
        <f t="shared" ref="M92" si="159">K92+L92</f>
        <v>2128.739</v>
      </c>
      <c r="N92" s="283">
        <f t="shared" ref="N92" si="160">H92+H93</f>
        <v>0</v>
      </c>
      <c r="O92" s="283">
        <f t="shared" ref="O92" si="161">M92-N92</f>
        <v>2128.739</v>
      </c>
      <c r="P92" s="281">
        <v>0</v>
      </c>
    </row>
    <row r="93" spans="2:16" ht="15" customHeight="1">
      <c r="B93" s="279"/>
      <c r="C93" s="300"/>
      <c r="D93" s="176" t="s">
        <v>8</v>
      </c>
      <c r="E93" s="53">
        <f>30.482+12.078</f>
        <v>42.56</v>
      </c>
      <c r="F93" s="208"/>
      <c r="G93" s="99">
        <f>E93+F93+I92</f>
        <v>2128.739</v>
      </c>
      <c r="H93" s="208"/>
      <c r="I93" s="99">
        <f t="shared" si="100"/>
        <v>2128.739</v>
      </c>
      <c r="J93" s="83">
        <f t="shared" si="133"/>
        <v>0</v>
      </c>
      <c r="K93" s="284"/>
      <c r="L93" s="283"/>
      <c r="M93" s="283"/>
      <c r="N93" s="283"/>
      <c r="O93" s="283"/>
      <c r="P93" s="281"/>
    </row>
    <row r="94" spans="2:16" ht="15" customHeight="1">
      <c r="B94" s="279"/>
      <c r="C94" s="300" t="s">
        <v>16</v>
      </c>
      <c r="D94" s="176" t="s">
        <v>7</v>
      </c>
      <c r="E94" s="53">
        <f>2688.675+592.02</f>
        <v>3280.6950000000002</v>
      </c>
      <c r="F94" s="208"/>
      <c r="G94" s="10">
        <f>E94+F94</f>
        <v>3280.6950000000002</v>
      </c>
      <c r="H94" s="208"/>
      <c r="I94" s="99">
        <f t="shared" si="100"/>
        <v>3280.6950000000002</v>
      </c>
      <c r="J94" s="83">
        <f t="shared" si="133"/>
        <v>0</v>
      </c>
      <c r="K94" s="284">
        <f>E94+E95</f>
        <v>3347.6260000000002</v>
      </c>
      <c r="L94" s="283">
        <f t="shared" ref="L94" si="162">F94+F95</f>
        <v>0</v>
      </c>
      <c r="M94" s="283">
        <f t="shared" ref="M94" si="163">K94+L94</f>
        <v>3347.6260000000002</v>
      </c>
      <c r="N94" s="283">
        <f t="shared" ref="N94" si="164">H94+H95</f>
        <v>0</v>
      </c>
      <c r="O94" s="283">
        <f t="shared" ref="O94" si="165">M94-N94</f>
        <v>3347.6260000000002</v>
      </c>
      <c r="P94" s="281">
        <f t="shared" ref="P94" si="166">N94/M94</f>
        <v>0</v>
      </c>
    </row>
    <row r="95" spans="2:16" ht="15" customHeight="1">
      <c r="B95" s="279"/>
      <c r="C95" s="300"/>
      <c r="D95" s="176" t="s">
        <v>8</v>
      </c>
      <c r="E95" s="53">
        <f>54.853+12.078</f>
        <v>66.930999999999997</v>
      </c>
      <c r="F95" s="208"/>
      <c r="G95" s="99">
        <f>E95+F95+I94</f>
        <v>3347.6260000000002</v>
      </c>
      <c r="H95" s="208"/>
      <c r="I95" s="99">
        <f t="shared" si="100"/>
        <v>3347.6260000000002</v>
      </c>
      <c r="J95" s="83">
        <f t="shared" si="133"/>
        <v>0</v>
      </c>
      <c r="K95" s="284"/>
      <c r="L95" s="283"/>
      <c r="M95" s="283"/>
      <c r="N95" s="283"/>
      <c r="O95" s="283"/>
      <c r="P95" s="281"/>
    </row>
    <row r="96" spans="2:16" ht="15" customHeight="1">
      <c r="B96" s="279"/>
      <c r="C96" s="300" t="s">
        <v>90</v>
      </c>
      <c r="D96" s="176" t="s">
        <v>7</v>
      </c>
      <c r="E96" s="53">
        <v>0.28000000000000003</v>
      </c>
      <c r="F96" s="208"/>
      <c r="G96" s="10">
        <f>E96+F96</f>
        <v>0.28000000000000003</v>
      </c>
      <c r="H96" s="208"/>
      <c r="I96" s="99">
        <f t="shared" si="100"/>
        <v>0.28000000000000003</v>
      </c>
      <c r="J96" s="83">
        <f t="shared" si="133"/>
        <v>0</v>
      </c>
      <c r="K96" s="284">
        <f>E96+E97</f>
        <v>0.28600000000000003</v>
      </c>
      <c r="L96" s="283">
        <f t="shared" ref="L96" si="167">F96+F97</f>
        <v>0</v>
      </c>
      <c r="M96" s="283">
        <f t="shared" ref="M96" si="168">K96+L96</f>
        <v>0.28600000000000003</v>
      </c>
      <c r="N96" s="283">
        <f t="shared" ref="N96" si="169">H96+H97</f>
        <v>0</v>
      </c>
      <c r="O96" s="283">
        <f t="shared" ref="O96" si="170">M96-N96</f>
        <v>0.28600000000000003</v>
      </c>
      <c r="P96" s="281">
        <f t="shared" ref="P96" si="171">N96/M96</f>
        <v>0</v>
      </c>
    </row>
    <row r="97" spans="2:16" ht="15" customHeight="1">
      <c r="B97" s="279"/>
      <c r="C97" s="300"/>
      <c r="D97" s="176" t="s">
        <v>8</v>
      </c>
      <c r="E97" s="53">
        <v>6.0000000000000001E-3</v>
      </c>
      <c r="F97" s="208"/>
      <c r="G97" s="99">
        <f>E97+F97+I96</f>
        <v>0.28600000000000003</v>
      </c>
      <c r="H97" s="208"/>
      <c r="I97" s="99">
        <f t="shared" si="100"/>
        <v>0.28600000000000003</v>
      </c>
      <c r="J97" s="83">
        <f t="shared" si="133"/>
        <v>0</v>
      </c>
      <c r="K97" s="284"/>
      <c r="L97" s="283"/>
      <c r="M97" s="283"/>
      <c r="N97" s="283"/>
      <c r="O97" s="283"/>
      <c r="P97" s="281"/>
    </row>
    <row r="98" spans="2:16" ht="15" customHeight="1">
      <c r="B98" s="279"/>
      <c r="C98" s="300" t="s">
        <v>18</v>
      </c>
      <c r="D98" s="176" t="s">
        <v>7</v>
      </c>
      <c r="E98" s="53">
        <f>1531.572+1134.705</f>
        <v>2666.277</v>
      </c>
      <c r="F98" s="208"/>
      <c r="G98" s="10">
        <f>E98+F98</f>
        <v>2666.277</v>
      </c>
      <c r="H98" s="208"/>
      <c r="I98" s="99">
        <f t="shared" si="100"/>
        <v>2666.277</v>
      </c>
      <c r="J98" s="83">
        <f t="shared" si="133"/>
        <v>0</v>
      </c>
      <c r="K98" s="284">
        <f>E98+E99</f>
        <v>2720.6730000000002</v>
      </c>
      <c r="L98" s="283">
        <f t="shared" ref="L98" si="172">F98+F99</f>
        <v>0</v>
      </c>
      <c r="M98" s="283">
        <f t="shared" ref="M98" si="173">K98+L98</f>
        <v>2720.6730000000002</v>
      </c>
      <c r="N98" s="283">
        <f t="shared" ref="N98" si="174">H98+H99</f>
        <v>0</v>
      </c>
      <c r="O98" s="283">
        <f t="shared" ref="O98" si="175">M98-N98</f>
        <v>2720.6730000000002</v>
      </c>
      <c r="P98" s="281">
        <f t="shared" ref="P98" si="176">N98/M98</f>
        <v>0</v>
      </c>
    </row>
    <row r="99" spans="2:16" ht="15" customHeight="1">
      <c r="B99" s="279"/>
      <c r="C99" s="300"/>
      <c r="D99" s="176" t="s">
        <v>8</v>
      </c>
      <c r="E99" s="53">
        <f>31.246+23.15</f>
        <v>54.396000000000001</v>
      </c>
      <c r="F99" s="208"/>
      <c r="G99" s="99">
        <f>E99+F99+I98</f>
        <v>2720.6730000000002</v>
      </c>
      <c r="H99" s="208"/>
      <c r="I99" s="99">
        <f t="shared" si="100"/>
        <v>2720.6730000000002</v>
      </c>
      <c r="J99" s="83">
        <f t="shared" si="133"/>
        <v>0</v>
      </c>
      <c r="K99" s="284"/>
      <c r="L99" s="283"/>
      <c r="M99" s="283"/>
      <c r="N99" s="283"/>
      <c r="O99" s="283"/>
      <c r="P99" s="281"/>
    </row>
    <row r="100" spans="2:16" ht="15" customHeight="1">
      <c r="B100" s="279"/>
      <c r="C100" s="300" t="s">
        <v>19</v>
      </c>
      <c r="D100" s="176" t="s">
        <v>7</v>
      </c>
      <c r="E100" s="53">
        <v>1346.7139999999999</v>
      </c>
      <c r="F100" s="208"/>
      <c r="G100" s="99">
        <f t="shared" ref="G100" si="177">E100+F100</f>
        <v>1346.7139999999999</v>
      </c>
      <c r="H100" s="208"/>
      <c r="I100" s="99">
        <f t="shared" si="100"/>
        <v>1346.7139999999999</v>
      </c>
      <c r="J100" s="83">
        <f t="shared" si="133"/>
        <v>0</v>
      </c>
      <c r="K100" s="284">
        <f>E100+E101</f>
        <v>1374.1889999999999</v>
      </c>
      <c r="L100" s="283">
        <f t="shared" ref="L100" si="178">F100+F101</f>
        <v>0</v>
      </c>
      <c r="M100" s="283">
        <f t="shared" ref="M100" si="179">K100+L100</f>
        <v>1374.1889999999999</v>
      </c>
      <c r="N100" s="283">
        <f t="shared" ref="N100" si="180">H100+H101</f>
        <v>0</v>
      </c>
      <c r="O100" s="283">
        <f t="shared" ref="O100" si="181">M100-N100</f>
        <v>1374.1889999999999</v>
      </c>
      <c r="P100" s="281">
        <f t="shared" ref="P100" si="182">N100/M100</f>
        <v>0</v>
      </c>
    </row>
    <row r="101" spans="2:16" ht="15" customHeight="1">
      <c r="B101" s="279"/>
      <c r="C101" s="300"/>
      <c r="D101" s="176" t="s">
        <v>8</v>
      </c>
      <c r="E101" s="53">
        <v>27.475000000000001</v>
      </c>
      <c r="F101" s="208"/>
      <c r="G101" s="99">
        <f t="shared" ref="G101" si="183">E101+F101+I100</f>
        <v>1374.1889999999999</v>
      </c>
      <c r="H101" s="208"/>
      <c r="I101" s="99">
        <f t="shared" si="100"/>
        <v>1374.1889999999999</v>
      </c>
      <c r="J101" s="83">
        <f t="shared" si="133"/>
        <v>0</v>
      </c>
      <c r="K101" s="284"/>
      <c r="L101" s="283"/>
      <c r="M101" s="283"/>
      <c r="N101" s="283"/>
      <c r="O101" s="283"/>
      <c r="P101" s="281"/>
    </row>
    <row r="102" spans="2:16" ht="15" customHeight="1">
      <c r="B102" s="279"/>
      <c r="C102" s="300" t="s">
        <v>12</v>
      </c>
      <c r="D102" s="176" t="s">
        <v>7</v>
      </c>
      <c r="E102" s="53">
        <f>6856.591+1825.395</f>
        <v>8681.9860000000008</v>
      </c>
      <c r="F102" s="208"/>
      <c r="G102" s="99">
        <f t="shared" ref="G102" si="184">E102+F102</f>
        <v>8681.9860000000008</v>
      </c>
      <c r="H102" s="208"/>
      <c r="I102" s="99">
        <f t="shared" si="100"/>
        <v>8681.9860000000008</v>
      </c>
      <c r="J102" s="83">
        <f t="shared" si="133"/>
        <v>0</v>
      </c>
      <c r="K102" s="284">
        <f>E102+E103</f>
        <v>8859.1130000000012</v>
      </c>
      <c r="L102" s="283">
        <f t="shared" ref="L102" si="185">F102+F103</f>
        <v>0</v>
      </c>
      <c r="M102" s="283">
        <f t="shared" ref="M102" si="186">K102+L102</f>
        <v>8859.1130000000012</v>
      </c>
      <c r="N102" s="283">
        <f t="shared" ref="N102" si="187">H102+H103</f>
        <v>0</v>
      </c>
      <c r="O102" s="283">
        <f t="shared" ref="O102" si="188">M102-N102</f>
        <v>8859.1130000000012</v>
      </c>
      <c r="P102" s="281">
        <f t="shared" ref="P102" si="189">N102/M102</f>
        <v>0</v>
      </c>
    </row>
    <row r="103" spans="2:16" ht="15" customHeight="1">
      <c r="B103" s="279"/>
      <c r="C103" s="300"/>
      <c r="D103" s="176" t="s">
        <v>8</v>
      </c>
      <c r="E103" s="53">
        <f>139.884+37.243</f>
        <v>177.12699999999998</v>
      </c>
      <c r="F103" s="208"/>
      <c r="G103" s="99">
        <f t="shared" ref="G103" si="190">E103+F103+I102</f>
        <v>8859.1130000000012</v>
      </c>
      <c r="H103" s="208"/>
      <c r="I103" s="99">
        <f t="shared" si="100"/>
        <v>8859.1130000000012</v>
      </c>
      <c r="J103" s="83">
        <f t="shared" si="133"/>
        <v>0</v>
      </c>
      <c r="K103" s="284"/>
      <c r="L103" s="283"/>
      <c r="M103" s="283"/>
      <c r="N103" s="283"/>
      <c r="O103" s="283"/>
      <c r="P103" s="281"/>
    </row>
    <row r="104" spans="2:16" ht="15" customHeight="1">
      <c r="B104" s="279"/>
      <c r="C104" s="300" t="s">
        <v>25</v>
      </c>
      <c r="D104" s="176" t="s">
        <v>7</v>
      </c>
      <c r="E104" s="53">
        <v>55.222000000000001</v>
      </c>
      <c r="F104" s="208"/>
      <c r="G104" s="99">
        <f t="shared" ref="G104" si="191">E104+F104</f>
        <v>55.222000000000001</v>
      </c>
      <c r="H104" s="222">
        <v>3.4000000000000002E-2</v>
      </c>
      <c r="I104" s="99">
        <f t="shared" si="100"/>
        <v>55.188000000000002</v>
      </c>
      <c r="J104" s="83">
        <f t="shared" si="133"/>
        <v>6.1569664264242516E-4</v>
      </c>
      <c r="K104" s="284">
        <f t="shared" ref="K104" si="192">E104+E105</f>
        <v>56.349000000000004</v>
      </c>
      <c r="L104" s="283">
        <f t="shared" ref="L104" si="193">F104+F105</f>
        <v>0</v>
      </c>
      <c r="M104" s="283">
        <f t="shared" ref="M104" si="194">K104+L104</f>
        <v>56.349000000000004</v>
      </c>
      <c r="N104" s="283">
        <f t="shared" ref="N104" si="195">H104+H105</f>
        <v>3.4000000000000002E-2</v>
      </c>
      <c r="O104" s="283">
        <f t="shared" ref="O104" si="196">M104-N104</f>
        <v>56.315000000000005</v>
      </c>
      <c r="P104" s="281">
        <f t="shared" ref="P104" si="197">N104/M104</f>
        <v>6.0338249125982716E-4</v>
      </c>
    </row>
    <row r="105" spans="2:16" ht="15" customHeight="1">
      <c r="B105" s="279"/>
      <c r="C105" s="300"/>
      <c r="D105" s="176" t="s">
        <v>8</v>
      </c>
      <c r="E105" s="53">
        <v>1.127</v>
      </c>
      <c r="F105" s="208"/>
      <c r="G105" s="99">
        <f t="shared" ref="G105" si="198">E105+F105+I104</f>
        <v>56.315000000000005</v>
      </c>
      <c r="H105" s="208"/>
      <c r="I105" s="99">
        <f t="shared" si="100"/>
        <v>56.315000000000005</v>
      </c>
      <c r="J105" s="83">
        <f t="shared" si="133"/>
        <v>0</v>
      </c>
      <c r="K105" s="284"/>
      <c r="L105" s="283"/>
      <c r="M105" s="283"/>
      <c r="N105" s="283"/>
      <c r="O105" s="283"/>
      <c r="P105" s="281"/>
    </row>
    <row r="106" spans="2:16" ht="15" customHeight="1">
      <c r="B106" s="279"/>
      <c r="C106" s="300" t="s">
        <v>27</v>
      </c>
      <c r="D106" s="176" t="s">
        <v>7</v>
      </c>
      <c r="E106" s="53"/>
      <c r="F106" s="208"/>
      <c r="G106" s="99">
        <f t="shared" ref="G106" si="199">E106+F106</f>
        <v>0</v>
      </c>
      <c r="H106" s="208"/>
      <c r="I106" s="99">
        <f t="shared" si="100"/>
        <v>0</v>
      </c>
      <c r="J106" s="83">
        <v>0</v>
      </c>
      <c r="K106" s="284">
        <f>E106+E107</f>
        <v>0</v>
      </c>
      <c r="L106" s="283">
        <f t="shared" ref="L106" si="200">F106+F107</f>
        <v>0</v>
      </c>
      <c r="M106" s="283">
        <f t="shared" ref="M106" si="201">K106+L106</f>
        <v>0</v>
      </c>
      <c r="N106" s="283">
        <f t="shared" ref="N106" si="202">H106+H107</f>
        <v>0</v>
      </c>
      <c r="O106" s="283">
        <f t="shared" ref="O106" si="203">M106-N106</f>
        <v>0</v>
      </c>
      <c r="P106" s="281">
        <v>0</v>
      </c>
    </row>
    <row r="107" spans="2:16" ht="15" customHeight="1" thickBot="1">
      <c r="B107" s="280"/>
      <c r="C107" s="301"/>
      <c r="D107" s="177" t="s">
        <v>8</v>
      </c>
      <c r="E107" s="54"/>
      <c r="F107" s="207"/>
      <c r="G107" s="100">
        <f t="shared" ref="G107" si="204">E107+F107+I106</f>
        <v>0</v>
      </c>
      <c r="H107" s="207"/>
      <c r="I107" s="100">
        <f t="shared" si="100"/>
        <v>0</v>
      </c>
      <c r="J107" s="147">
        <v>0</v>
      </c>
      <c r="K107" s="285"/>
      <c r="L107" s="286"/>
      <c r="M107" s="286"/>
      <c r="N107" s="286"/>
      <c r="O107" s="286"/>
      <c r="P107" s="287"/>
    </row>
  </sheetData>
  <mergeCells count="363">
    <mergeCell ref="C68:C69"/>
    <mergeCell ref="C70:C71"/>
    <mergeCell ref="C72:C73"/>
    <mergeCell ref="N26:N27"/>
    <mergeCell ref="O26:O27"/>
    <mergeCell ref="P26:P27"/>
    <mergeCell ref="P28:P29"/>
    <mergeCell ref="N30:N31"/>
    <mergeCell ref="O30:O31"/>
    <mergeCell ref="P30:P31"/>
    <mergeCell ref="N28:N29"/>
    <mergeCell ref="O28:O29"/>
    <mergeCell ref="P32:P33"/>
    <mergeCell ref="M34:M35"/>
    <mergeCell ref="N34:N35"/>
    <mergeCell ref="O34:O35"/>
    <mergeCell ref="P34:P35"/>
    <mergeCell ref="K32:K33"/>
    <mergeCell ref="L32:L33"/>
    <mergeCell ref="M32:M33"/>
    <mergeCell ref="N32:N33"/>
    <mergeCell ref="O32:O33"/>
    <mergeCell ref="P42:P43"/>
    <mergeCell ref="P44:P45"/>
    <mergeCell ref="B3:P3"/>
    <mergeCell ref="B50:B79"/>
    <mergeCell ref="C50:C51"/>
    <mergeCell ref="C74:C75"/>
    <mergeCell ref="C76:C77"/>
    <mergeCell ref="C52:C53"/>
    <mergeCell ref="C54:C55"/>
    <mergeCell ref="M26:M27"/>
    <mergeCell ref="K30:K31"/>
    <mergeCell ref="L30:L31"/>
    <mergeCell ref="M30:M31"/>
    <mergeCell ref="K14:K15"/>
    <mergeCell ref="C56:C57"/>
    <mergeCell ref="C58:C59"/>
    <mergeCell ref="C60:C61"/>
    <mergeCell ref="N22:N23"/>
    <mergeCell ref="O22:O23"/>
    <mergeCell ref="P22:P23"/>
    <mergeCell ref="L22:L23"/>
    <mergeCell ref="M22:M23"/>
    <mergeCell ref="B6:B23"/>
    <mergeCell ref="B24:B49"/>
    <mergeCell ref="C6:C7"/>
    <mergeCell ref="C8:C9"/>
    <mergeCell ref="C10:C11"/>
    <mergeCell ref="K26:K27"/>
    <mergeCell ref="L26:L27"/>
    <mergeCell ref="L14:L15"/>
    <mergeCell ref="M14:M15"/>
    <mergeCell ref="M28:M29"/>
    <mergeCell ref="K34:K35"/>
    <mergeCell ref="L34:L35"/>
    <mergeCell ref="P14:P15"/>
    <mergeCell ref="K10:K11"/>
    <mergeCell ref="L10:L11"/>
    <mergeCell ref="M10:M11"/>
    <mergeCell ref="N10:N11"/>
    <mergeCell ref="O10:O11"/>
    <mergeCell ref="C18:C19"/>
    <mergeCell ref="K18:K19"/>
    <mergeCell ref="L18:L19"/>
    <mergeCell ref="M18:M19"/>
    <mergeCell ref="N18:N19"/>
    <mergeCell ref="O18:O19"/>
    <mergeCell ref="P18:P19"/>
    <mergeCell ref="P10:P11"/>
    <mergeCell ref="N14:N15"/>
    <mergeCell ref="C14:C15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C24:C25"/>
    <mergeCell ref="C38:C39"/>
    <mergeCell ref="C30:C31"/>
    <mergeCell ref="C32:C33"/>
    <mergeCell ref="C34:C35"/>
    <mergeCell ref="C36:C37"/>
    <mergeCell ref="C20:C21"/>
    <mergeCell ref="C22:C23"/>
    <mergeCell ref="N20:N21"/>
    <mergeCell ref="K28:K29"/>
    <mergeCell ref="L28:L29"/>
    <mergeCell ref="O14:O15"/>
    <mergeCell ref="C80:C81"/>
    <mergeCell ref="C26:C27"/>
    <mergeCell ref="C28:C29"/>
    <mergeCell ref="C62:C63"/>
    <mergeCell ref="C64:C65"/>
    <mergeCell ref="C16:C17"/>
    <mergeCell ref="C66:C67"/>
    <mergeCell ref="C48:C49"/>
    <mergeCell ref="C40:C41"/>
    <mergeCell ref="C42:C43"/>
    <mergeCell ref="C44:C45"/>
    <mergeCell ref="C46:C47"/>
    <mergeCell ref="C78:C79"/>
    <mergeCell ref="N16:N17"/>
    <mergeCell ref="O16:O17"/>
    <mergeCell ref="M42:M43"/>
    <mergeCell ref="N42:N43"/>
    <mergeCell ref="O42:O43"/>
    <mergeCell ref="K40:K41"/>
    <mergeCell ref="L40:L41"/>
    <mergeCell ref="M40:M41"/>
    <mergeCell ref="N40:N41"/>
    <mergeCell ref="O40:O41"/>
    <mergeCell ref="C92:C93"/>
    <mergeCell ref="C94:C95"/>
    <mergeCell ref="C96:C97"/>
    <mergeCell ref="C98:C99"/>
    <mergeCell ref="C100:C101"/>
    <mergeCell ref="C82:C83"/>
    <mergeCell ref="C84:C85"/>
    <mergeCell ref="C86:C87"/>
    <mergeCell ref="C88:C89"/>
    <mergeCell ref="C90:C91"/>
    <mergeCell ref="C106:C107"/>
    <mergeCell ref="C102:C103"/>
    <mergeCell ref="C104:C105"/>
    <mergeCell ref="P24:P25"/>
    <mergeCell ref="K24:K25"/>
    <mergeCell ref="L24:L25"/>
    <mergeCell ref="M24:M25"/>
    <mergeCell ref="N24:N25"/>
    <mergeCell ref="O24:O25"/>
    <mergeCell ref="P36:P37"/>
    <mergeCell ref="K38:K39"/>
    <mergeCell ref="L38:L39"/>
    <mergeCell ref="M38:M39"/>
    <mergeCell ref="N38:N39"/>
    <mergeCell ref="O38:O39"/>
    <mergeCell ref="P38:P39"/>
    <mergeCell ref="K36:K37"/>
    <mergeCell ref="L36:L37"/>
    <mergeCell ref="M36:M37"/>
    <mergeCell ref="N36:N37"/>
    <mergeCell ref="O36:O37"/>
    <mergeCell ref="P40:P41"/>
    <mergeCell ref="K42:K43"/>
    <mergeCell ref="L42:L43"/>
    <mergeCell ref="P16:P17"/>
    <mergeCell ref="K16:K17"/>
    <mergeCell ref="L16:L17"/>
    <mergeCell ref="M16:M17"/>
    <mergeCell ref="K20:K21"/>
    <mergeCell ref="L20:L21"/>
    <mergeCell ref="M20:M21"/>
    <mergeCell ref="K22:K23"/>
    <mergeCell ref="O20:O21"/>
    <mergeCell ref="P20:P21"/>
    <mergeCell ref="K46:K47"/>
    <mergeCell ref="L46:L47"/>
    <mergeCell ref="M46:M47"/>
    <mergeCell ref="N46:N47"/>
    <mergeCell ref="O46:O47"/>
    <mergeCell ref="P46:P47"/>
    <mergeCell ref="K44:K45"/>
    <mergeCell ref="L44:L45"/>
    <mergeCell ref="M44:M45"/>
    <mergeCell ref="N44:N45"/>
    <mergeCell ref="O44:O45"/>
    <mergeCell ref="K48:K49"/>
    <mergeCell ref="L48:L49"/>
    <mergeCell ref="M48:M49"/>
    <mergeCell ref="N48:N49"/>
    <mergeCell ref="O48:O49"/>
    <mergeCell ref="P48:P49"/>
    <mergeCell ref="P50:P51"/>
    <mergeCell ref="K52:K53"/>
    <mergeCell ref="L52:L53"/>
    <mergeCell ref="M52:M53"/>
    <mergeCell ref="N52:N53"/>
    <mergeCell ref="O52:O53"/>
    <mergeCell ref="P52:P53"/>
    <mergeCell ref="K50:K51"/>
    <mergeCell ref="L50:L51"/>
    <mergeCell ref="M50:M51"/>
    <mergeCell ref="N50:N51"/>
    <mergeCell ref="O50:O51"/>
    <mergeCell ref="P54:P55"/>
    <mergeCell ref="K56:K57"/>
    <mergeCell ref="L56:L57"/>
    <mergeCell ref="M56:M57"/>
    <mergeCell ref="N56:N57"/>
    <mergeCell ref="O56:O57"/>
    <mergeCell ref="P56:P57"/>
    <mergeCell ref="K54:K55"/>
    <mergeCell ref="L54:L55"/>
    <mergeCell ref="M54:M55"/>
    <mergeCell ref="N54:N55"/>
    <mergeCell ref="O54:O55"/>
    <mergeCell ref="P58:P59"/>
    <mergeCell ref="K60:K61"/>
    <mergeCell ref="L60:L61"/>
    <mergeCell ref="M60:M61"/>
    <mergeCell ref="N60:N61"/>
    <mergeCell ref="O60:O61"/>
    <mergeCell ref="P60:P61"/>
    <mergeCell ref="K58:K59"/>
    <mergeCell ref="L58:L59"/>
    <mergeCell ref="M58:M59"/>
    <mergeCell ref="N58:N59"/>
    <mergeCell ref="O58:O59"/>
    <mergeCell ref="P62:P63"/>
    <mergeCell ref="K64:K65"/>
    <mergeCell ref="L64:L65"/>
    <mergeCell ref="M64:M65"/>
    <mergeCell ref="N64:N65"/>
    <mergeCell ref="O64:O65"/>
    <mergeCell ref="P64:P65"/>
    <mergeCell ref="K62:K63"/>
    <mergeCell ref="L62:L63"/>
    <mergeCell ref="M62:M63"/>
    <mergeCell ref="N62:N63"/>
    <mergeCell ref="O62:O63"/>
    <mergeCell ref="M70:M71"/>
    <mergeCell ref="N70:N71"/>
    <mergeCell ref="O70:O71"/>
    <mergeCell ref="P66:P67"/>
    <mergeCell ref="K68:K69"/>
    <mergeCell ref="L68:L69"/>
    <mergeCell ref="M68:M69"/>
    <mergeCell ref="N68:N69"/>
    <mergeCell ref="O68:O69"/>
    <mergeCell ref="P68:P69"/>
    <mergeCell ref="K66:K67"/>
    <mergeCell ref="L66:L67"/>
    <mergeCell ref="M66:M67"/>
    <mergeCell ref="N66:N67"/>
    <mergeCell ref="O66:O67"/>
    <mergeCell ref="P80:P81"/>
    <mergeCell ref="K82:K83"/>
    <mergeCell ref="L82:L83"/>
    <mergeCell ref="M82:M83"/>
    <mergeCell ref="N82:N83"/>
    <mergeCell ref="O82:O83"/>
    <mergeCell ref="P82:P83"/>
    <mergeCell ref="K80:K81"/>
    <mergeCell ref="L80:L81"/>
    <mergeCell ref="M80:M81"/>
    <mergeCell ref="N80:N81"/>
    <mergeCell ref="O80:O81"/>
    <mergeCell ref="P84:P85"/>
    <mergeCell ref="K86:K87"/>
    <mergeCell ref="L86:L87"/>
    <mergeCell ref="M86:M87"/>
    <mergeCell ref="N86:N87"/>
    <mergeCell ref="O86:O87"/>
    <mergeCell ref="P86:P87"/>
    <mergeCell ref="K84:K85"/>
    <mergeCell ref="L84:L85"/>
    <mergeCell ref="M84:M85"/>
    <mergeCell ref="N84:N85"/>
    <mergeCell ref="O84:O85"/>
    <mergeCell ref="P88:P89"/>
    <mergeCell ref="K90:K91"/>
    <mergeCell ref="L90:L91"/>
    <mergeCell ref="M90:M91"/>
    <mergeCell ref="N90:N91"/>
    <mergeCell ref="O90:O91"/>
    <mergeCell ref="P90:P91"/>
    <mergeCell ref="K88:K89"/>
    <mergeCell ref="L88:L89"/>
    <mergeCell ref="M88:M89"/>
    <mergeCell ref="N88:N89"/>
    <mergeCell ref="O88:O89"/>
    <mergeCell ref="P92:P93"/>
    <mergeCell ref="K94:K95"/>
    <mergeCell ref="L94:L95"/>
    <mergeCell ref="M94:M95"/>
    <mergeCell ref="N94:N95"/>
    <mergeCell ref="O94:O95"/>
    <mergeCell ref="P94:P95"/>
    <mergeCell ref="K92:K93"/>
    <mergeCell ref="L92:L93"/>
    <mergeCell ref="M92:M93"/>
    <mergeCell ref="N92:N93"/>
    <mergeCell ref="O92:O93"/>
    <mergeCell ref="P96:P97"/>
    <mergeCell ref="K98:K99"/>
    <mergeCell ref="L98:L99"/>
    <mergeCell ref="M98:M99"/>
    <mergeCell ref="N98:N99"/>
    <mergeCell ref="O98:O99"/>
    <mergeCell ref="P98:P99"/>
    <mergeCell ref="K96:K97"/>
    <mergeCell ref="L96:L97"/>
    <mergeCell ref="M96:M97"/>
    <mergeCell ref="N96:N97"/>
    <mergeCell ref="O96:O97"/>
    <mergeCell ref="P100:P101"/>
    <mergeCell ref="K102:K103"/>
    <mergeCell ref="L102:L103"/>
    <mergeCell ref="M102:M103"/>
    <mergeCell ref="N102:N103"/>
    <mergeCell ref="O102:O103"/>
    <mergeCell ref="P102:P103"/>
    <mergeCell ref="K100:K101"/>
    <mergeCell ref="L100:L101"/>
    <mergeCell ref="M100:M101"/>
    <mergeCell ref="N100:N101"/>
    <mergeCell ref="O100:O101"/>
    <mergeCell ref="B2:P2"/>
    <mergeCell ref="K74:K75"/>
    <mergeCell ref="K76:K77"/>
    <mergeCell ref="K78:K79"/>
    <mergeCell ref="L74:L75"/>
    <mergeCell ref="L76:L77"/>
    <mergeCell ref="C12:C13"/>
    <mergeCell ref="K12:K13"/>
    <mergeCell ref="L12:L13"/>
    <mergeCell ref="M12:M13"/>
    <mergeCell ref="N12:N13"/>
    <mergeCell ref="O12:O13"/>
    <mergeCell ref="P12:P13"/>
    <mergeCell ref="M78:M79"/>
    <mergeCell ref="L78:L79"/>
    <mergeCell ref="P70:P71"/>
    <mergeCell ref="K72:K73"/>
    <mergeCell ref="L72:L73"/>
    <mergeCell ref="M72:M73"/>
    <mergeCell ref="N72:N73"/>
    <mergeCell ref="O72:O73"/>
    <mergeCell ref="P72:P73"/>
    <mergeCell ref="K70:K71"/>
    <mergeCell ref="L70:L71"/>
    <mergeCell ref="B80:B107"/>
    <mergeCell ref="P74:P75"/>
    <mergeCell ref="P76:P77"/>
    <mergeCell ref="P78:P79"/>
    <mergeCell ref="O74:O75"/>
    <mergeCell ref="O76:O77"/>
    <mergeCell ref="O78:O79"/>
    <mergeCell ref="M74:M75"/>
    <mergeCell ref="M76:M77"/>
    <mergeCell ref="N74:N75"/>
    <mergeCell ref="N76:N77"/>
    <mergeCell ref="N78:N79"/>
    <mergeCell ref="P104:P105"/>
    <mergeCell ref="K104:K105"/>
    <mergeCell ref="L104:L105"/>
    <mergeCell ref="M104:M105"/>
    <mergeCell ref="N104:N105"/>
    <mergeCell ref="O104:O105"/>
    <mergeCell ref="K106:K107"/>
    <mergeCell ref="L106:L107"/>
    <mergeCell ref="M106:M107"/>
    <mergeCell ref="N106:N107"/>
    <mergeCell ref="O106:O107"/>
    <mergeCell ref="P106:P107"/>
  </mergeCells>
  <pageMargins left="0.7" right="0.7" top="0.75" bottom="0.75" header="0.3" footer="0.3"/>
  <pageSetup paperSize="173" orientation="portrait" r:id="rId1"/>
  <ignoredErrors>
    <ignoredError sqref="M7 M24:M47 G100:G105 G106:G107 M15 M9 M11 M17 M19 M21 M48:M4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28"/>
  <sheetViews>
    <sheetView showGridLines="0" zoomScale="90" zoomScaleNormal="90" workbookViewId="0">
      <selection activeCell="E46" sqref="E46"/>
    </sheetView>
  </sheetViews>
  <sheetFormatPr baseColWidth="10" defaultColWidth="11.42578125" defaultRowHeight="15"/>
  <cols>
    <col min="1" max="1" width="22.28515625" style="32" customWidth="1"/>
    <col min="2" max="2" width="17.85546875" style="32" bestFit="1" customWidth="1"/>
    <col min="3" max="3" width="10.42578125" style="32" bestFit="1" customWidth="1"/>
    <col min="4" max="4" width="14" style="32" bestFit="1" customWidth="1"/>
    <col min="5" max="5" width="20" style="32" bestFit="1" customWidth="1"/>
    <col min="6" max="6" width="18.28515625" style="32" bestFit="1" customWidth="1"/>
    <col min="7" max="7" width="9.42578125" style="62" bestFit="1" customWidth="1"/>
    <col min="8" max="8" width="7" style="32" bestFit="1" customWidth="1"/>
    <col min="9" max="9" width="14.5703125" style="32" bestFit="1" customWidth="1"/>
    <col min="10" max="16384" width="11.42578125" style="32"/>
  </cols>
  <sheetData>
    <row r="1" spans="1:9" ht="15.75" thickBot="1">
      <c r="B1" s="55"/>
      <c r="C1" s="55"/>
      <c r="D1" s="55"/>
      <c r="E1" s="55"/>
      <c r="F1" s="55"/>
      <c r="G1" s="61"/>
      <c r="H1" s="55"/>
      <c r="I1" s="55"/>
    </row>
    <row r="2" spans="1:9" ht="15.75">
      <c r="B2" s="321" t="s">
        <v>92</v>
      </c>
      <c r="C2" s="322"/>
      <c r="D2" s="322"/>
      <c r="E2" s="322"/>
      <c r="F2" s="322"/>
      <c r="G2" s="322"/>
      <c r="H2" s="322"/>
      <c r="I2" s="323"/>
    </row>
    <row r="3" spans="1:9" ht="15.75" thickBot="1">
      <c r="B3" s="324">
        <v>43508</v>
      </c>
      <c r="C3" s="325"/>
      <c r="D3" s="325"/>
      <c r="E3" s="325"/>
      <c r="F3" s="325"/>
      <c r="G3" s="325"/>
      <c r="H3" s="325"/>
      <c r="I3" s="326"/>
    </row>
    <row r="4" spans="1:9">
      <c r="A4" s="56"/>
      <c r="B4" s="57"/>
      <c r="C4" s="57"/>
      <c r="D4" s="57"/>
      <c r="E4" s="57"/>
      <c r="F4" s="57"/>
      <c r="G4" s="57"/>
      <c r="H4" s="57"/>
      <c r="I4" s="57"/>
    </row>
    <row r="6" spans="1:9" ht="15.75" thickBot="1"/>
    <row r="7" spans="1:9" ht="15.75" thickBot="1">
      <c r="B7" s="182" t="s">
        <v>208</v>
      </c>
      <c r="C7" s="183" t="s">
        <v>209</v>
      </c>
      <c r="D7" s="183" t="s">
        <v>210</v>
      </c>
      <c r="E7" s="183" t="s">
        <v>217</v>
      </c>
      <c r="F7" s="183" t="s">
        <v>218</v>
      </c>
      <c r="G7" s="183" t="s">
        <v>219</v>
      </c>
      <c r="H7" s="183" t="s">
        <v>220</v>
      </c>
      <c r="I7" s="184" t="s">
        <v>221</v>
      </c>
    </row>
    <row r="8" spans="1:9">
      <c r="B8" s="189"/>
      <c r="C8" s="190"/>
      <c r="D8" s="190"/>
      <c r="E8" s="190"/>
      <c r="F8" s="190"/>
      <c r="G8" s="191"/>
      <c r="H8" s="190"/>
      <c r="I8" s="192"/>
    </row>
    <row r="9" spans="1:9">
      <c r="B9" s="193"/>
      <c r="C9" s="194"/>
      <c r="D9" s="194"/>
      <c r="E9" s="194"/>
      <c r="F9" s="194"/>
      <c r="G9" s="195"/>
      <c r="H9" s="194"/>
      <c r="I9" s="196"/>
    </row>
    <row r="10" spans="1:9">
      <c r="B10" s="193"/>
      <c r="C10" s="194"/>
      <c r="D10" s="194"/>
      <c r="E10" s="194"/>
      <c r="F10" s="194"/>
      <c r="G10" s="195"/>
      <c r="H10" s="194"/>
      <c r="I10" s="196"/>
    </row>
    <row r="11" spans="1:9">
      <c r="B11" s="193"/>
      <c r="C11" s="194"/>
      <c r="D11" s="194"/>
      <c r="E11" s="194"/>
      <c r="F11" s="194"/>
      <c r="G11" s="195"/>
      <c r="H11" s="194"/>
      <c r="I11" s="196"/>
    </row>
    <row r="12" spans="1:9">
      <c r="B12" s="193"/>
      <c r="C12" s="194"/>
      <c r="D12" s="194"/>
      <c r="E12" s="194"/>
      <c r="F12" s="194"/>
      <c r="G12" s="195"/>
      <c r="H12" s="194"/>
      <c r="I12" s="196"/>
    </row>
    <row r="13" spans="1:9">
      <c r="B13" s="193"/>
      <c r="C13" s="194"/>
      <c r="D13" s="194"/>
      <c r="E13" s="194"/>
      <c r="F13" s="194"/>
      <c r="G13" s="195"/>
      <c r="H13" s="194"/>
      <c r="I13" s="196"/>
    </row>
    <row r="14" spans="1:9">
      <c r="B14" s="193"/>
      <c r="C14" s="194"/>
      <c r="D14" s="194"/>
      <c r="E14" s="194"/>
      <c r="F14" s="194"/>
      <c r="G14" s="195"/>
      <c r="H14" s="194"/>
      <c r="I14" s="196"/>
    </row>
    <row r="15" spans="1:9">
      <c r="B15" s="193"/>
      <c r="C15" s="194"/>
      <c r="D15" s="194"/>
      <c r="E15" s="194"/>
      <c r="F15" s="194"/>
      <c r="G15" s="195"/>
      <c r="H15" s="194"/>
      <c r="I15" s="196"/>
    </row>
    <row r="16" spans="1:9">
      <c r="B16" s="193"/>
      <c r="C16" s="194"/>
      <c r="D16" s="194"/>
      <c r="E16" s="194"/>
      <c r="F16" s="194"/>
      <c r="G16" s="195"/>
      <c r="H16" s="194"/>
      <c r="I16" s="196"/>
    </row>
    <row r="17" spans="2:9">
      <c r="B17" s="193"/>
      <c r="C17" s="194"/>
      <c r="D17" s="194"/>
      <c r="E17" s="194"/>
      <c r="F17" s="194"/>
      <c r="G17" s="195"/>
      <c r="H17" s="194"/>
      <c r="I17" s="196"/>
    </row>
    <row r="18" spans="2:9">
      <c r="B18" s="193"/>
      <c r="C18" s="194"/>
      <c r="D18" s="194"/>
      <c r="E18" s="194"/>
      <c r="F18" s="194"/>
      <c r="G18" s="195"/>
      <c r="H18" s="194"/>
      <c r="I18" s="196"/>
    </row>
    <row r="19" spans="2:9">
      <c r="B19" s="193"/>
      <c r="C19" s="194"/>
      <c r="D19" s="194"/>
      <c r="E19" s="194"/>
      <c r="F19" s="194"/>
      <c r="G19" s="195"/>
      <c r="H19" s="194"/>
      <c r="I19" s="196"/>
    </row>
    <row r="20" spans="2:9">
      <c r="B20" s="193"/>
      <c r="C20" s="194"/>
      <c r="D20" s="194"/>
      <c r="E20" s="194"/>
      <c r="F20" s="194"/>
      <c r="G20" s="195"/>
      <c r="H20" s="194"/>
      <c r="I20" s="196"/>
    </row>
    <row r="21" spans="2:9">
      <c r="B21" s="193"/>
      <c r="C21" s="194"/>
      <c r="D21" s="194"/>
      <c r="E21" s="194"/>
      <c r="F21" s="194"/>
      <c r="G21" s="195"/>
      <c r="H21" s="194"/>
      <c r="I21" s="196"/>
    </row>
    <row r="22" spans="2:9">
      <c r="B22" s="193"/>
      <c r="C22" s="194"/>
      <c r="D22" s="194"/>
      <c r="E22" s="194"/>
      <c r="F22" s="194"/>
      <c r="G22" s="195"/>
      <c r="H22" s="194"/>
      <c r="I22" s="196"/>
    </row>
    <row r="23" spans="2:9">
      <c r="B23" s="193"/>
      <c r="C23" s="194"/>
      <c r="D23" s="194"/>
      <c r="E23" s="194"/>
      <c r="F23" s="194"/>
      <c r="G23" s="195"/>
      <c r="H23" s="194"/>
      <c r="I23" s="196"/>
    </row>
    <row r="24" spans="2:9">
      <c r="B24" s="193"/>
      <c r="C24" s="194"/>
      <c r="D24" s="194"/>
      <c r="E24" s="194"/>
      <c r="F24" s="194"/>
      <c r="G24" s="195"/>
      <c r="H24" s="194"/>
      <c r="I24" s="196"/>
    </row>
    <row r="25" spans="2:9">
      <c r="B25" s="193"/>
      <c r="C25" s="194"/>
      <c r="D25" s="194"/>
      <c r="E25" s="194"/>
      <c r="F25" s="194"/>
      <c r="G25" s="195"/>
      <c r="H25" s="194"/>
      <c r="I25" s="196"/>
    </row>
    <row r="26" spans="2:9">
      <c r="B26" s="193"/>
      <c r="C26" s="194"/>
      <c r="D26" s="194"/>
      <c r="E26" s="194"/>
      <c r="F26" s="194"/>
      <c r="G26" s="195"/>
      <c r="H26" s="194"/>
      <c r="I26" s="196"/>
    </row>
    <row r="27" spans="2:9">
      <c r="B27" s="193"/>
      <c r="C27" s="194"/>
      <c r="D27" s="194"/>
      <c r="E27" s="194"/>
      <c r="F27" s="194"/>
      <c r="G27" s="195"/>
      <c r="H27" s="194"/>
      <c r="I27" s="196"/>
    </row>
    <row r="28" spans="2:9" ht="15.75" thickBot="1">
      <c r="B28" s="197"/>
      <c r="C28" s="198"/>
      <c r="D28" s="198"/>
      <c r="E28" s="198"/>
      <c r="F28" s="198"/>
      <c r="G28" s="199"/>
      <c r="H28" s="198"/>
      <c r="I28" s="200"/>
    </row>
  </sheetData>
  <mergeCells count="2">
    <mergeCell ref="B2:I2"/>
    <mergeCell ref="B3:I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B1:J88"/>
  <sheetViews>
    <sheetView showGridLines="0" workbookViewId="0">
      <selection activeCell="B5" sqref="B5"/>
    </sheetView>
  </sheetViews>
  <sheetFormatPr baseColWidth="10" defaultRowHeight="15"/>
  <cols>
    <col min="1" max="1" width="35.7109375" style="32" customWidth="1"/>
    <col min="2" max="2" width="8.7109375" style="32" customWidth="1"/>
    <col min="3" max="3" width="14" style="32" customWidth="1"/>
    <col min="4" max="4" width="11.140625" style="32" customWidth="1"/>
    <col min="5" max="5" width="14.140625" style="32" customWidth="1"/>
    <col min="6" max="6" width="22.5703125" style="32" customWidth="1"/>
    <col min="7" max="7" width="12" style="32" customWidth="1"/>
    <col min="8" max="8" width="14" style="39" customWidth="1"/>
    <col min="9" max="9" width="12.140625" style="32" customWidth="1"/>
    <col min="10" max="16384" width="11.42578125" style="32"/>
  </cols>
  <sheetData>
    <row r="1" spans="2:10" ht="21" customHeight="1" thickBot="1"/>
    <row r="2" spans="2:10" ht="24" customHeight="1">
      <c r="B2" s="349" t="s">
        <v>198</v>
      </c>
      <c r="C2" s="350"/>
      <c r="D2" s="350"/>
      <c r="E2" s="350"/>
      <c r="F2" s="350"/>
      <c r="G2" s="350"/>
      <c r="H2" s="350"/>
      <c r="I2" s="350"/>
      <c r="J2" s="351"/>
    </row>
    <row r="3" spans="2:10" ht="12" customHeight="1">
      <c r="B3" s="355" t="s">
        <v>204</v>
      </c>
      <c r="C3" s="356"/>
      <c r="D3" s="356"/>
      <c r="E3" s="356"/>
      <c r="F3" s="356"/>
      <c r="G3" s="356"/>
      <c r="H3" s="356"/>
      <c r="I3" s="356"/>
      <c r="J3" s="357"/>
    </row>
    <row r="4" spans="2:10" ht="13.5" customHeight="1" thickBot="1">
      <c r="B4" s="352">
        <v>43508</v>
      </c>
      <c r="C4" s="353"/>
      <c r="D4" s="353"/>
      <c r="E4" s="353"/>
      <c r="F4" s="353"/>
      <c r="G4" s="353"/>
      <c r="H4" s="353"/>
      <c r="I4" s="353"/>
      <c r="J4" s="354"/>
    </row>
    <row r="5" spans="2:10" ht="25.5" customHeight="1" thickBot="1">
      <c r="B5" s="91"/>
      <c r="C5" s="91"/>
      <c r="D5" s="91"/>
      <c r="E5" s="91"/>
      <c r="F5" s="92"/>
      <c r="G5" s="91"/>
      <c r="H5" s="91"/>
      <c r="I5" s="91"/>
    </row>
    <row r="6" spans="2:10" ht="22.5" customHeight="1" thickBot="1">
      <c r="B6" s="105" t="s">
        <v>199</v>
      </c>
      <c r="C6" s="106" t="s">
        <v>184</v>
      </c>
      <c r="D6" s="106" t="s">
        <v>187</v>
      </c>
      <c r="E6" s="106" t="s">
        <v>185</v>
      </c>
      <c r="F6" s="106" t="s">
        <v>205</v>
      </c>
      <c r="G6" s="106" t="s">
        <v>106</v>
      </c>
      <c r="H6" s="106" t="s">
        <v>186</v>
      </c>
      <c r="I6" s="106" t="s">
        <v>110</v>
      </c>
      <c r="J6" s="107" t="s">
        <v>200</v>
      </c>
    </row>
    <row r="7" spans="2:10">
      <c r="B7" s="115"/>
      <c r="C7" s="138"/>
      <c r="D7" s="138"/>
      <c r="E7" s="138"/>
      <c r="F7" s="138"/>
      <c r="G7" s="338"/>
      <c r="H7" s="149"/>
      <c r="I7" s="330"/>
      <c r="J7" s="332"/>
    </row>
    <row r="8" spans="2:10" ht="15.75" thickBot="1">
      <c r="B8" s="116"/>
      <c r="C8" s="140"/>
      <c r="D8" s="140"/>
      <c r="E8" s="140"/>
      <c r="F8" s="140"/>
      <c r="G8" s="340"/>
      <c r="H8" s="150"/>
      <c r="I8" s="331"/>
      <c r="J8" s="333"/>
    </row>
    <row r="9" spans="2:10">
      <c r="B9" s="115"/>
      <c r="C9" s="138"/>
      <c r="D9" s="138"/>
      <c r="E9" s="138"/>
      <c r="F9" s="138"/>
      <c r="G9" s="338"/>
      <c r="H9" s="135"/>
      <c r="I9" s="330"/>
      <c r="J9" s="332"/>
    </row>
    <row r="10" spans="2:10">
      <c r="B10" s="117"/>
      <c r="C10" s="139"/>
      <c r="D10" s="139"/>
      <c r="E10" s="139"/>
      <c r="F10" s="139"/>
      <c r="G10" s="339"/>
      <c r="H10" s="141"/>
      <c r="I10" s="341"/>
      <c r="J10" s="347"/>
    </row>
    <row r="11" spans="2:10">
      <c r="B11" s="117"/>
      <c r="C11" s="139"/>
      <c r="D11" s="139"/>
      <c r="E11" s="139"/>
      <c r="F11" s="139"/>
      <c r="G11" s="339"/>
      <c r="H11" s="141"/>
      <c r="I11" s="341"/>
      <c r="J11" s="347"/>
    </row>
    <row r="12" spans="2:10">
      <c r="B12" s="117"/>
      <c r="C12" s="139"/>
      <c r="D12" s="139"/>
      <c r="E12" s="139"/>
      <c r="F12" s="139"/>
      <c r="G12" s="339"/>
      <c r="H12" s="141"/>
      <c r="I12" s="341"/>
      <c r="J12" s="347"/>
    </row>
    <row r="13" spans="2:10" ht="15.75" thickBot="1">
      <c r="B13" s="116"/>
      <c r="C13" s="140"/>
      <c r="D13" s="140"/>
      <c r="E13" s="140"/>
      <c r="F13" s="140"/>
      <c r="G13" s="340"/>
      <c r="H13" s="136"/>
      <c r="I13" s="331"/>
      <c r="J13" s="333"/>
    </row>
    <row r="14" spans="2:10">
      <c r="B14" s="115"/>
      <c r="C14" s="138"/>
      <c r="D14" s="138"/>
      <c r="E14" s="118"/>
      <c r="F14" s="118"/>
      <c r="G14" s="338"/>
      <c r="H14" s="135"/>
      <c r="I14" s="330"/>
      <c r="J14" s="332"/>
    </row>
    <row r="15" spans="2:10">
      <c r="B15" s="117"/>
      <c r="C15" s="139"/>
      <c r="D15" s="139"/>
      <c r="E15" s="119"/>
      <c r="F15" s="119"/>
      <c r="G15" s="339"/>
      <c r="H15" s="141"/>
      <c r="I15" s="341"/>
      <c r="J15" s="347"/>
    </row>
    <row r="16" spans="2:10">
      <c r="B16" s="117"/>
      <c r="C16" s="139"/>
      <c r="D16" s="139"/>
      <c r="E16" s="119"/>
      <c r="F16" s="119"/>
      <c r="G16" s="339"/>
      <c r="H16" s="141"/>
      <c r="I16" s="341"/>
      <c r="J16" s="347"/>
    </row>
    <row r="17" spans="2:10">
      <c r="B17" s="117"/>
      <c r="C17" s="139"/>
      <c r="D17" s="139"/>
      <c r="E17" s="119"/>
      <c r="F17" s="119"/>
      <c r="G17" s="339"/>
      <c r="H17" s="141"/>
      <c r="I17" s="341"/>
      <c r="J17" s="347"/>
    </row>
    <row r="18" spans="2:10">
      <c r="B18" s="117"/>
      <c r="C18" s="139"/>
      <c r="D18" s="139"/>
      <c r="E18" s="119"/>
      <c r="F18" s="119"/>
      <c r="G18" s="339"/>
      <c r="H18" s="141"/>
      <c r="I18" s="341"/>
      <c r="J18" s="347"/>
    </row>
    <row r="19" spans="2:10">
      <c r="B19" s="117"/>
      <c r="C19" s="139"/>
      <c r="D19" s="139"/>
      <c r="E19" s="119"/>
      <c r="F19" s="119"/>
      <c r="G19" s="339"/>
      <c r="H19" s="141"/>
      <c r="I19" s="341"/>
      <c r="J19" s="347"/>
    </row>
    <row r="20" spans="2:10">
      <c r="B20" s="117"/>
      <c r="C20" s="139"/>
      <c r="D20" s="139"/>
      <c r="E20" s="119"/>
      <c r="F20" s="119"/>
      <c r="G20" s="339"/>
      <c r="H20" s="141"/>
      <c r="I20" s="341"/>
      <c r="J20" s="347"/>
    </row>
    <row r="21" spans="2:10">
      <c r="B21" s="117"/>
      <c r="C21" s="139"/>
      <c r="D21" s="139"/>
      <c r="E21" s="119"/>
      <c r="F21" s="119"/>
      <c r="G21" s="339"/>
      <c r="H21" s="141"/>
      <c r="I21" s="341"/>
      <c r="J21" s="347"/>
    </row>
    <row r="22" spans="2:10">
      <c r="B22" s="117"/>
      <c r="C22" s="139"/>
      <c r="D22" s="139"/>
      <c r="E22" s="119"/>
      <c r="F22" s="119"/>
      <c r="G22" s="339"/>
      <c r="H22" s="141"/>
      <c r="I22" s="341"/>
      <c r="J22" s="347"/>
    </row>
    <row r="23" spans="2:10">
      <c r="B23" s="117"/>
      <c r="C23" s="139"/>
      <c r="D23" s="139"/>
      <c r="E23" s="119"/>
      <c r="F23" s="119"/>
      <c r="G23" s="339"/>
      <c r="H23" s="141"/>
      <c r="I23" s="341"/>
      <c r="J23" s="347"/>
    </row>
    <row r="24" spans="2:10">
      <c r="B24" s="117"/>
      <c r="C24" s="139"/>
      <c r="D24" s="139"/>
      <c r="E24" s="119"/>
      <c r="F24" s="119"/>
      <c r="G24" s="339"/>
      <c r="H24" s="141"/>
      <c r="I24" s="341"/>
      <c r="J24" s="347"/>
    </row>
    <row r="25" spans="2:10">
      <c r="B25" s="117"/>
      <c r="C25" s="139"/>
      <c r="D25" s="139"/>
      <c r="E25" s="119"/>
      <c r="F25" s="119"/>
      <c r="G25" s="339"/>
      <c r="H25" s="141"/>
      <c r="I25" s="341"/>
      <c r="J25" s="347"/>
    </row>
    <row r="26" spans="2:10">
      <c r="B26" s="117"/>
      <c r="C26" s="139"/>
      <c r="D26" s="139"/>
      <c r="E26" s="119"/>
      <c r="F26" s="119"/>
      <c r="G26" s="339"/>
      <c r="H26" s="141"/>
      <c r="I26" s="341"/>
      <c r="J26" s="347"/>
    </row>
    <row r="27" spans="2:10">
      <c r="B27" s="117"/>
      <c r="C27" s="139"/>
      <c r="D27" s="139"/>
      <c r="E27" s="119"/>
      <c r="F27" s="119"/>
      <c r="G27" s="339"/>
      <c r="H27" s="141"/>
      <c r="I27" s="341"/>
      <c r="J27" s="347"/>
    </row>
    <row r="28" spans="2:10">
      <c r="B28" s="117"/>
      <c r="C28" s="139"/>
      <c r="D28" s="139"/>
      <c r="E28" s="119"/>
      <c r="F28" s="119"/>
      <c r="G28" s="339"/>
      <c r="H28" s="141"/>
      <c r="I28" s="341"/>
      <c r="J28" s="347"/>
    </row>
    <row r="29" spans="2:10">
      <c r="B29" s="117"/>
      <c r="C29" s="139"/>
      <c r="D29" s="139"/>
      <c r="E29" s="119"/>
      <c r="F29" s="119"/>
      <c r="G29" s="339"/>
      <c r="H29" s="141"/>
      <c r="I29" s="341"/>
      <c r="J29" s="347"/>
    </row>
    <row r="30" spans="2:10">
      <c r="B30" s="117"/>
      <c r="C30" s="139"/>
      <c r="D30" s="139"/>
      <c r="E30" s="119"/>
      <c r="F30" s="119"/>
      <c r="G30" s="339"/>
      <c r="H30" s="141"/>
      <c r="I30" s="341"/>
      <c r="J30" s="347"/>
    </row>
    <row r="31" spans="2:10" ht="15.75" thickBot="1">
      <c r="B31" s="116"/>
      <c r="C31" s="140"/>
      <c r="D31" s="140"/>
      <c r="E31" s="120"/>
      <c r="F31" s="120"/>
      <c r="G31" s="340"/>
      <c r="H31" s="136"/>
      <c r="I31" s="331"/>
      <c r="J31" s="333"/>
    </row>
    <row r="32" spans="2:10">
      <c r="B32" s="115"/>
      <c r="C32" s="138"/>
      <c r="D32" s="138"/>
      <c r="E32" s="138"/>
      <c r="F32" s="138"/>
      <c r="G32" s="338"/>
      <c r="H32" s="135"/>
      <c r="I32" s="330"/>
      <c r="J32" s="332"/>
    </row>
    <row r="33" spans="2:10" ht="15.75" thickBot="1">
      <c r="B33" s="116"/>
      <c r="C33" s="140"/>
      <c r="D33" s="140"/>
      <c r="E33" s="140"/>
      <c r="F33" s="140"/>
      <c r="G33" s="340"/>
      <c r="H33" s="136"/>
      <c r="I33" s="331"/>
      <c r="J33" s="333"/>
    </row>
    <row r="34" spans="2:10">
      <c r="B34" s="121"/>
      <c r="C34" s="142"/>
      <c r="D34" s="142"/>
      <c r="E34" s="122"/>
      <c r="F34" s="122"/>
      <c r="G34" s="342"/>
      <c r="H34" s="144"/>
      <c r="I34" s="344"/>
      <c r="J34" s="346"/>
    </row>
    <row r="35" spans="2:10">
      <c r="B35" s="117"/>
      <c r="C35" s="139"/>
      <c r="D35" s="139"/>
      <c r="E35" s="119"/>
      <c r="F35" s="119"/>
      <c r="G35" s="339"/>
      <c r="H35" s="141"/>
      <c r="I35" s="341"/>
      <c r="J35" s="347"/>
    </row>
    <row r="36" spans="2:10">
      <c r="B36" s="117"/>
      <c r="C36" s="139"/>
      <c r="D36" s="139"/>
      <c r="E36" s="119"/>
      <c r="F36" s="119"/>
      <c r="G36" s="339"/>
      <c r="H36" s="141"/>
      <c r="I36" s="341"/>
      <c r="J36" s="347"/>
    </row>
    <row r="37" spans="2:10">
      <c r="B37" s="117"/>
      <c r="C37" s="139"/>
      <c r="D37" s="139"/>
      <c r="E37" s="119"/>
      <c r="F37" s="119"/>
      <c r="G37" s="339"/>
      <c r="H37" s="141"/>
      <c r="I37" s="341"/>
      <c r="J37" s="347"/>
    </row>
    <row r="38" spans="2:10">
      <c r="B38" s="117"/>
      <c r="C38" s="139"/>
      <c r="D38" s="139"/>
      <c r="E38" s="119"/>
      <c r="F38" s="119"/>
      <c r="G38" s="339"/>
      <c r="H38" s="141"/>
      <c r="I38" s="341"/>
      <c r="J38" s="347"/>
    </row>
    <row r="39" spans="2:10">
      <c r="B39" s="117"/>
      <c r="C39" s="139"/>
      <c r="D39" s="139"/>
      <c r="E39" s="119"/>
      <c r="F39" s="119"/>
      <c r="G39" s="339"/>
      <c r="H39" s="141"/>
      <c r="I39" s="341"/>
      <c r="J39" s="347"/>
    </row>
    <row r="40" spans="2:10">
      <c r="B40" s="117"/>
      <c r="C40" s="139"/>
      <c r="D40" s="139"/>
      <c r="E40" s="119"/>
      <c r="F40" s="119"/>
      <c r="G40" s="339"/>
      <c r="H40" s="141"/>
      <c r="I40" s="341"/>
      <c r="J40" s="347"/>
    </row>
    <row r="41" spans="2:10">
      <c r="B41" s="117"/>
      <c r="C41" s="139"/>
      <c r="D41" s="139"/>
      <c r="E41" s="119"/>
      <c r="F41" s="119"/>
      <c r="G41" s="339"/>
      <c r="H41" s="141"/>
      <c r="I41" s="341"/>
      <c r="J41" s="347"/>
    </row>
    <row r="42" spans="2:10">
      <c r="B42" s="117"/>
      <c r="C42" s="139"/>
      <c r="D42" s="139"/>
      <c r="E42" s="119"/>
      <c r="F42" s="119"/>
      <c r="G42" s="339"/>
      <c r="H42" s="141"/>
      <c r="I42" s="341"/>
      <c r="J42" s="347"/>
    </row>
    <row r="43" spans="2:10">
      <c r="B43" s="117"/>
      <c r="C43" s="139"/>
      <c r="D43" s="139"/>
      <c r="E43" s="119"/>
      <c r="F43" s="119"/>
      <c r="G43" s="339"/>
      <c r="H43" s="141"/>
      <c r="I43" s="341"/>
      <c r="J43" s="347"/>
    </row>
    <row r="44" spans="2:10">
      <c r="B44" s="117"/>
      <c r="C44" s="139"/>
      <c r="D44" s="139"/>
      <c r="E44" s="119"/>
      <c r="F44" s="119"/>
      <c r="G44" s="339"/>
      <c r="H44" s="141"/>
      <c r="I44" s="341"/>
      <c r="J44" s="347"/>
    </row>
    <row r="45" spans="2:10">
      <c r="B45" s="117"/>
      <c r="C45" s="139"/>
      <c r="D45" s="139"/>
      <c r="E45" s="119"/>
      <c r="F45" s="119"/>
      <c r="G45" s="339"/>
      <c r="H45" s="141"/>
      <c r="I45" s="341"/>
      <c r="J45" s="347"/>
    </row>
    <row r="46" spans="2:10">
      <c r="B46" s="117"/>
      <c r="C46" s="139"/>
      <c r="D46" s="139"/>
      <c r="E46" s="119"/>
      <c r="F46" s="119"/>
      <c r="G46" s="339"/>
      <c r="H46" s="141"/>
      <c r="I46" s="341"/>
      <c r="J46" s="347"/>
    </row>
    <row r="47" spans="2:10">
      <c r="B47" s="117"/>
      <c r="C47" s="139"/>
      <c r="D47" s="139"/>
      <c r="E47" s="119"/>
      <c r="F47" s="119"/>
      <c r="G47" s="339"/>
      <c r="H47" s="141"/>
      <c r="I47" s="341"/>
      <c r="J47" s="347"/>
    </row>
    <row r="48" spans="2:10">
      <c r="B48" s="117"/>
      <c r="C48" s="139"/>
      <c r="D48" s="139"/>
      <c r="E48" s="119"/>
      <c r="F48" s="119"/>
      <c r="G48" s="339"/>
      <c r="H48" s="141"/>
      <c r="I48" s="341"/>
      <c r="J48" s="347"/>
    </row>
    <row r="49" spans="2:10">
      <c r="B49" s="117"/>
      <c r="C49" s="139"/>
      <c r="D49" s="139"/>
      <c r="E49" s="119"/>
      <c r="F49" s="119"/>
      <c r="G49" s="339"/>
      <c r="H49" s="141"/>
      <c r="I49" s="341"/>
      <c r="J49" s="347"/>
    </row>
    <row r="50" spans="2:10">
      <c r="B50" s="117"/>
      <c r="C50" s="139"/>
      <c r="D50" s="139"/>
      <c r="E50" s="119"/>
      <c r="F50" s="119"/>
      <c r="G50" s="339"/>
      <c r="H50" s="141"/>
      <c r="I50" s="341"/>
      <c r="J50" s="347"/>
    </row>
    <row r="51" spans="2:10">
      <c r="B51" s="117"/>
      <c r="C51" s="139"/>
      <c r="D51" s="139"/>
      <c r="E51" s="119"/>
      <c r="F51" s="119"/>
      <c r="G51" s="339"/>
      <c r="H51" s="141"/>
      <c r="I51" s="341"/>
      <c r="J51" s="347"/>
    </row>
    <row r="52" spans="2:10">
      <c r="B52" s="117"/>
      <c r="C52" s="139"/>
      <c r="D52" s="139"/>
      <c r="E52" s="119"/>
      <c r="F52" s="119"/>
      <c r="G52" s="339"/>
      <c r="H52" s="141"/>
      <c r="I52" s="341"/>
      <c r="J52" s="347"/>
    </row>
    <row r="53" spans="2:10">
      <c r="B53" s="117"/>
      <c r="C53" s="139"/>
      <c r="D53" s="139"/>
      <c r="E53" s="119"/>
      <c r="F53" s="119"/>
      <c r="G53" s="339"/>
      <c r="H53" s="141"/>
      <c r="I53" s="341"/>
      <c r="J53" s="347"/>
    </row>
    <row r="54" spans="2:10">
      <c r="B54" s="117"/>
      <c r="C54" s="139"/>
      <c r="D54" s="139"/>
      <c r="E54" s="119"/>
      <c r="F54" s="119"/>
      <c r="G54" s="339"/>
      <c r="H54" s="141"/>
      <c r="I54" s="341"/>
      <c r="J54" s="347"/>
    </row>
    <row r="55" spans="2:10">
      <c r="B55" s="117"/>
      <c r="C55" s="139"/>
      <c r="D55" s="139"/>
      <c r="E55" s="119"/>
      <c r="F55" s="119"/>
      <c r="G55" s="339"/>
      <c r="H55" s="141"/>
      <c r="I55" s="341"/>
      <c r="J55" s="347"/>
    </row>
    <row r="56" spans="2:10" ht="15.75" thickBot="1">
      <c r="B56" s="123"/>
      <c r="C56" s="143"/>
      <c r="D56" s="143"/>
      <c r="E56" s="124"/>
      <c r="F56" s="124"/>
      <c r="G56" s="343"/>
      <c r="H56" s="145"/>
      <c r="I56" s="345"/>
      <c r="J56" s="348"/>
    </row>
    <row r="57" spans="2:10">
      <c r="B57" s="115"/>
      <c r="C57" s="138"/>
      <c r="D57" s="138"/>
      <c r="E57" s="138"/>
      <c r="F57" s="138"/>
      <c r="G57" s="138"/>
      <c r="H57" s="135"/>
      <c r="I57" s="334"/>
      <c r="J57" s="336"/>
    </row>
    <row r="58" spans="2:10" ht="15.75" thickBot="1">
      <c r="B58" s="116"/>
      <c r="C58" s="140"/>
      <c r="D58" s="140"/>
      <c r="E58" s="140"/>
      <c r="F58" s="140"/>
      <c r="G58" s="140"/>
      <c r="H58" s="136"/>
      <c r="I58" s="335"/>
      <c r="J58" s="337"/>
    </row>
    <row r="59" spans="2:10" ht="15.75" thickBot="1">
      <c r="B59" s="127"/>
      <c r="C59" s="128"/>
      <c r="D59" s="128"/>
      <c r="E59" s="128"/>
      <c r="F59" s="128"/>
      <c r="G59" s="128"/>
      <c r="H59" s="14"/>
      <c r="I59" s="14"/>
      <c r="J59" s="129"/>
    </row>
    <row r="60" spans="2:10" ht="15.75" thickBot="1">
      <c r="B60" s="131"/>
      <c r="C60" s="132"/>
      <c r="D60" s="132"/>
      <c r="E60" s="132"/>
      <c r="F60" s="132"/>
      <c r="G60" s="132"/>
      <c r="H60" s="137"/>
      <c r="I60" s="137"/>
      <c r="J60" s="133"/>
    </row>
    <row r="61" spans="2:10">
      <c r="B61" s="115"/>
      <c r="C61" s="138"/>
      <c r="D61" s="138"/>
      <c r="E61" s="138"/>
      <c r="F61" s="138"/>
      <c r="G61" s="138"/>
      <c r="H61" s="135"/>
      <c r="I61" s="330"/>
      <c r="J61" s="332"/>
    </row>
    <row r="62" spans="2:10" ht="15.75" thickBot="1">
      <c r="B62" s="116"/>
      <c r="C62" s="140"/>
      <c r="D62" s="140"/>
      <c r="E62" s="140"/>
      <c r="F62" s="140"/>
      <c r="G62" s="140"/>
      <c r="H62" s="136"/>
      <c r="I62" s="331"/>
      <c r="J62" s="333"/>
    </row>
    <row r="63" spans="2:10">
      <c r="B63" s="121"/>
      <c r="C63" s="142"/>
      <c r="D63" s="142"/>
      <c r="E63" s="142"/>
      <c r="F63" s="142"/>
      <c r="G63" s="327"/>
      <c r="H63" s="146"/>
      <c r="I63" s="328"/>
      <c r="J63" s="329"/>
    </row>
    <row r="64" spans="2:10">
      <c r="B64" s="117"/>
      <c r="C64" s="139"/>
      <c r="D64" s="139"/>
      <c r="E64" s="139"/>
      <c r="F64" s="139"/>
      <c r="G64" s="327"/>
      <c r="H64" s="145"/>
      <c r="I64" s="328"/>
      <c r="J64" s="329"/>
    </row>
    <row r="65" spans="2:10">
      <c r="B65" s="117"/>
      <c r="C65" s="139"/>
      <c r="D65" s="139"/>
      <c r="E65" s="139"/>
      <c r="F65" s="139"/>
      <c r="G65" s="327"/>
      <c r="H65" s="145"/>
      <c r="I65" s="328"/>
      <c r="J65" s="329"/>
    </row>
    <row r="66" spans="2:10">
      <c r="B66" s="117"/>
      <c r="C66" s="139"/>
      <c r="D66" s="139"/>
      <c r="E66" s="139"/>
      <c r="F66" s="139"/>
      <c r="G66" s="327"/>
      <c r="H66" s="145"/>
      <c r="I66" s="328"/>
      <c r="J66" s="329"/>
    </row>
    <row r="67" spans="2:10">
      <c r="B67" s="117"/>
      <c r="C67" s="139"/>
      <c r="D67" s="139"/>
      <c r="E67" s="139"/>
      <c r="F67" s="139"/>
      <c r="G67" s="327"/>
      <c r="H67" s="145"/>
      <c r="I67" s="328"/>
      <c r="J67" s="329"/>
    </row>
    <row r="68" spans="2:10">
      <c r="B68" s="117"/>
      <c r="C68" s="139"/>
      <c r="D68" s="139"/>
      <c r="E68" s="139"/>
      <c r="F68" s="139"/>
      <c r="G68" s="327"/>
      <c r="H68" s="145"/>
      <c r="I68" s="328"/>
      <c r="J68" s="329"/>
    </row>
    <row r="69" spans="2:10">
      <c r="B69" s="117"/>
      <c r="C69" s="139"/>
      <c r="D69" s="139"/>
      <c r="E69" s="139"/>
      <c r="F69" s="139"/>
      <c r="G69" s="327"/>
      <c r="H69" s="145"/>
      <c r="I69" s="328"/>
      <c r="J69" s="329"/>
    </row>
    <row r="70" spans="2:10">
      <c r="B70" s="117"/>
      <c r="C70" s="139"/>
      <c r="D70" s="139"/>
      <c r="E70" s="139"/>
      <c r="F70" s="139"/>
      <c r="G70" s="327"/>
      <c r="H70" s="145"/>
      <c r="I70" s="328"/>
      <c r="J70" s="329"/>
    </row>
    <row r="71" spans="2:10">
      <c r="B71" s="117"/>
      <c r="C71" s="139"/>
      <c r="D71" s="139"/>
      <c r="E71" s="139"/>
      <c r="F71" s="139"/>
      <c r="G71" s="327"/>
      <c r="H71" s="145"/>
      <c r="I71" s="328"/>
      <c r="J71" s="329"/>
    </row>
    <row r="72" spans="2:10">
      <c r="B72" s="117"/>
      <c r="C72" s="139"/>
      <c r="D72" s="139"/>
      <c r="E72" s="139"/>
      <c r="F72" s="139"/>
      <c r="G72" s="327"/>
      <c r="H72" s="145"/>
      <c r="I72" s="328"/>
      <c r="J72" s="329"/>
    </row>
    <row r="73" spans="2:10">
      <c r="B73" s="117"/>
      <c r="C73" s="139"/>
      <c r="D73" s="139"/>
      <c r="E73" s="139"/>
      <c r="F73" s="139"/>
      <c r="G73" s="327"/>
      <c r="H73" s="145"/>
      <c r="I73" s="328"/>
      <c r="J73" s="329"/>
    </row>
    <row r="74" spans="2:10">
      <c r="B74" s="117"/>
      <c r="C74" s="139"/>
      <c r="D74" s="139"/>
      <c r="E74" s="139"/>
      <c r="F74" s="139"/>
      <c r="G74" s="327"/>
      <c r="H74" s="145"/>
      <c r="I74" s="328"/>
      <c r="J74" s="329"/>
    </row>
    <row r="75" spans="2:10">
      <c r="B75" s="117"/>
      <c r="C75" s="139"/>
      <c r="D75" s="139"/>
      <c r="E75" s="139"/>
      <c r="F75" s="139"/>
      <c r="G75" s="327"/>
      <c r="H75" s="145"/>
      <c r="I75" s="328"/>
      <c r="J75" s="329"/>
    </row>
    <row r="76" spans="2:10">
      <c r="B76" s="117"/>
      <c r="C76" s="139"/>
      <c r="D76" s="139"/>
      <c r="E76" s="139"/>
      <c r="F76" s="139"/>
      <c r="G76" s="327"/>
      <c r="H76" s="145"/>
      <c r="I76" s="328"/>
      <c r="J76" s="329"/>
    </row>
    <row r="77" spans="2:10">
      <c r="B77" s="117"/>
      <c r="C77" s="139"/>
      <c r="D77" s="139"/>
      <c r="E77" s="139"/>
      <c r="F77" s="139"/>
      <c r="G77" s="327"/>
      <c r="H77" s="145"/>
      <c r="I77" s="328"/>
      <c r="J77" s="329"/>
    </row>
    <row r="78" spans="2:10">
      <c r="B78" s="117"/>
      <c r="C78" s="139"/>
      <c r="D78" s="139"/>
      <c r="E78" s="139"/>
      <c r="F78" s="139"/>
      <c r="G78" s="327"/>
      <c r="H78" s="145"/>
      <c r="I78" s="328"/>
      <c r="J78" s="329"/>
    </row>
    <row r="79" spans="2:10">
      <c r="B79" s="117"/>
      <c r="C79" s="139"/>
      <c r="D79" s="139"/>
      <c r="E79" s="139"/>
      <c r="F79" s="139"/>
      <c r="G79" s="327"/>
      <c r="H79" s="145"/>
      <c r="I79" s="328"/>
      <c r="J79" s="329"/>
    </row>
    <row r="80" spans="2:10">
      <c r="B80" s="117"/>
      <c r="C80" s="139"/>
      <c r="D80" s="139"/>
      <c r="E80" s="139"/>
      <c r="F80" s="139"/>
      <c r="G80" s="327"/>
      <c r="H80" s="141"/>
      <c r="I80" s="328"/>
      <c r="J80" s="329"/>
    </row>
    <row r="81" spans="2:10">
      <c r="B81" s="117"/>
      <c r="C81" s="139"/>
      <c r="D81" s="139"/>
      <c r="E81" s="139"/>
      <c r="F81" s="139"/>
      <c r="G81" s="327"/>
      <c r="H81" s="141"/>
      <c r="I81" s="328"/>
      <c r="J81" s="329"/>
    </row>
    <row r="82" spans="2:10">
      <c r="B82" s="117"/>
      <c r="C82" s="139"/>
      <c r="D82" s="139"/>
      <c r="E82" s="139"/>
      <c r="F82" s="139"/>
      <c r="G82" s="327"/>
      <c r="H82" s="141"/>
      <c r="I82" s="328"/>
      <c r="J82" s="329"/>
    </row>
    <row r="83" spans="2:10">
      <c r="B83" s="117"/>
      <c r="C83" s="139"/>
      <c r="D83" s="139"/>
      <c r="E83" s="139"/>
      <c r="F83" s="139"/>
      <c r="G83" s="327"/>
      <c r="H83" s="141"/>
      <c r="I83" s="328"/>
      <c r="J83" s="329"/>
    </row>
    <row r="84" spans="2:10">
      <c r="B84" s="117"/>
      <c r="C84" s="139"/>
      <c r="D84" s="139"/>
      <c r="E84" s="139"/>
      <c r="F84" s="139"/>
      <c r="G84" s="327"/>
      <c r="H84" s="141"/>
      <c r="I84" s="328"/>
      <c r="J84" s="329"/>
    </row>
    <row r="85" spans="2:10">
      <c r="B85" s="117"/>
      <c r="C85" s="139"/>
      <c r="D85" s="139"/>
      <c r="E85" s="139"/>
      <c r="F85" s="139"/>
      <c r="G85" s="327"/>
      <c r="H85" s="141"/>
      <c r="I85" s="328"/>
      <c r="J85" s="329"/>
    </row>
    <row r="86" spans="2:10">
      <c r="B86" s="117"/>
      <c r="C86" s="139"/>
      <c r="D86" s="139"/>
      <c r="E86" s="139"/>
      <c r="F86" s="139"/>
      <c r="G86" s="327"/>
      <c r="H86" s="145"/>
      <c r="I86" s="328"/>
      <c r="J86" s="329"/>
    </row>
    <row r="87" spans="2:10" ht="15.75" thickBot="1">
      <c r="B87" s="123"/>
      <c r="C87" s="143"/>
      <c r="D87" s="143"/>
      <c r="E87" s="143"/>
      <c r="F87" s="143"/>
      <c r="G87" s="327"/>
      <c r="H87" s="145"/>
      <c r="I87" s="328"/>
      <c r="J87" s="329"/>
    </row>
    <row r="88" spans="2:10" ht="15.75" thickBot="1">
      <c r="B88" s="127"/>
      <c r="C88" s="128"/>
      <c r="D88" s="128"/>
      <c r="E88" s="128"/>
      <c r="F88" s="128"/>
      <c r="G88" s="128"/>
      <c r="H88" s="14"/>
      <c r="I88" s="14"/>
      <c r="J88" s="129"/>
    </row>
  </sheetData>
  <mergeCells count="25">
    <mergeCell ref="B2:J2"/>
    <mergeCell ref="B4:J4"/>
    <mergeCell ref="G7:G8"/>
    <mergeCell ref="I7:I8"/>
    <mergeCell ref="G9:G13"/>
    <mergeCell ref="I9:I13"/>
    <mergeCell ref="B3:J3"/>
    <mergeCell ref="J7:J8"/>
    <mergeCell ref="J9:J13"/>
    <mergeCell ref="I57:I58"/>
    <mergeCell ref="J57:J58"/>
    <mergeCell ref="G14:G31"/>
    <mergeCell ref="I14:I31"/>
    <mergeCell ref="G34:G56"/>
    <mergeCell ref="I34:I56"/>
    <mergeCell ref="J34:J56"/>
    <mergeCell ref="G32:G33"/>
    <mergeCell ref="I32:I33"/>
    <mergeCell ref="J32:J33"/>
    <mergeCell ref="J14:J31"/>
    <mergeCell ref="G63:G87"/>
    <mergeCell ref="I63:I87"/>
    <mergeCell ref="J63:J87"/>
    <mergeCell ref="I61:I62"/>
    <mergeCell ref="J61:J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D5E9F7"/>
  </sheetPr>
  <dimension ref="B1:G14"/>
  <sheetViews>
    <sheetView showGridLines="0" workbookViewId="0">
      <selection activeCell="B5" sqref="B5"/>
    </sheetView>
  </sheetViews>
  <sheetFormatPr baseColWidth="10" defaultRowHeight="15"/>
  <cols>
    <col min="1" max="1" width="35.85546875" style="39" customWidth="1"/>
    <col min="2" max="2" width="15.140625" style="39" customWidth="1"/>
    <col min="3" max="3" width="19.42578125" style="39" customWidth="1"/>
    <col min="4" max="4" width="18.28515625" style="39" customWidth="1"/>
    <col min="5" max="5" width="15.85546875" style="39" customWidth="1"/>
    <col min="6" max="6" width="19.28515625" style="39" customWidth="1"/>
    <col min="7" max="7" width="11.28515625" style="39" bestFit="1" customWidth="1"/>
    <col min="8" max="16384" width="11.42578125" style="39"/>
  </cols>
  <sheetData>
    <row r="1" spans="2:7" ht="15.75" thickBot="1"/>
    <row r="2" spans="2:7" ht="15.75">
      <c r="B2" s="358" t="s">
        <v>223</v>
      </c>
      <c r="C2" s="359"/>
      <c r="D2" s="359"/>
      <c r="E2" s="359"/>
      <c r="F2" s="360"/>
    </row>
    <row r="3" spans="2:7">
      <c r="B3" s="361" t="s">
        <v>204</v>
      </c>
      <c r="C3" s="362"/>
      <c r="D3" s="362"/>
      <c r="E3" s="362"/>
      <c r="F3" s="363"/>
    </row>
    <row r="4" spans="2:7" ht="15.75" thickBot="1">
      <c r="B4" s="364">
        <v>43508</v>
      </c>
      <c r="C4" s="365"/>
      <c r="D4" s="365"/>
      <c r="E4" s="365"/>
      <c r="F4" s="366"/>
    </row>
    <row r="5" spans="2:7" ht="15.75" thickBot="1"/>
    <row r="6" spans="2:7" ht="15.75" thickBot="1">
      <c r="B6" s="367" t="s">
        <v>224</v>
      </c>
      <c r="C6" s="368"/>
      <c r="D6" s="368"/>
      <c r="E6" s="368"/>
      <c r="F6" s="369"/>
      <c r="G6" s="42"/>
    </row>
    <row r="7" spans="2:7">
      <c r="B7" s="93" t="s">
        <v>191</v>
      </c>
      <c r="C7" s="88" t="s">
        <v>192</v>
      </c>
      <c r="D7" s="89" t="s">
        <v>201</v>
      </c>
      <c r="E7" s="89" t="s">
        <v>202</v>
      </c>
      <c r="F7" s="94" t="s">
        <v>193</v>
      </c>
    </row>
    <row r="8" spans="2:7" ht="15.75" thickBot="1">
      <c r="B8" s="8" t="s">
        <v>115</v>
      </c>
      <c r="C8" s="9">
        <v>3815</v>
      </c>
      <c r="D8" s="9">
        <f>E12+E13</f>
        <v>954.31399999999996</v>
      </c>
      <c r="E8" s="9">
        <f>C8-D8</f>
        <v>2860.6860000000001</v>
      </c>
      <c r="F8" s="95">
        <f>D8/C8</f>
        <v>0.2501478374836173</v>
      </c>
    </row>
    <row r="9" spans="2:7">
      <c r="B9" s="42"/>
      <c r="C9" s="42"/>
      <c r="D9" s="42"/>
      <c r="E9" s="42"/>
      <c r="F9" s="42"/>
      <c r="G9" s="87"/>
    </row>
    <row r="10" spans="2:7" ht="15.75" thickBot="1"/>
    <row r="11" spans="2:7" ht="15.75" thickBot="1">
      <c r="B11" s="96" t="s">
        <v>194</v>
      </c>
      <c r="C11" s="97" t="s">
        <v>195</v>
      </c>
      <c r="D11" s="97" t="s">
        <v>206</v>
      </c>
      <c r="E11" s="97" t="s">
        <v>201</v>
      </c>
      <c r="F11" s="97" t="s">
        <v>203</v>
      </c>
      <c r="G11" s="98" t="s">
        <v>193</v>
      </c>
    </row>
    <row r="12" spans="2:7">
      <c r="B12" s="125" t="s">
        <v>196</v>
      </c>
      <c r="C12" s="90" t="s">
        <v>115</v>
      </c>
      <c r="D12" s="90">
        <v>1859</v>
      </c>
      <c r="E12" s="146">
        <v>624.48199999999997</v>
      </c>
      <c r="F12" s="90">
        <f>D12-E12</f>
        <v>1234.518</v>
      </c>
      <c r="G12" s="134">
        <f>E12/D12</f>
        <v>0.33592361484669175</v>
      </c>
    </row>
    <row r="13" spans="2:7" ht="15.75" thickBot="1">
      <c r="B13" s="126" t="s">
        <v>197</v>
      </c>
      <c r="C13" s="9" t="s">
        <v>115</v>
      </c>
      <c r="D13" s="9">
        <v>1859</v>
      </c>
      <c r="E13" s="130">
        <v>329.83199999999999</v>
      </c>
      <c r="F13" s="9">
        <f>D13-E13</f>
        <v>1529.1680000000001</v>
      </c>
      <c r="G13" s="169">
        <f>E13/D13</f>
        <v>0.17742442173211403</v>
      </c>
    </row>
    <row r="14" spans="2:7">
      <c r="E14" s="39">
        <f>SUM(E12:E13)</f>
        <v>954.31399999999996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O232"/>
  <sheetViews>
    <sheetView showGridLines="0" zoomScale="80" zoomScaleNormal="80" workbookViewId="0">
      <pane ySplit="1" topLeftCell="A2" activePane="bottomLeft" state="frozen"/>
      <selection pane="bottomLeft" activeCell="E217" sqref="E217"/>
    </sheetView>
  </sheetViews>
  <sheetFormatPr baseColWidth="10" defaultColWidth="11.42578125" defaultRowHeight="15"/>
  <cols>
    <col min="1" max="1" width="11.5703125" style="59" customWidth="1"/>
    <col min="2" max="2" width="8.7109375" style="59" bestFit="1" customWidth="1"/>
    <col min="3" max="3" width="9.140625" style="59" customWidth="1"/>
    <col min="4" max="4" width="17.140625" style="59" bestFit="1" customWidth="1"/>
    <col min="5" max="5" width="65.42578125" style="59" customWidth="1"/>
    <col min="6" max="6" width="14.5703125" style="59" bestFit="1" customWidth="1"/>
    <col min="7" max="7" width="20.140625" style="59" customWidth="1"/>
    <col min="8" max="8" width="12.42578125" style="59" bestFit="1" customWidth="1"/>
    <col min="9" max="9" width="21.42578125" style="59" bestFit="1" customWidth="1"/>
    <col min="10" max="10" width="15.140625" style="59" bestFit="1" customWidth="1"/>
    <col min="11" max="11" width="14.5703125" style="59" bestFit="1" customWidth="1"/>
    <col min="12" max="12" width="12.42578125" style="59" bestFit="1" customWidth="1"/>
    <col min="13" max="13" width="17.7109375" style="60" bestFit="1" customWidth="1"/>
    <col min="14" max="14" width="11" style="77" bestFit="1" customWidth="1"/>
    <col min="15" max="15" width="11.28515625" style="59" bestFit="1" customWidth="1"/>
    <col min="16" max="16384" width="11.42578125" style="59"/>
  </cols>
  <sheetData>
    <row r="1" spans="1:15">
      <c r="A1" s="70" t="s">
        <v>99</v>
      </c>
      <c r="B1" s="70" t="s">
        <v>100</v>
      </c>
      <c r="C1" s="70" t="s">
        <v>101</v>
      </c>
      <c r="D1" s="70" t="s">
        <v>102</v>
      </c>
      <c r="E1" s="70" t="s">
        <v>103</v>
      </c>
      <c r="F1" s="70" t="s">
        <v>104</v>
      </c>
      <c r="G1" s="70" t="s">
        <v>105</v>
      </c>
      <c r="H1" s="70" t="s">
        <v>106</v>
      </c>
      <c r="I1" s="70" t="s">
        <v>107</v>
      </c>
      <c r="J1" s="70" t="s">
        <v>108</v>
      </c>
      <c r="K1" s="70" t="s">
        <v>109</v>
      </c>
      <c r="L1" s="70" t="s">
        <v>110</v>
      </c>
      <c r="M1" s="71" t="s">
        <v>111</v>
      </c>
      <c r="N1" s="76" t="s">
        <v>112</v>
      </c>
      <c r="O1" s="72" t="s">
        <v>113</v>
      </c>
    </row>
    <row r="2" spans="1:15">
      <c r="A2" s="66" t="s">
        <v>114</v>
      </c>
      <c r="B2" s="67" t="s">
        <v>115</v>
      </c>
      <c r="C2" s="67" t="s">
        <v>63</v>
      </c>
      <c r="D2" s="67" t="s">
        <v>116</v>
      </c>
      <c r="E2" s="67" t="s">
        <v>159</v>
      </c>
      <c r="F2" s="67" t="s">
        <v>117</v>
      </c>
      <c r="G2" s="65" t="s">
        <v>118</v>
      </c>
      <c r="H2" s="68">
        <f>'Cuota Industrial'!$E$6</f>
        <v>182.93199999999999</v>
      </c>
      <c r="I2" s="68">
        <f>'Cuota Industrial'!F6</f>
        <v>0</v>
      </c>
      <c r="J2" s="68">
        <f>'Cuota Industrial'!G6</f>
        <v>182.93199999999999</v>
      </c>
      <c r="K2" s="68">
        <f>'Cuota Industrial'!H6</f>
        <v>0</v>
      </c>
      <c r="L2" s="68">
        <f>'Cuota Industrial'!I6</f>
        <v>182.93199999999999</v>
      </c>
      <c r="M2" s="63">
        <f>'Cuota Industrial'!J6</f>
        <v>0</v>
      </c>
      <c r="N2" s="75" t="s">
        <v>156</v>
      </c>
      <c r="O2" s="82">
        <f>Resumen!$B$3</f>
        <v>43508</v>
      </c>
    </row>
    <row r="3" spans="1:15">
      <c r="A3" s="66" t="s">
        <v>114</v>
      </c>
      <c r="B3" s="67" t="s">
        <v>115</v>
      </c>
      <c r="C3" s="67" t="s">
        <v>63</v>
      </c>
      <c r="D3" s="67" t="s">
        <v>116</v>
      </c>
      <c r="E3" s="67" t="s">
        <v>159</v>
      </c>
      <c r="F3" s="67" t="s">
        <v>119</v>
      </c>
      <c r="G3" s="67" t="s">
        <v>120</v>
      </c>
      <c r="H3" s="68">
        <f>'Cuota Industrial'!$E$7</f>
        <v>3.734</v>
      </c>
      <c r="I3" s="68">
        <f>'Cuota Industrial'!F7</f>
        <v>0</v>
      </c>
      <c r="J3" s="68">
        <f>'Cuota Industrial'!G7</f>
        <v>186.666</v>
      </c>
      <c r="K3" s="68">
        <f>'Cuota Industrial'!H7</f>
        <v>0</v>
      </c>
      <c r="L3" s="68">
        <f>'Cuota Industrial'!I7</f>
        <v>186.666</v>
      </c>
      <c r="M3" s="63">
        <f>'Cuota Industrial'!J7</f>
        <v>0</v>
      </c>
      <c r="N3" s="75" t="s">
        <v>156</v>
      </c>
      <c r="O3" s="82">
        <f>Resumen!$B$3</f>
        <v>43508</v>
      </c>
    </row>
    <row r="4" spans="1:15">
      <c r="A4" s="66" t="s">
        <v>114</v>
      </c>
      <c r="B4" s="67" t="s">
        <v>115</v>
      </c>
      <c r="C4" s="67" t="s">
        <v>63</v>
      </c>
      <c r="D4" s="67" t="s">
        <v>116</v>
      </c>
      <c r="E4" s="67" t="s">
        <v>159</v>
      </c>
      <c r="F4" s="67" t="s">
        <v>117</v>
      </c>
      <c r="G4" s="67" t="s">
        <v>120</v>
      </c>
      <c r="H4" s="68">
        <f>'Cuota Industrial'!K6</f>
        <v>186.666</v>
      </c>
      <c r="I4" s="68">
        <f>'Cuota Industrial'!L6</f>
        <v>0</v>
      </c>
      <c r="J4" s="68">
        <f>'Cuota Industrial'!M6</f>
        <v>186.666</v>
      </c>
      <c r="K4" s="68">
        <f>'Cuota Industrial'!N6</f>
        <v>0</v>
      </c>
      <c r="L4" s="68">
        <f>'Cuota Industrial'!O6</f>
        <v>186.666</v>
      </c>
      <c r="M4" s="63">
        <f>'Cuota Industrial'!P6</f>
        <v>0</v>
      </c>
      <c r="N4" s="75" t="s">
        <v>156</v>
      </c>
      <c r="O4" s="82">
        <f>Resumen!$B$3</f>
        <v>43508</v>
      </c>
    </row>
    <row r="5" spans="1:15">
      <c r="A5" s="66" t="s">
        <v>114</v>
      </c>
      <c r="B5" s="67" t="s">
        <v>115</v>
      </c>
      <c r="C5" s="67" t="s">
        <v>63</v>
      </c>
      <c r="D5" s="67" t="s">
        <v>116</v>
      </c>
      <c r="E5" s="67" t="s">
        <v>160</v>
      </c>
      <c r="F5" s="67" t="s">
        <v>117</v>
      </c>
      <c r="G5" s="65" t="s">
        <v>118</v>
      </c>
      <c r="H5" s="68">
        <f>'Cuota Industrial'!E8</f>
        <v>7750.268</v>
      </c>
      <c r="I5" s="68">
        <f>'Cuota Industrial'!F8</f>
        <v>0</v>
      </c>
      <c r="J5" s="68">
        <f>'Cuota Industrial'!G8</f>
        <v>7750.268</v>
      </c>
      <c r="K5" s="68">
        <f>'Cuota Industrial'!H8</f>
        <v>0</v>
      </c>
      <c r="L5" s="68">
        <f>'Cuota Industrial'!I8</f>
        <v>7750.268</v>
      </c>
      <c r="M5" s="63">
        <f>'Cuota Industrial'!J8</f>
        <v>0</v>
      </c>
      <c r="N5" s="75" t="s">
        <v>156</v>
      </c>
      <c r="O5" s="82">
        <f>Resumen!$B$3</f>
        <v>43508</v>
      </c>
    </row>
    <row r="6" spans="1:15">
      <c r="A6" s="66" t="s">
        <v>114</v>
      </c>
      <c r="B6" s="67" t="s">
        <v>115</v>
      </c>
      <c r="C6" s="67" t="s">
        <v>63</v>
      </c>
      <c r="D6" s="67" t="s">
        <v>116</v>
      </c>
      <c r="E6" s="67" t="s">
        <v>160</v>
      </c>
      <c r="F6" s="67" t="s">
        <v>119</v>
      </c>
      <c r="G6" s="67" t="s">
        <v>120</v>
      </c>
      <c r="H6" s="68">
        <f>'Cuota Industrial'!E9</f>
        <v>158.21100000000001</v>
      </c>
      <c r="I6" s="68">
        <f>'Cuota Industrial'!F9</f>
        <v>0</v>
      </c>
      <c r="J6" s="68">
        <f>'Cuota Industrial'!G9</f>
        <v>7908.4790000000003</v>
      </c>
      <c r="K6" s="68">
        <f>'Cuota Industrial'!H9</f>
        <v>0</v>
      </c>
      <c r="L6" s="68">
        <f>'Cuota Industrial'!I9</f>
        <v>7908.4790000000003</v>
      </c>
      <c r="M6" s="63">
        <f>'Cuota Industrial'!J9</f>
        <v>0</v>
      </c>
      <c r="N6" s="75" t="s">
        <v>156</v>
      </c>
      <c r="O6" s="82">
        <f>Resumen!$B$3</f>
        <v>43508</v>
      </c>
    </row>
    <row r="7" spans="1:15">
      <c r="A7" s="66" t="s">
        <v>114</v>
      </c>
      <c r="B7" s="67" t="s">
        <v>115</v>
      </c>
      <c r="C7" s="67" t="s">
        <v>63</v>
      </c>
      <c r="D7" s="67" t="s">
        <v>116</v>
      </c>
      <c r="E7" s="67" t="s">
        <v>160</v>
      </c>
      <c r="F7" s="67" t="s">
        <v>117</v>
      </c>
      <c r="G7" s="67" t="s">
        <v>120</v>
      </c>
      <c r="H7" s="68">
        <f>'Cuota Industrial'!K8</f>
        <v>7908.4790000000003</v>
      </c>
      <c r="I7" s="68">
        <f>'Cuota Industrial'!L8</f>
        <v>0</v>
      </c>
      <c r="J7" s="68">
        <f>'Cuota Industrial'!M8</f>
        <v>7908.4790000000003</v>
      </c>
      <c r="K7" s="68">
        <f>'Cuota Industrial'!N8</f>
        <v>0</v>
      </c>
      <c r="L7" s="68">
        <f>'Cuota Industrial'!O8</f>
        <v>7908.4790000000003</v>
      </c>
      <c r="M7" s="63">
        <f>'Cuota Industrial'!P8</f>
        <v>0</v>
      </c>
      <c r="N7" s="75" t="s">
        <v>156</v>
      </c>
      <c r="O7" s="82">
        <f>Resumen!$B$3</f>
        <v>43508</v>
      </c>
    </row>
    <row r="8" spans="1:15">
      <c r="A8" s="66" t="s">
        <v>114</v>
      </c>
      <c r="B8" s="67" t="s">
        <v>115</v>
      </c>
      <c r="C8" s="67" t="s">
        <v>63</v>
      </c>
      <c r="D8" s="67" t="s">
        <v>116</v>
      </c>
      <c r="E8" s="67" t="s">
        <v>161</v>
      </c>
      <c r="F8" s="67" t="s">
        <v>117</v>
      </c>
      <c r="G8" s="65" t="s">
        <v>118</v>
      </c>
      <c r="H8" s="68">
        <f>'Cuota Industrial'!E10</f>
        <v>19820.879000000001</v>
      </c>
      <c r="I8" s="68">
        <f>'Cuota Industrial'!F10</f>
        <v>0</v>
      </c>
      <c r="J8" s="68">
        <f>'Cuota Industrial'!G10</f>
        <v>19820.879000000001</v>
      </c>
      <c r="K8" s="68">
        <f>'Cuota Industrial'!H10</f>
        <v>0</v>
      </c>
      <c r="L8" s="68">
        <f>'Cuota Industrial'!I10</f>
        <v>19820.879000000001</v>
      </c>
      <c r="M8" s="63">
        <f>'Cuota Industrial'!J10</f>
        <v>0</v>
      </c>
      <c r="N8" s="75" t="s">
        <v>156</v>
      </c>
      <c r="O8" s="82">
        <f>Resumen!$B$3</f>
        <v>43508</v>
      </c>
    </row>
    <row r="9" spans="1:15">
      <c r="A9" s="66" t="s">
        <v>114</v>
      </c>
      <c r="B9" s="67" t="s">
        <v>115</v>
      </c>
      <c r="C9" s="67" t="s">
        <v>63</v>
      </c>
      <c r="D9" s="67" t="s">
        <v>116</v>
      </c>
      <c r="E9" s="67" t="s">
        <v>161</v>
      </c>
      <c r="F9" s="67" t="s">
        <v>119</v>
      </c>
      <c r="G9" s="67" t="s">
        <v>120</v>
      </c>
      <c r="H9" s="68">
        <f>'Cuota Industrial'!E11</f>
        <v>404.61599999999999</v>
      </c>
      <c r="I9" s="68">
        <f>'Cuota Industrial'!F11</f>
        <v>0</v>
      </c>
      <c r="J9" s="68">
        <f>'Cuota Industrial'!G11</f>
        <v>20225.495000000003</v>
      </c>
      <c r="K9" s="68">
        <f>'Cuota Industrial'!H11</f>
        <v>0</v>
      </c>
      <c r="L9" s="68">
        <f>'Cuota Industrial'!I11</f>
        <v>20225.495000000003</v>
      </c>
      <c r="M9" s="63">
        <f>'Cuota Industrial'!J11</f>
        <v>0</v>
      </c>
      <c r="N9" s="75" t="s">
        <v>156</v>
      </c>
      <c r="O9" s="82">
        <f>Resumen!$B$3</f>
        <v>43508</v>
      </c>
    </row>
    <row r="10" spans="1:15">
      <c r="A10" s="66" t="s">
        <v>114</v>
      </c>
      <c r="B10" s="67" t="s">
        <v>115</v>
      </c>
      <c r="C10" s="67" t="s">
        <v>63</v>
      </c>
      <c r="D10" s="67" t="s">
        <v>116</v>
      </c>
      <c r="E10" s="67" t="s">
        <v>161</v>
      </c>
      <c r="F10" s="67" t="s">
        <v>117</v>
      </c>
      <c r="G10" s="67" t="s">
        <v>120</v>
      </c>
      <c r="H10" s="68">
        <f>'Cuota Industrial'!K10</f>
        <v>20225.495000000003</v>
      </c>
      <c r="I10" s="68">
        <f>'Cuota Industrial'!L10</f>
        <v>0</v>
      </c>
      <c r="J10" s="68">
        <f>'Cuota Industrial'!M10</f>
        <v>20225.495000000003</v>
      </c>
      <c r="K10" s="68">
        <f>'Cuota Industrial'!N10</f>
        <v>0</v>
      </c>
      <c r="L10" s="68">
        <f>'Cuota Industrial'!O10</f>
        <v>20225.495000000003</v>
      </c>
      <c r="M10" s="63">
        <f>'Cuota Industrial'!P10</f>
        <v>0</v>
      </c>
      <c r="N10" s="75" t="s">
        <v>156</v>
      </c>
      <c r="O10" s="82">
        <f>Resumen!$B$3</f>
        <v>43508</v>
      </c>
    </row>
    <row r="11" spans="1:15">
      <c r="A11" s="85" t="s">
        <v>114</v>
      </c>
      <c r="B11" s="67" t="s">
        <v>115</v>
      </c>
      <c r="C11" s="67" t="s">
        <v>63</v>
      </c>
      <c r="D11" s="67" t="s">
        <v>116</v>
      </c>
      <c r="E11" s="67" t="s">
        <v>162</v>
      </c>
      <c r="F11" s="67" t="s">
        <v>117</v>
      </c>
      <c r="G11" s="65" t="s">
        <v>118</v>
      </c>
      <c r="H11" s="68">
        <f>'Cuota Industrial'!E14</f>
        <v>15726.732</v>
      </c>
      <c r="I11" s="68">
        <f>'Cuota Industrial'!F14</f>
        <v>0</v>
      </c>
      <c r="J11" s="68">
        <f>'Cuota Industrial'!G14</f>
        <v>15726.732</v>
      </c>
      <c r="K11" s="68">
        <f>'Cuota Industrial'!H14</f>
        <v>0</v>
      </c>
      <c r="L11" s="68">
        <f>'Cuota Industrial'!I14</f>
        <v>15726.732</v>
      </c>
      <c r="M11" s="63">
        <f>'Cuota Industrial'!J14</f>
        <v>0</v>
      </c>
      <c r="N11" s="75" t="s">
        <v>156</v>
      </c>
      <c r="O11" s="82">
        <f>Resumen!$B$3</f>
        <v>43508</v>
      </c>
    </row>
    <row r="12" spans="1:15">
      <c r="A12" s="85" t="s">
        <v>114</v>
      </c>
      <c r="B12" s="67" t="s">
        <v>115</v>
      </c>
      <c r="C12" s="67" t="s">
        <v>63</v>
      </c>
      <c r="D12" s="67" t="s">
        <v>116</v>
      </c>
      <c r="E12" s="67" t="s">
        <v>162</v>
      </c>
      <c r="F12" s="67" t="s">
        <v>119</v>
      </c>
      <c r="G12" s="67" t="s">
        <v>120</v>
      </c>
      <c r="H12" s="68">
        <f>'Cuota Industrial'!E15</f>
        <v>321.041</v>
      </c>
      <c r="I12" s="68">
        <f>'Cuota Industrial'!F15</f>
        <v>0</v>
      </c>
      <c r="J12" s="68">
        <f>'Cuota Industrial'!G15</f>
        <v>16047.772999999999</v>
      </c>
      <c r="K12" s="68">
        <f>'Cuota Industrial'!H15</f>
        <v>0</v>
      </c>
      <c r="L12" s="68">
        <f>'Cuota Industrial'!I15</f>
        <v>16047.772999999999</v>
      </c>
      <c r="M12" s="63">
        <f>'Cuota Industrial'!J15</f>
        <v>0</v>
      </c>
      <c r="N12" s="75" t="s">
        <v>156</v>
      </c>
      <c r="O12" s="82">
        <f>Resumen!$B$3</f>
        <v>43508</v>
      </c>
    </row>
    <row r="13" spans="1:15">
      <c r="A13" s="85" t="s">
        <v>114</v>
      </c>
      <c r="B13" s="67" t="s">
        <v>115</v>
      </c>
      <c r="C13" s="67" t="s">
        <v>63</v>
      </c>
      <c r="D13" s="67" t="s">
        <v>116</v>
      </c>
      <c r="E13" s="67" t="s">
        <v>162</v>
      </c>
      <c r="F13" s="67" t="s">
        <v>117</v>
      </c>
      <c r="G13" s="67" t="s">
        <v>120</v>
      </c>
      <c r="H13" s="68">
        <f>'Cuota Industrial'!K14</f>
        <v>16047.772999999999</v>
      </c>
      <c r="I13" s="68">
        <f>'Cuota Industrial'!L14</f>
        <v>0</v>
      </c>
      <c r="J13" s="68">
        <f>'Cuota Industrial'!M14</f>
        <v>16047.772999999999</v>
      </c>
      <c r="K13" s="68">
        <f>'Cuota Industrial'!N14</f>
        <v>0</v>
      </c>
      <c r="L13" s="68">
        <f>'Cuota Industrial'!O14</f>
        <v>16047.772999999999</v>
      </c>
      <c r="M13" s="63">
        <f>'Cuota Industrial'!P14</f>
        <v>0</v>
      </c>
      <c r="N13" s="75" t="s">
        <v>156</v>
      </c>
      <c r="O13" s="82">
        <f>Resumen!$B$3</f>
        <v>43508</v>
      </c>
    </row>
    <row r="14" spans="1:15">
      <c r="A14" s="66" t="s">
        <v>114</v>
      </c>
      <c r="B14" s="67" t="s">
        <v>115</v>
      </c>
      <c r="C14" s="67" t="s">
        <v>63</v>
      </c>
      <c r="D14" s="67" t="s">
        <v>116</v>
      </c>
      <c r="E14" s="67" t="s">
        <v>163</v>
      </c>
      <c r="F14" s="67" t="s">
        <v>117</v>
      </c>
      <c r="G14" s="65" t="s">
        <v>118</v>
      </c>
      <c r="H14" s="68">
        <f>'Cuota Industrial'!E16</f>
        <v>508.66699999999997</v>
      </c>
      <c r="I14" s="68">
        <f>'Cuota Industrial'!F16</f>
        <v>0</v>
      </c>
      <c r="J14" s="68">
        <f>'Cuota Industrial'!G16</f>
        <v>508.66699999999997</v>
      </c>
      <c r="K14" s="68">
        <f>'Cuota Industrial'!H16</f>
        <v>0</v>
      </c>
      <c r="L14" s="68">
        <f>'Cuota Industrial'!I16</f>
        <v>508.66699999999997</v>
      </c>
      <c r="M14" s="63">
        <f>'Cuota Industrial'!J16</f>
        <v>0</v>
      </c>
      <c r="N14" s="75" t="s">
        <v>156</v>
      </c>
      <c r="O14" s="82">
        <f>Resumen!$B$3</f>
        <v>43508</v>
      </c>
    </row>
    <row r="15" spans="1:15">
      <c r="A15" s="66" t="s">
        <v>114</v>
      </c>
      <c r="B15" s="67" t="s">
        <v>115</v>
      </c>
      <c r="C15" s="67" t="s">
        <v>63</v>
      </c>
      <c r="D15" s="67" t="s">
        <v>116</v>
      </c>
      <c r="E15" s="67" t="s">
        <v>163</v>
      </c>
      <c r="F15" s="67" t="s">
        <v>119</v>
      </c>
      <c r="G15" s="67" t="s">
        <v>120</v>
      </c>
      <c r="H15" s="68">
        <f>'Cuota Industrial'!E17</f>
        <v>10.384</v>
      </c>
      <c r="I15" s="68">
        <f>'Cuota Industrial'!F17</f>
        <v>0</v>
      </c>
      <c r="J15" s="68">
        <f>'Cuota Industrial'!G17</f>
        <v>519.05099999999993</v>
      </c>
      <c r="K15" s="68">
        <f>'Cuota Industrial'!H17</f>
        <v>0</v>
      </c>
      <c r="L15" s="68">
        <f>'Cuota Industrial'!I17</f>
        <v>519.05099999999993</v>
      </c>
      <c r="M15" s="63">
        <f>'Cuota Industrial'!J17</f>
        <v>0</v>
      </c>
      <c r="N15" s="75" t="s">
        <v>156</v>
      </c>
      <c r="O15" s="82">
        <f>Resumen!$B$3</f>
        <v>43508</v>
      </c>
    </row>
    <row r="16" spans="1:15">
      <c r="A16" s="66" t="s">
        <v>114</v>
      </c>
      <c r="B16" s="67" t="s">
        <v>115</v>
      </c>
      <c r="C16" s="67" t="s">
        <v>63</v>
      </c>
      <c r="D16" s="67" t="s">
        <v>116</v>
      </c>
      <c r="E16" s="67" t="s">
        <v>163</v>
      </c>
      <c r="F16" s="67" t="s">
        <v>117</v>
      </c>
      <c r="G16" s="67" t="s">
        <v>120</v>
      </c>
      <c r="H16" s="68">
        <f>'Cuota Industrial'!K16</f>
        <v>519.05099999999993</v>
      </c>
      <c r="I16" s="68">
        <f>'Cuota Industrial'!L16</f>
        <v>0</v>
      </c>
      <c r="J16" s="68">
        <f>'Cuota Industrial'!M16</f>
        <v>519.05099999999993</v>
      </c>
      <c r="K16" s="68">
        <f>'Cuota Industrial'!N16</f>
        <v>0</v>
      </c>
      <c r="L16" s="68">
        <f>'Cuota Industrial'!O16</f>
        <v>519.05099999999993</v>
      </c>
      <c r="M16" s="63">
        <f>'Cuota Industrial'!P16</f>
        <v>0</v>
      </c>
      <c r="N16" s="75" t="s">
        <v>156</v>
      </c>
      <c r="O16" s="82">
        <f>Resumen!$B$3</f>
        <v>43508</v>
      </c>
    </row>
    <row r="17" spans="1:15">
      <c r="A17" s="66" t="s">
        <v>126</v>
      </c>
      <c r="B17" s="67" t="s">
        <v>115</v>
      </c>
      <c r="C17" s="67" t="s">
        <v>127</v>
      </c>
      <c r="D17" s="67" t="s">
        <v>116</v>
      </c>
      <c r="E17" s="67" t="s">
        <v>164</v>
      </c>
      <c r="F17" s="67" t="s">
        <v>117</v>
      </c>
      <c r="G17" s="65" t="s">
        <v>118</v>
      </c>
      <c r="H17" s="68">
        <f>'Cuota Industrial'!E24</f>
        <v>894.91300000000001</v>
      </c>
      <c r="I17" s="68">
        <f>'Cuota Industrial'!F24</f>
        <v>0</v>
      </c>
      <c r="J17" s="68">
        <f>'Cuota Industrial'!G24</f>
        <v>894.91300000000001</v>
      </c>
      <c r="K17" s="68">
        <f>'Cuota Industrial'!H24</f>
        <v>0</v>
      </c>
      <c r="L17" s="68">
        <f>'Cuota Industrial'!I24</f>
        <v>894.91300000000001</v>
      </c>
      <c r="M17" s="63">
        <f>'Cuota Industrial'!J24</f>
        <v>0</v>
      </c>
      <c r="N17" s="75" t="s">
        <v>156</v>
      </c>
      <c r="O17" s="82">
        <f>Resumen!$B$3</f>
        <v>43508</v>
      </c>
    </row>
    <row r="18" spans="1:15">
      <c r="A18" s="66" t="s">
        <v>126</v>
      </c>
      <c r="B18" s="67" t="s">
        <v>115</v>
      </c>
      <c r="C18" s="67" t="s">
        <v>127</v>
      </c>
      <c r="D18" s="67" t="s">
        <v>116</v>
      </c>
      <c r="E18" s="67" t="s">
        <v>164</v>
      </c>
      <c r="F18" s="67" t="s">
        <v>119</v>
      </c>
      <c r="G18" s="67" t="s">
        <v>120</v>
      </c>
      <c r="H18" s="68">
        <f>'Cuota Industrial'!E25</f>
        <v>47.122999999999998</v>
      </c>
      <c r="I18" s="68">
        <f>'Cuota Industrial'!F25</f>
        <v>0</v>
      </c>
      <c r="J18" s="68">
        <f>'Cuota Industrial'!G25</f>
        <v>942.03600000000006</v>
      </c>
      <c r="K18" s="68">
        <f>'Cuota Industrial'!H25</f>
        <v>0</v>
      </c>
      <c r="L18" s="68">
        <f>'Cuota Industrial'!I25</f>
        <v>942.03600000000006</v>
      </c>
      <c r="M18" s="63">
        <f>'Cuota Industrial'!J25</f>
        <v>0</v>
      </c>
      <c r="N18" s="75" t="s">
        <v>156</v>
      </c>
      <c r="O18" s="82">
        <f>Resumen!$B$3</f>
        <v>43508</v>
      </c>
    </row>
    <row r="19" spans="1:15">
      <c r="A19" s="66" t="s">
        <v>126</v>
      </c>
      <c r="B19" s="67" t="s">
        <v>115</v>
      </c>
      <c r="C19" s="67" t="s">
        <v>127</v>
      </c>
      <c r="D19" s="67" t="s">
        <v>116</v>
      </c>
      <c r="E19" s="67" t="s">
        <v>164</v>
      </c>
      <c r="F19" s="67" t="s">
        <v>117</v>
      </c>
      <c r="G19" s="67" t="s">
        <v>120</v>
      </c>
      <c r="H19" s="68">
        <f>'Cuota Industrial'!K24</f>
        <v>942.03600000000006</v>
      </c>
      <c r="I19" s="68">
        <f>'Cuota Industrial'!L24</f>
        <v>0</v>
      </c>
      <c r="J19" s="68">
        <f>'Cuota Industrial'!M24</f>
        <v>942.03600000000006</v>
      </c>
      <c r="K19" s="68">
        <f>'Cuota Industrial'!N24</f>
        <v>0</v>
      </c>
      <c r="L19" s="68">
        <f>'Cuota Industrial'!O24</f>
        <v>942.03600000000006</v>
      </c>
      <c r="M19" s="63">
        <f>'Cuota Industrial'!P2</f>
        <v>0</v>
      </c>
      <c r="N19" s="75" t="s">
        <v>156</v>
      </c>
      <c r="O19" s="82">
        <f>Resumen!$B$3</f>
        <v>43508</v>
      </c>
    </row>
    <row r="20" spans="1:15">
      <c r="A20" s="66" t="s">
        <v>126</v>
      </c>
      <c r="B20" s="67" t="s">
        <v>115</v>
      </c>
      <c r="C20" s="67" t="s">
        <v>127</v>
      </c>
      <c r="D20" s="67" t="s">
        <v>116</v>
      </c>
      <c r="E20" s="67" t="s">
        <v>159</v>
      </c>
      <c r="F20" s="67" t="s">
        <v>117</v>
      </c>
      <c r="G20" s="65" t="s">
        <v>118</v>
      </c>
      <c r="H20" s="68">
        <f>'Cuota Industrial'!E26</f>
        <v>2.76</v>
      </c>
      <c r="I20" s="68">
        <f>'Cuota Industrial'!F26</f>
        <v>0</v>
      </c>
      <c r="J20" s="68">
        <f>'Cuota Industrial'!G26</f>
        <v>2.76</v>
      </c>
      <c r="K20" s="68">
        <f>'Cuota Industrial'!H26</f>
        <v>0</v>
      </c>
      <c r="L20" s="68">
        <f>'Cuota Industrial'!I26</f>
        <v>2.76</v>
      </c>
      <c r="M20" s="63">
        <f>'Cuota Industrial'!J26</f>
        <v>0</v>
      </c>
      <c r="N20" s="75" t="s">
        <v>156</v>
      </c>
      <c r="O20" s="82">
        <f>Resumen!$B$3</f>
        <v>43508</v>
      </c>
    </row>
    <row r="21" spans="1:15">
      <c r="A21" s="66" t="s">
        <v>126</v>
      </c>
      <c r="B21" s="67" t="s">
        <v>115</v>
      </c>
      <c r="C21" s="67" t="s">
        <v>127</v>
      </c>
      <c r="D21" s="67" t="s">
        <v>116</v>
      </c>
      <c r="E21" s="67" t="s">
        <v>159</v>
      </c>
      <c r="F21" s="67" t="s">
        <v>119</v>
      </c>
      <c r="G21" s="67" t="s">
        <v>120</v>
      </c>
      <c r="H21" s="68">
        <f>'Cuota Industrial'!E27</f>
        <v>0.14499999999999999</v>
      </c>
      <c r="I21" s="68">
        <f>'Cuota Industrial'!F27</f>
        <v>0</v>
      </c>
      <c r="J21" s="68">
        <f>'Cuota Industrial'!G27</f>
        <v>2.9049999999999998</v>
      </c>
      <c r="K21" s="68">
        <f>'Cuota Industrial'!H27</f>
        <v>0</v>
      </c>
      <c r="L21" s="68">
        <f>'Cuota Industrial'!I27</f>
        <v>2.9049999999999998</v>
      </c>
      <c r="M21" s="63">
        <f>'Cuota Industrial'!J27</f>
        <v>0</v>
      </c>
      <c r="N21" s="75" t="s">
        <v>156</v>
      </c>
      <c r="O21" s="82">
        <f>Resumen!$B$3</f>
        <v>43508</v>
      </c>
    </row>
    <row r="22" spans="1:15">
      <c r="A22" s="66" t="s">
        <v>126</v>
      </c>
      <c r="B22" s="67" t="s">
        <v>115</v>
      </c>
      <c r="C22" s="67" t="s">
        <v>127</v>
      </c>
      <c r="D22" s="67" t="s">
        <v>116</v>
      </c>
      <c r="E22" s="67" t="s">
        <v>159</v>
      </c>
      <c r="F22" s="67" t="s">
        <v>117</v>
      </c>
      <c r="G22" s="67" t="s">
        <v>120</v>
      </c>
      <c r="H22" s="68">
        <f>'Cuota Industrial'!K26</f>
        <v>2.9049999999999998</v>
      </c>
      <c r="I22" s="68">
        <f>'Cuota Industrial'!L26</f>
        <v>0</v>
      </c>
      <c r="J22" s="68">
        <f>'Cuota Industrial'!M26</f>
        <v>2.9049999999999998</v>
      </c>
      <c r="K22" s="68">
        <f>'Cuota Industrial'!N26</f>
        <v>0</v>
      </c>
      <c r="L22" s="68">
        <f>'Cuota Industrial'!O26</f>
        <v>2.9049999999999998</v>
      </c>
      <c r="M22" s="63">
        <f>'Cuota Industrial'!P26</f>
        <v>0</v>
      </c>
      <c r="N22" s="75" t="s">
        <v>156</v>
      </c>
      <c r="O22" s="82">
        <f>Resumen!$B$3</f>
        <v>43508</v>
      </c>
    </row>
    <row r="23" spans="1:15">
      <c r="A23" s="66" t="s">
        <v>126</v>
      </c>
      <c r="B23" s="67" t="s">
        <v>115</v>
      </c>
      <c r="C23" s="67" t="s">
        <v>127</v>
      </c>
      <c r="D23" s="67" t="s">
        <v>116</v>
      </c>
      <c r="E23" s="67" t="s">
        <v>165</v>
      </c>
      <c r="F23" s="67" t="s">
        <v>117</v>
      </c>
      <c r="G23" s="65" t="s">
        <v>118</v>
      </c>
      <c r="H23" s="68">
        <f>'Cuota Industrial'!E28</f>
        <v>40.215000000000003</v>
      </c>
      <c r="I23" s="68">
        <f>'Cuota Industrial'!F28</f>
        <v>0</v>
      </c>
      <c r="J23" s="68">
        <f>'Cuota Industrial'!G28</f>
        <v>40.215000000000003</v>
      </c>
      <c r="K23" s="68">
        <f>'Cuota Industrial'!H28</f>
        <v>0</v>
      </c>
      <c r="L23" s="68">
        <f>'Cuota Industrial'!I28</f>
        <v>40.215000000000003</v>
      </c>
      <c r="M23" s="63">
        <f>'Cuota Industrial'!J28</f>
        <v>0</v>
      </c>
      <c r="N23" s="75" t="s">
        <v>156</v>
      </c>
      <c r="O23" s="82">
        <f>Resumen!$B$3</f>
        <v>43508</v>
      </c>
    </row>
    <row r="24" spans="1:15">
      <c r="A24" s="66" t="s">
        <v>126</v>
      </c>
      <c r="B24" s="67" t="s">
        <v>115</v>
      </c>
      <c r="C24" s="67" t="s">
        <v>127</v>
      </c>
      <c r="D24" s="67" t="s">
        <v>116</v>
      </c>
      <c r="E24" s="67" t="s">
        <v>165</v>
      </c>
      <c r="F24" s="67" t="s">
        <v>119</v>
      </c>
      <c r="G24" s="67" t="s">
        <v>120</v>
      </c>
      <c r="H24" s="68">
        <f>'Cuota Industrial'!E29</f>
        <v>2.1179999999999999</v>
      </c>
      <c r="I24" s="68">
        <f>'Cuota Industrial'!F29</f>
        <v>0</v>
      </c>
      <c r="J24" s="68">
        <f>'Cuota Industrial'!G29</f>
        <v>42.333000000000006</v>
      </c>
      <c r="K24" s="68">
        <f>'Cuota Industrial'!H29</f>
        <v>0</v>
      </c>
      <c r="L24" s="68">
        <f>'Cuota Industrial'!I29</f>
        <v>42.333000000000006</v>
      </c>
      <c r="M24" s="63">
        <f>'Cuota Industrial'!J29</f>
        <v>0</v>
      </c>
      <c r="N24" s="75" t="s">
        <v>156</v>
      </c>
      <c r="O24" s="82">
        <f>Resumen!$B$3</f>
        <v>43508</v>
      </c>
    </row>
    <row r="25" spans="1:15">
      <c r="A25" s="66" t="s">
        <v>126</v>
      </c>
      <c r="B25" s="67" t="s">
        <v>115</v>
      </c>
      <c r="C25" s="67" t="s">
        <v>127</v>
      </c>
      <c r="D25" s="67" t="s">
        <v>116</v>
      </c>
      <c r="E25" s="67" t="s">
        <v>165</v>
      </c>
      <c r="F25" s="67" t="s">
        <v>117</v>
      </c>
      <c r="G25" s="67" t="s">
        <v>120</v>
      </c>
      <c r="H25" s="68">
        <f>'Cuota Industrial'!K28</f>
        <v>42.333000000000006</v>
      </c>
      <c r="I25" s="68">
        <f>'Cuota Industrial'!L28</f>
        <v>0</v>
      </c>
      <c r="J25" s="68">
        <f>'Cuota Industrial'!M28</f>
        <v>42.333000000000006</v>
      </c>
      <c r="K25" s="68">
        <f>'Cuota Industrial'!N28</f>
        <v>0</v>
      </c>
      <c r="L25" s="68">
        <f>'Cuota Industrial'!O28</f>
        <v>42.333000000000006</v>
      </c>
      <c r="M25" s="63">
        <f>'Cuota Industrial'!P28</f>
        <v>0</v>
      </c>
      <c r="N25" s="75" t="s">
        <v>156</v>
      </c>
      <c r="O25" s="82">
        <f>Resumen!$B$3</f>
        <v>43508</v>
      </c>
    </row>
    <row r="26" spans="1:15">
      <c r="A26" s="66" t="s">
        <v>126</v>
      </c>
      <c r="B26" s="67" t="s">
        <v>115</v>
      </c>
      <c r="C26" s="67" t="s">
        <v>127</v>
      </c>
      <c r="D26" s="67" t="s">
        <v>116</v>
      </c>
      <c r="E26" s="67" t="s">
        <v>166</v>
      </c>
      <c r="F26" s="67" t="s">
        <v>117</v>
      </c>
      <c r="G26" s="65" t="s">
        <v>118</v>
      </c>
      <c r="H26" s="68">
        <f>'Cuota Industrial'!E30</f>
        <v>2948.348</v>
      </c>
      <c r="I26" s="68">
        <f>'Cuota Industrial'!F30</f>
        <v>0</v>
      </c>
      <c r="J26" s="68">
        <f>'Cuota Industrial'!G30</f>
        <v>2948.348</v>
      </c>
      <c r="K26" s="68">
        <f>'Cuota Industrial'!H30</f>
        <v>0</v>
      </c>
      <c r="L26" s="68">
        <f>'Cuota Industrial'!I30</f>
        <v>2948.348</v>
      </c>
      <c r="M26" s="63">
        <f>'Cuota Industrial'!J30</f>
        <v>0</v>
      </c>
      <c r="N26" s="75" t="s">
        <v>156</v>
      </c>
      <c r="O26" s="82">
        <f>Resumen!$B$3</f>
        <v>43508</v>
      </c>
    </row>
    <row r="27" spans="1:15">
      <c r="A27" s="66" t="s">
        <v>126</v>
      </c>
      <c r="B27" s="67" t="s">
        <v>115</v>
      </c>
      <c r="C27" s="67" t="s">
        <v>127</v>
      </c>
      <c r="D27" s="67" t="s">
        <v>116</v>
      </c>
      <c r="E27" s="67" t="s">
        <v>166</v>
      </c>
      <c r="F27" s="67" t="s">
        <v>119</v>
      </c>
      <c r="G27" s="67" t="s">
        <v>120</v>
      </c>
      <c r="H27" s="68">
        <f>'Cuota Industrial'!E31</f>
        <v>155.249</v>
      </c>
      <c r="I27" s="68">
        <f>'Cuota Industrial'!F31</f>
        <v>0</v>
      </c>
      <c r="J27" s="68">
        <f>'Cuota Industrial'!G31</f>
        <v>3103.5969999999998</v>
      </c>
      <c r="K27" s="68">
        <f>'Cuota Industrial'!H31</f>
        <v>0</v>
      </c>
      <c r="L27" s="68">
        <f>'Cuota Industrial'!I31</f>
        <v>3103.5969999999998</v>
      </c>
      <c r="M27" s="63">
        <f>'Cuota Industrial'!J31</f>
        <v>0</v>
      </c>
      <c r="N27" s="75" t="s">
        <v>156</v>
      </c>
      <c r="O27" s="82">
        <f>Resumen!$B$3</f>
        <v>43508</v>
      </c>
    </row>
    <row r="28" spans="1:15">
      <c r="A28" s="66" t="s">
        <v>126</v>
      </c>
      <c r="B28" s="67" t="s">
        <v>115</v>
      </c>
      <c r="C28" s="67" t="s">
        <v>127</v>
      </c>
      <c r="D28" s="67" t="s">
        <v>116</v>
      </c>
      <c r="E28" s="67" t="s">
        <v>166</v>
      </c>
      <c r="F28" s="67" t="s">
        <v>117</v>
      </c>
      <c r="G28" s="67" t="s">
        <v>120</v>
      </c>
      <c r="H28" s="68">
        <f>'Cuota Industrial'!K30</f>
        <v>3103.5969999999998</v>
      </c>
      <c r="I28" s="68">
        <f>'Cuota Industrial'!L30</f>
        <v>0</v>
      </c>
      <c r="J28" s="68">
        <f>'Cuota Industrial'!M30</f>
        <v>3103.5969999999998</v>
      </c>
      <c r="K28" s="68">
        <f>'Cuota Industrial'!N30</f>
        <v>0</v>
      </c>
      <c r="L28" s="68">
        <f>'Cuota Industrial'!O30</f>
        <v>3103.5969999999998</v>
      </c>
      <c r="M28" s="63">
        <f>'Cuota Industrial'!P30</f>
        <v>0</v>
      </c>
      <c r="N28" s="75" t="s">
        <v>156</v>
      </c>
      <c r="O28" s="82">
        <f>Resumen!$B$3</f>
        <v>43508</v>
      </c>
    </row>
    <row r="29" spans="1:15">
      <c r="A29" s="66" t="s">
        <v>126</v>
      </c>
      <c r="B29" s="67" t="s">
        <v>115</v>
      </c>
      <c r="C29" s="67" t="s">
        <v>127</v>
      </c>
      <c r="D29" s="67" t="s">
        <v>116</v>
      </c>
      <c r="E29" s="67" t="s">
        <v>160</v>
      </c>
      <c r="F29" s="67" t="s">
        <v>117</v>
      </c>
      <c r="G29" s="65" t="s">
        <v>118</v>
      </c>
      <c r="H29" s="68">
        <f>'Cuota Industrial'!E32</f>
        <v>159.124</v>
      </c>
      <c r="I29" s="68">
        <f>'Cuota Industrial'!F32</f>
        <v>0</v>
      </c>
      <c r="J29" s="68">
        <f>'Cuota Industrial'!G32</f>
        <v>159.124</v>
      </c>
      <c r="K29" s="68">
        <f>'Cuota Industrial'!H32</f>
        <v>0</v>
      </c>
      <c r="L29" s="68">
        <f>'Cuota Industrial'!I32</f>
        <v>159.124</v>
      </c>
      <c r="M29" s="63">
        <f>'Cuota Industrial'!J32</f>
        <v>0</v>
      </c>
      <c r="N29" s="75" t="s">
        <v>156</v>
      </c>
      <c r="O29" s="82">
        <f>Resumen!$B$3</f>
        <v>43508</v>
      </c>
    </row>
    <row r="30" spans="1:15">
      <c r="A30" s="66" t="s">
        <v>126</v>
      </c>
      <c r="B30" s="67" t="s">
        <v>115</v>
      </c>
      <c r="C30" s="67" t="s">
        <v>127</v>
      </c>
      <c r="D30" s="67" t="s">
        <v>116</v>
      </c>
      <c r="E30" s="67" t="s">
        <v>160</v>
      </c>
      <c r="F30" s="67" t="s">
        <v>119</v>
      </c>
      <c r="G30" s="67" t="s">
        <v>120</v>
      </c>
      <c r="H30" s="68">
        <f>'Cuota Industrial'!E33</f>
        <v>8.3789999999999996</v>
      </c>
      <c r="I30" s="68">
        <f>'Cuota Industrial'!F33</f>
        <v>0</v>
      </c>
      <c r="J30" s="68">
        <f>'Cuota Industrial'!G33</f>
        <v>167.50299999999999</v>
      </c>
      <c r="K30" s="68">
        <f>'Cuota Industrial'!H33</f>
        <v>0</v>
      </c>
      <c r="L30" s="68">
        <f>'Cuota Industrial'!I33</f>
        <v>167.50299999999999</v>
      </c>
      <c r="M30" s="63">
        <f>'Cuota Industrial'!J33</f>
        <v>0</v>
      </c>
      <c r="N30" s="75" t="s">
        <v>156</v>
      </c>
      <c r="O30" s="82">
        <f>Resumen!$B$3</f>
        <v>43508</v>
      </c>
    </row>
    <row r="31" spans="1:15">
      <c r="A31" s="66" t="s">
        <v>126</v>
      </c>
      <c r="B31" s="67" t="s">
        <v>115</v>
      </c>
      <c r="C31" s="67" t="s">
        <v>127</v>
      </c>
      <c r="D31" s="67" t="s">
        <v>116</v>
      </c>
      <c r="E31" s="67" t="s">
        <v>160</v>
      </c>
      <c r="F31" s="67" t="s">
        <v>117</v>
      </c>
      <c r="G31" s="67" t="s">
        <v>120</v>
      </c>
      <c r="H31" s="68">
        <f>'Cuota Industrial'!K32</f>
        <v>167.50299999999999</v>
      </c>
      <c r="I31" s="68">
        <f>'Cuota Industrial'!L32</f>
        <v>0</v>
      </c>
      <c r="J31" s="68">
        <f>'Cuota Industrial'!M32</f>
        <v>167.50299999999999</v>
      </c>
      <c r="K31" s="68">
        <f>'Cuota Industrial'!N32</f>
        <v>0</v>
      </c>
      <c r="L31" s="68">
        <f>'Cuota Industrial'!O32</f>
        <v>167.50299999999999</v>
      </c>
      <c r="M31" s="63">
        <f>'Cuota Industrial'!P32</f>
        <v>0</v>
      </c>
      <c r="N31" s="75" t="s">
        <v>156</v>
      </c>
      <c r="O31" s="82">
        <f>Resumen!$B$3</f>
        <v>43508</v>
      </c>
    </row>
    <row r="32" spans="1:15">
      <c r="A32" s="66" t="s">
        <v>126</v>
      </c>
      <c r="B32" s="67" t="s">
        <v>115</v>
      </c>
      <c r="C32" s="67" t="s">
        <v>127</v>
      </c>
      <c r="D32" s="67" t="s">
        <v>116</v>
      </c>
      <c r="E32" s="67" t="s">
        <v>167</v>
      </c>
      <c r="F32" s="67" t="s">
        <v>117</v>
      </c>
      <c r="G32" s="65" t="s">
        <v>118</v>
      </c>
      <c r="H32" s="68">
        <f>'Cuota Industrial'!E34</f>
        <v>510.06200000000001</v>
      </c>
      <c r="I32" s="68">
        <f>'Cuota Industrial'!F34</f>
        <v>0</v>
      </c>
      <c r="J32" s="68">
        <f>'Cuota Industrial'!G34</f>
        <v>510.06200000000001</v>
      </c>
      <c r="K32" s="68">
        <f>'Cuota Industrial'!H34</f>
        <v>0</v>
      </c>
      <c r="L32" s="68">
        <f>'Cuota Industrial'!I34</f>
        <v>510.06200000000001</v>
      </c>
      <c r="M32" s="63">
        <f>'Cuota Industrial'!J34</f>
        <v>0</v>
      </c>
      <c r="N32" s="75" t="s">
        <v>156</v>
      </c>
      <c r="O32" s="82">
        <f>Resumen!$B$3</f>
        <v>43508</v>
      </c>
    </row>
    <row r="33" spans="1:15">
      <c r="A33" s="66" t="s">
        <v>126</v>
      </c>
      <c r="B33" s="67" t="s">
        <v>115</v>
      </c>
      <c r="C33" s="67" t="s">
        <v>127</v>
      </c>
      <c r="D33" s="67" t="s">
        <v>116</v>
      </c>
      <c r="E33" s="67" t="s">
        <v>167</v>
      </c>
      <c r="F33" s="67" t="s">
        <v>119</v>
      </c>
      <c r="G33" s="67" t="s">
        <v>120</v>
      </c>
      <c r="H33" s="68">
        <f>'Cuota Industrial'!E35</f>
        <v>26.858000000000001</v>
      </c>
      <c r="I33" s="68">
        <f>'Cuota Industrial'!F35</f>
        <v>0</v>
      </c>
      <c r="J33" s="68">
        <f>'Cuota Industrial'!G35</f>
        <v>536.91999999999996</v>
      </c>
      <c r="K33" s="68">
        <f>'Cuota Industrial'!H35</f>
        <v>0</v>
      </c>
      <c r="L33" s="68">
        <f>'Cuota Industrial'!I35</f>
        <v>536.91999999999996</v>
      </c>
      <c r="M33" s="63">
        <f>'Cuota Industrial'!J35</f>
        <v>0</v>
      </c>
      <c r="N33" s="75" t="s">
        <v>156</v>
      </c>
      <c r="O33" s="82">
        <f>Resumen!$B$3</f>
        <v>43508</v>
      </c>
    </row>
    <row r="34" spans="1:15">
      <c r="A34" s="66" t="s">
        <v>126</v>
      </c>
      <c r="B34" s="67" t="s">
        <v>115</v>
      </c>
      <c r="C34" s="67" t="s">
        <v>127</v>
      </c>
      <c r="D34" s="67" t="s">
        <v>116</v>
      </c>
      <c r="E34" s="67" t="s">
        <v>167</v>
      </c>
      <c r="F34" s="67" t="s">
        <v>117</v>
      </c>
      <c r="G34" s="67" t="s">
        <v>120</v>
      </c>
      <c r="H34" s="68">
        <f>'Cuota Industrial'!K34</f>
        <v>536.91999999999996</v>
      </c>
      <c r="I34" s="68">
        <f>'Cuota Industrial'!L34</f>
        <v>0</v>
      </c>
      <c r="J34" s="68">
        <f>'Cuota Industrial'!M34</f>
        <v>536.91999999999996</v>
      </c>
      <c r="K34" s="68">
        <f>'Cuota Industrial'!N34</f>
        <v>0</v>
      </c>
      <c r="L34" s="68">
        <f>'Cuota Industrial'!O34</f>
        <v>536.91999999999996</v>
      </c>
      <c r="M34" s="63">
        <f>'Cuota Industrial'!P34</f>
        <v>0</v>
      </c>
      <c r="N34" s="75" t="s">
        <v>156</v>
      </c>
      <c r="O34" s="82">
        <f>Resumen!$B$3</f>
        <v>43508</v>
      </c>
    </row>
    <row r="35" spans="1:15">
      <c r="A35" s="66" t="s">
        <v>126</v>
      </c>
      <c r="B35" s="67" t="s">
        <v>115</v>
      </c>
      <c r="C35" s="67" t="s">
        <v>127</v>
      </c>
      <c r="D35" s="67" t="s">
        <v>116</v>
      </c>
      <c r="E35" s="67" t="s">
        <v>128</v>
      </c>
      <c r="F35" s="67" t="s">
        <v>117</v>
      </c>
      <c r="G35" s="65" t="s">
        <v>118</v>
      </c>
      <c r="H35" s="68">
        <f>'Cuota Industrial'!E36</f>
        <v>439.81099999999998</v>
      </c>
      <c r="I35" s="68">
        <f>'Cuota Industrial'!F36</f>
        <v>0</v>
      </c>
      <c r="J35" s="68">
        <f>'Cuota Industrial'!G36</f>
        <v>439.81099999999998</v>
      </c>
      <c r="K35" s="68">
        <f>'Cuota Industrial'!H36</f>
        <v>0</v>
      </c>
      <c r="L35" s="68">
        <f>'Cuota Industrial'!I36</f>
        <v>439.81099999999998</v>
      </c>
      <c r="M35" s="63">
        <f>'Cuota Industrial'!J36</f>
        <v>0</v>
      </c>
      <c r="N35" s="75" t="s">
        <v>156</v>
      </c>
      <c r="O35" s="82">
        <f>Resumen!$B$3</f>
        <v>43508</v>
      </c>
    </row>
    <row r="36" spans="1:15">
      <c r="A36" s="66" t="s">
        <v>126</v>
      </c>
      <c r="B36" s="67" t="s">
        <v>115</v>
      </c>
      <c r="C36" s="67" t="s">
        <v>127</v>
      </c>
      <c r="D36" s="67" t="s">
        <v>116</v>
      </c>
      <c r="E36" s="67" t="s">
        <v>128</v>
      </c>
      <c r="F36" s="67" t="s">
        <v>119</v>
      </c>
      <c r="G36" s="67" t="s">
        <v>120</v>
      </c>
      <c r="H36" s="68">
        <f>'Cuota Industrial'!E37</f>
        <v>23.158999999999999</v>
      </c>
      <c r="I36" s="68">
        <f>'Cuota Industrial'!F37</f>
        <v>0</v>
      </c>
      <c r="J36" s="68">
        <f>'Cuota Industrial'!G37</f>
        <v>462.96999999999997</v>
      </c>
      <c r="K36" s="68">
        <f>'Cuota Industrial'!H37</f>
        <v>0</v>
      </c>
      <c r="L36" s="68">
        <f>'Cuota Industrial'!I37</f>
        <v>462.96999999999997</v>
      </c>
      <c r="M36" s="63">
        <f>'Cuota Industrial'!J37</f>
        <v>0</v>
      </c>
      <c r="N36" s="75" t="s">
        <v>156</v>
      </c>
      <c r="O36" s="82">
        <f>Resumen!$B$3</f>
        <v>43508</v>
      </c>
    </row>
    <row r="37" spans="1:15">
      <c r="A37" s="66" t="s">
        <v>126</v>
      </c>
      <c r="B37" s="67" t="s">
        <v>115</v>
      </c>
      <c r="C37" s="67" t="s">
        <v>127</v>
      </c>
      <c r="D37" s="67" t="s">
        <v>116</v>
      </c>
      <c r="E37" s="67" t="s">
        <v>128</v>
      </c>
      <c r="F37" s="67" t="s">
        <v>117</v>
      </c>
      <c r="G37" s="67" t="s">
        <v>120</v>
      </c>
      <c r="H37" s="68">
        <f>'Cuota Industrial'!K36</f>
        <v>462.96999999999997</v>
      </c>
      <c r="I37" s="68">
        <f>'Cuota Industrial'!L36</f>
        <v>0</v>
      </c>
      <c r="J37" s="68">
        <f>'Cuota Industrial'!M36</f>
        <v>462.96999999999997</v>
      </c>
      <c r="K37" s="68">
        <f>'Cuota Industrial'!N36</f>
        <v>0</v>
      </c>
      <c r="L37" s="68">
        <f>'Cuota Industrial'!O36</f>
        <v>462.96999999999997</v>
      </c>
      <c r="M37" s="63">
        <f>'Cuota Industrial'!P36</f>
        <v>0</v>
      </c>
      <c r="N37" s="75" t="s">
        <v>156</v>
      </c>
      <c r="O37" s="82">
        <f>Resumen!$B$3</f>
        <v>43508</v>
      </c>
    </row>
    <row r="38" spans="1:15">
      <c r="A38" s="66" t="s">
        <v>126</v>
      </c>
      <c r="B38" s="67" t="s">
        <v>115</v>
      </c>
      <c r="C38" s="67" t="s">
        <v>127</v>
      </c>
      <c r="D38" s="67" t="s">
        <v>116</v>
      </c>
      <c r="E38" s="67" t="s">
        <v>168</v>
      </c>
      <c r="F38" s="67" t="s">
        <v>117</v>
      </c>
      <c r="G38" s="65" t="s">
        <v>118</v>
      </c>
      <c r="H38" s="68">
        <f>'Cuota Industrial'!E38</f>
        <v>10.199</v>
      </c>
      <c r="I38" s="68">
        <f>'Cuota Industrial'!F38</f>
        <v>0</v>
      </c>
      <c r="J38" s="68">
        <f>'Cuota Industrial'!G38</f>
        <v>10.199</v>
      </c>
      <c r="K38" s="68">
        <f>'Cuota Industrial'!H38</f>
        <v>0</v>
      </c>
      <c r="L38" s="68">
        <f>'Cuota Industrial'!I38</f>
        <v>10.199</v>
      </c>
      <c r="M38" s="63">
        <f>'Cuota Industrial'!J38</f>
        <v>0</v>
      </c>
      <c r="N38" s="75" t="s">
        <v>156</v>
      </c>
      <c r="O38" s="82">
        <f>Resumen!$B$3</f>
        <v>43508</v>
      </c>
    </row>
    <row r="39" spans="1:15">
      <c r="A39" s="66" t="s">
        <v>126</v>
      </c>
      <c r="B39" s="67" t="s">
        <v>115</v>
      </c>
      <c r="C39" s="67" t="s">
        <v>127</v>
      </c>
      <c r="D39" s="67" t="s">
        <v>116</v>
      </c>
      <c r="E39" s="67" t="s">
        <v>168</v>
      </c>
      <c r="F39" s="67" t="s">
        <v>119</v>
      </c>
      <c r="G39" s="67" t="s">
        <v>120</v>
      </c>
      <c r="H39" s="68">
        <f>'Cuota Industrial'!E39</f>
        <v>0.53700000000000003</v>
      </c>
      <c r="I39" s="68">
        <f>'Cuota Industrial'!F39</f>
        <v>0</v>
      </c>
      <c r="J39" s="68">
        <f>'Cuota Industrial'!G39</f>
        <v>10.736000000000001</v>
      </c>
      <c r="K39" s="68">
        <f>'Cuota Industrial'!H39</f>
        <v>0</v>
      </c>
      <c r="L39" s="68">
        <f>'Cuota Industrial'!I39</f>
        <v>10.736000000000001</v>
      </c>
      <c r="M39" s="63">
        <f>'Cuota Industrial'!J39</f>
        <v>0</v>
      </c>
      <c r="N39" s="75" t="s">
        <v>156</v>
      </c>
      <c r="O39" s="82">
        <f>Resumen!$B$3</f>
        <v>43508</v>
      </c>
    </row>
    <row r="40" spans="1:15">
      <c r="A40" s="66" t="s">
        <v>126</v>
      </c>
      <c r="B40" s="67" t="s">
        <v>115</v>
      </c>
      <c r="C40" s="67" t="s">
        <v>127</v>
      </c>
      <c r="D40" s="67" t="s">
        <v>116</v>
      </c>
      <c r="E40" s="67" t="s">
        <v>168</v>
      </c>
      <c r="F40" s="67" t="s">
        <v>117</v>
      </c>
      <c r="G40" s="67" t="s">
        <v>120</v>
      </c>
      <c r="H40" s="68">
        <f>'Cuota Industrial'!K38</f>
        <v>10.736000000000001</v>
      </c>
      <c r="I40" s="68">
        <f>'Cuota Industrial'!L38</f>
        <v>0</v>
      </c>
      <c r="J40" s="68">
        <f>'Cuota Industrial'!M38</f>
        <v>10.736000000000001</v>
      </c>
      <c r="K40" s="68">
        <f>'Cuota Industrial'!N38</f>
        <v>0</v>
      </c>
      <c r="L40" s="68">
        <f>'Cuota Industrial'!O38</f>
        <v>10.736000000000001</v>
      </c>
      <c r="M40" s="63">
        <f>'Cuota Industrial'!P38</f>
        <v>0</v>
      </c>
      <c r="N40" s="75" t="s">
        <v>156</v>
      </c>
      <c r="O40" s="82">
        <f>Resumen!$B$3</f>
        <v>43508</v>
      </c>
    </row>
    <row r="41" spans="1:15">
      <c r="A41" s="66" t="s">
        <v>126</v>
      </c>
      <c r="B41" s="67" t="s">
        <v>115</v>
      </c>
      <c r="C41" s="67" t="s">
        <v>127</v>
      </c>
      <c r="D41" s="67" t="s">
        <v>116</v>
      </c>
      <c r="E41" s="67" t="s">
        <v>163</v>
      </c>
      <c r="F41" s="67" t="s">
        <v>117</v>
      </c>
      <c r="G41" s="65" t="s">
        <v>118</v>
      </c>
      <c r="H41" s="68">
        <f>'Cuota Industrial'!E40</f>
        <v>70.665999999999997</v>
      </c>
      <c r="I41" s="68">
        <f>'Cuota Industrial'!F40</f>
        <v>0</v>
      </c>
      <c r="J41" s="68">
        <f>'Cuota Industrial'!G40</f>
        <v>70.665999999999997</v>
      </c>
      <c r="K41" s="68">
        <f>'Cuota Industrial'!H40</f>
        <v>0</v>
      </c>
      <c r="L41" s="68">
        <f>'Cuota Industrial'!I40</f>
        <v>70.665999999999997</v>
      </c>
      <c r="M41" s="63">
        <f>'Cuota Industrial'!J40</f>
        <v>0</v>
      </c>
      <c r="N41" s="75" t="s">
        <v>156</v>
      </c>
      <c r="O41" s="82">
        <f>Resumen!$B$3</f>
        <v>43508</v>
      </c>
    </row>
    <row r="42" spans="1:15">
      <c r="A42" s="66" t="s">
        <v>126</v>
      </c>
      <c r="B42" s="67" t="s">
        <v>115</v>
      </c>
      <c r="C42" s="67" t="s">
        <v>127</v>
      </c>
      <c r="D42" s="67" t="s">
        <v>116</v>
      </c>
      <c r="E42" s="67" t="s">
        <v>163</v>
      </c>
      <c r="F42" s="67" t="s">
        <v>119</v>
      </c>
      <c r="G42" s="67" t="s">
        <v>120</v>
      </c>
      <c r="H42" s="68">
        <f>'Cuota Industrial'!E41</f>
        <v>3.7210000000000001</v>
      </c>
      <c r="I42" s="68">
        <f>'Cuota Industrial'!F41</f>
        <v>0</v>
      </c>
      <c r="J42" s="68">
        <f>'Cuota Industrial'!G41</f>
        <v>74.387</v>
      </c>
      <c r="K42" s="68">
        <f>'Cuota Industrial'!H41</f>
        <v>0</v>
      </c>
      <c r="L42" s="68">
        <f>'Cuota Industrial'!I41</f>
        <v>74.387</v>
      </c>
      <c r="M42" s="63">
        <f>'Cuota Industrial'!J41</f>
        <v>0</v>
      </c>
      <c r="N42" s="75" t="s">
        <v>156</v>
      </c>
      <c r="O42" s="82">
        <f>Resumen!$B$3</f>
        <v>43508</v>
      </c>
    </row>
    <row r="43" spans="1:15">
      <c r="A43" s="66" t="s">
        <v>126</v>
      </c>
      <c r="B43" s="67" t="s">
        <v>115</v>
      </c>
      <c r="C43" s="67" t="s">
        <v>127</v>
      </c>
      <c r="D43" s="67" t="s">
        <v>116</v>
      </c>
      <c r="E43" s="67" t="s">
        <v>163</v>
      </c>
      <c r="F43" s="67" t="s">
        <v>117</v>
      </c>
      <c r="G43" s="67" t="s">
        <v>120</v>
      </c>
      <c r="H43" s="68">
        <f>'Cuota Industrial'!K40</f>
        <v>74.387</v>
      </c>
      <c r="I43" s="68">
        <f>'Cuota Industrial'!L40</f>
        <v>0</v>
      </c>
      <c r="J43" s="68">
        <f>'Cuota Industrial'!M40</f>
        <v>74.387</v>
      </c>
      <c r="K43" s="68">
        <f>'Cuota Industrial'!N40</f>
        <v>0</v>
      </c>
      <c r="L43" s="68">
        <f>'Cuota Industrial'!O40</f>
        <v>74.387</v>
      </c>
      <c r="M43" s="63">
        <f>'Cuota Industrial'!P40</f>
        <v>0</v>
      </c>
      <c r="N43" s="75" t="s">
        <v>156</v>
      </c>
      <c r="O43" s="82">
        <f>Resumen!$B$3</f>
        <v>43508</v>
      </c>
    </row>
    <row r="44" spans="1:15">
      <c r="A44" s="66" t="s">
        <v>126</v>
      </c>
      <c r="B44" s="67" t="s">
        <v>115</v>
      </c>
      <c r="C44" s="67" t="s">
        <v>127</v>
      </c>
      <c r="D44" s="67" t="s">
        <v>116</v>
      </c>
      <c r="E44" s="67" t="s">
        <v>169</v>
      </c>
      <c r="F44" s="67" t="s">
        <v>117</v>
      </c>
      <c r="G44" s="65" t="s">
        <v>118</v>
      </c>
      <c r="H44" s="68">
        <f>'Cuota Industrial'!E42</f>
        <v>4.5890000000000004</v>
      </c>
      <c r="I44" s="68">
        <f>'Cuota Industrial'!F42</f>
        <v>0</v>
      </c>
      <c r="J44" s="68">
        <f>'Cuota Industrial'!G42</f>
        <v>4.5890000000000004</v>
      </c>
      <c r="K44" s="68">
        <f>'Cuota Industrial'!H42</f>
        <v>0</v>
      </c>
      <c r="L44" s="68">
        <f>'Cuota Industrial'!I42</f>
        <v>4.5890000000000004</v>
      </c>
      <c r="M44" s="63">
        <f>'Cuota Industrial'!J42</f>
        <v>0</v>
      </c>
      <c r="N44" s="75" t="s">
        <v>156</v>
      </c>
      <c r="O44" s="82">
        <f>Resumen!$B$3</f>
        <v>43508</v>
      </c>
    </row>
    <row r="45" spans="1:15">
      <c r="A45" s="66" t="s">
        <v>126</v>
      </c>
      <c r="B45" s="67" t="s">
        <v>115</v>
      </c>
      <c r="C45" s="67" t="s">
        <v>127</v>
      </c>
      <c r="D45" s="67" t="s">
        <v>116</v>
      </c>
      <c r="E45" s="67" t="s">
        <v>169</v>
      </c>
      <c r="F45" s="67" t="s">
        <v>119</v>
      </c>
      <c r="G45" s="67" t="s">
        <v>120</v>
      </c>
      <c r="H45" s="68">
        <f>'Cuota Industrial'!E43</f>
        <v>0.24199999999999999</v>
      </c>
      <c r="I45" s="68">
        <f>'Cuota Industrial'!F43</f>
        <v>0</v>
      </c>
      <c r="J45" s="68">
        <f>'Cuota Industrial'!G43</f>
        <v>4.8310000000000004</v>
      </c>
      <c r="K45" s="68">
        <f>'Cuota Industrial'!H43</f>
        <v>0</v>
      </c>
      <c r="L45" s="68">
        <f>'Cuota Industrial'!I43</f>
        <v>4.8310000000000004</v>
      </c>
      <c r="M45" s="63">
        <f>'Cuota Industrial'!J43</f>
        <v>0</v>
      </c>
      <c r="N45" s="75" t="s">
        <v>156</v>
      </c>
      <c r="O45" s="82">
        <f>Resumen!$B$3</f>
        <v>43508</v>
      </c>
    </row>
    <row r="46" spans="1:15">
      <c r="A46" s="66" t="s">
        <v>126</v>
      </c>
      <c r="B46" s="67" t="s">
        <v>115</v>
      </c>
      <c r="C46" s="67" t="s">
        <v>127</v>
      </c>
      <c r="D46" s="67" t="s">
        <v>116</v>
      </c>
      <c r="E46" s="67" t="s">
        <v>169</v>
      </c>
      <c r="F46" s="67" t="s">
        <v>117</v>
      </c>
      <c r="G46" s="67" t="s">
        <v>120</v>
      </c>
      <c r="H46" s="68">
        <f>'Cuota Industrial'!K42</f>
        <v>4.8310000000000004</v>
      </c>
      <c r="I46" s="68">
        <f>'Cuota Industrial'!L42</f>
        <v>0</v>
      </c>
      <c r="J46" s="68">
        <f>'Cuota Industrial'!M42</f>
        <v>4.8310000000000004</v>
      </c>
      <c r="K46" s="68">
        <f>'Cuota Industrial'!N42</f>
        <v>0</v>
      </c>
      <c r="L46" s="68">
        <f>'Cuota Industrial'!O42</f>
        <v>4.8310000000000004</v>
      </c>
      <c r="M46" s="63">
        <f>'Cuota Industrial'!P42</f>
        <v>0</v>
      </c>
      <c r="N46" s="75" t="s">
        <v>156</v>
      </c>
      <c r="O46" s="82">
        <f>Resumen!$B$3</f>
        <v>43508</v>
      </c>
    </row>
    <row r="47" spans="1:15">
      <c r="A47" s="85" t="s">
        <v>126</v>
      </c>
      <c r="B47" s="67" t="s">
        <v>115</v>
      </c>
      <c r="C47" s="67" t="s">
        <v>127</v>
      </c>
      <c r="D47" s="67" t="s">
        <v>116</v>
      </c>
      <c r="E47" s="67" t="s">
        <v>162</v>
      </c>
      <c r="F47" s="67" t="s">
        <v>117</v>
      </c>
      <c r="G47" s="65" t="s">
        <v>118</v>
      </c>
      <c r="H47" s="68">
        <f>'Cuota Industrial'!E44</f>
        <v>4894.3190000000004</v>
      </c>
      <c r="I47" s="68">
        <f>'Cuota Industrial'!F44</f>
        <v>0</v>
      </c>
      <c r="J47" s="68">
        <f>'Cuota Industrial'!G44</f>
        <v>4894.3190000000004</v>
      </c>
      <c r="K47" s="68">
        <f>'Cuota Industrial'!H44</f>
        <v>0</v>
      </c>
      <c r="L47" s="68">
        <f>'Cuota Industrial'!I44</f>
        <v>4894.3190000000004</v>
      </c>
      <c r="M47" s="63">
        <f>'Cuota Industrial'!J44</f>
        <v>0</v>
      </c>
      <c r="N47" s="75" t="s">
        <v>156</v>
      </c>
      <c r="O47" s="82">
        <f>Resumen!$B$3</f>
        <v>43508</v>
      </c>
    </row>
    <row r="48" spans="1:15">
      <c r="A48" s="85" t="s">
        <v>126</v>
      </c>
      <c r="B48" s="67" t="s">
        <v>115</v>
      </c>
      <c r="C48" s="67" t="s">
        <v>127</v>
      </c>
      <c r="D48" s="67" t="s">
        <v>116</v>
      </c>
      <c r="E48" s="67" t="s">
        <v>162</v>
      </c>
      <c r="F48" s="67" t="s">
        <v>119</v>
      </c>
      <c r="G48" s="67" t="s">
        <v>120</v>
      </c>
      <c r="H48" s="68">
        <f>'Cuota Industrial'!E45</f>
        <v>257.71600000000001</v>
      </c>
      <c r="I48" s="68">
        <f>'Cuota Industrial'!F45</f>
        <v>0</v>
      </c>
      <c r="J48" s="68">
        <f>'Cuota Industrial'!G45</f>
        <v>5152.0350000000008</v>
      </c>
      <c r="K48" s="68">
        <f>'Cuota Industrial'!H45</f>
        <v>0</v>
      </c>
      <c r="L48" s="68">
        <f>'Cuota Industrial'!I45</f>
        <v>5152.0350000000008</v>
      </c>
      <c r="M48" s="63">
        <f>'Cuota Industrial'!J45</f>
        <v>0</v>
      </c>
      <c r="N48" s="75" t="s">
        <v>156</v>
      </c>
      <c r="O48" s="82">
        <f>Resumen!$B$3</f>
        <v>43508</v>
      </c>
    </row>
    <row r="49" spans="1:15">
      <c r="A49" s="85" t="s">
        <v>126</v>
      </c>
      <c r="B49" s="67" t="s">
        <v>115</v>
      </c>
      <c r="C49" s="67" t="s">
        <v>127</v>
      </c>
      <c r="D49" s="67" t="s">
        <v>116</v>
      </c>
      <c r="E49" s="67" t="s">
        <v>162</v>
      </c>
      <c r="F49" s="67" t="s">
        <v>117</v>
      </c>
      <c r="G49" s="67" t="s">
        <v>120</v>
      </c>
      <c r="H49" s="68">
        <f>'Cuota Industrial'!K44</f>
        <v>5152.0350000000008</v>
      </c>
      <c r="I49" s="68">
        <f>'Cuota Industrial'!L44</f>
        <v>0</v>
      </c>
      <c r="J49" s="68">
        <f>'Cuota Industrial'!M44</f>
        <v>5152.0350000000008</v>
      </c>
      <c r="K49" s="68">
        <f>'Cuota Industrial'!N44</f>
        <v>0</v>
      </c>
      <c r="L49" s="68">
        <f>'Cuota Industrial'!O44</f>
        <v>5152.0350000000008</v>
      </c>
      <c r="M49" s="63">
        <f>'Cuota Industrial'!P44</f>
        <v>0</v>
      </c>
      <c r="N49" s="75" t="s">
        <v>156</v>
      </c>
      <c r="O49" s="82">
        <f>Resumen!$B$3</f>
        <v>43508</v>
      </c>
    </row>
    <row r="50" spans="1:15">
      <c r="A50" s="66" t="s">
        <v>126</v>
      </c>
      <c r="B50" s="67" t="s">
        <v>115</v>
      </c>
      <c r="C50" s="67" t="s">
        <v>127</v>
      </c>
      <c r="D50" s="67" t="s">
        <v>116</v>
      </c>
      <c r="E50" s="67" t="s">
        <v>170</v>
      </c>
      <c r="F50" s="67" t="s">
        <v>117</v>
      </c>
      <c r="G50" s="65" t="s">
        <v>118</v>
      </c>
      <c r="H50" s="68">
        <f>'Cuota Industrial'!E46</f>
        <v>633.95899999999995</v>
      </c>
      <c r="I50" s="68">
        <f>'Cuota Industrial'!F46</f>
        <v>0</v>
      </c>
      <c r="J50" s="68">
        <f>'Cuota Industrial'!G46</f>
        <v>633.95899999999995</v>
      </c>
      <c r="K50" s="68">
        <f>'Cuota Industrial'!H46</f>
        <v>0</v>
      </c>
      <c r="L50" s="68">
        <f>'Cuota Industrial'!I46</f>
        <v>633.95899999999995</v>
      </c>
      <c r="M50" s="63">
        <f>'Cuota Industrial'!J46</f>
        <v>0</v>
      </c>
      <c r="N50" s="75" t="s">
        <v>156</v>
      </c>
      <c r="O50" s="82">
        <f>Resumen!$B$3</f>
        <v>43508</v>
      </c>
    </row>
    <row r="51" spans="1:15">
      <c r="A51" s="66" t="s">
        <v>126</v>
      </c>
      <c r="B51" s="67" t="s">
        <v>115</v>
      </c>
      <c r="C51" s="67" t="s">
        <v>127</v>
      </c>
      <c r="D51" s="67" t="s">
        <v>116</v>
      </c>
      <c r="E51" s="67" t="s">
        <v>170</v>
      </c>
      <c r="F51" s="67" t="s">
        <v>119</v>
      </c>
      <c r="G51" s="67" t="s">
        <v>120</v>
      </c>
      <c r="H51" s="68">
        <f>'Cuota Industrial'!E47</f>
        <v>33.381999999999998</v>
      </c>
      <c r="I51" s="68">
        <f>'Cuota Industrial'!F47</f>
        <v>0</v>
      </c>
      <c r="J51" s="68">
        <f>'Cuota Industrial'!G47</f>
        <v>667.34099999999989</v>
      </c>
      <c r="K51" s="68">
        <f>'Cuota Industrial'!H47</f>
        <v>0</v>
      </c>
      <c r="L51" s="68">
        <f>'Cuota Industrial'!I47</f>
        <v>667.34099999999989</v>
      </c>
      <c r="M51" s="63">
        <f>'Cuota Industrial'!J47</f>
        <v>0</v>
      </c>
      <c r="N51" s="75" t="s">
        <v>156</v>
      </c>
      <c r="O51" s="82">
        <f>Resumen!$B$3</f>
        <v>43508</v>
      </c>
    </row>
    <row r="52" spans="1:15">
      <c r="A52" s="66" t="s">
        <v>126</v>
      </c>
      <c r="B52" s="67" t="s">
        <v>115</v>
      </c>
      <c r="C52" s="67" t="s">
        <v>127</v>
      </c>
      <c r="D52" s="67" t="s">
        <v>116</v>
      </c>
      <c r="E52" s="67" t="s">
        <v>170</v>
      </c>
      <c r="F52" s="67" t="s">
        <v>117</v>
      </c>
      <c r="G52" s="67" t="s">
        <v>120</v>
      </c>
      <c r="H52" s="68">
        <f>'Cuota Industrial'!K46</f>
        <v>667.34099999999989</v>
      </c>
      <c r="I52" s="68">
        <f>'Cuota Industrial'!L46</f>
        <v>0</v>
      </c>
      <c r="J52" s="68">
        <f>'Cuota Industrial'!M46</f>
        <v>667.34099999999989</v>
      </c>
      <c r="K52" s="68">
        <f>'Cuota Industrial'!N46</f>
        <v>0</v>
      </c>
      <c r="L52" s="68">
        <f>'Cuota Industrial'!O46</f>
        <v>667.34099999999989</v>
      </c>
      <c r="M52" s="63">
        <f>'Cuota Industrial'!P46</f>
        <v>0</v>
      </c>
      <c r="N52" s="75" t="s">
        <v>156</v>
      </c>
      <c r="O52" s="82">
        <f>Resumen!$B$3</f>
        <v>43508</v>
      </c>
    </row>
    <row r="53" spans="1:15">
      <c r="A53" s="66" t="s">
        <v>126</v>
      </c>
      <c r="B53" s="67" t="s">
        <v>115</v>
      </c>
      <c r="C53" s="67" t="s">
        <v>127</v>
      </c>
      <c r="D53" s="67" t="s">
        <v>116</v>
      </c>
      <c r="E53" s="67" t="s">
        <v>129</v>
      </c>
      <c r="F53" s="67" t="s">
        <v>117</v>
      </c>
      <c r="G53" s="65" t="s">
        <v>118</v>
      </c>
      <c r="H53" s="68">
        <f>'Cuota Industrial'!E48</f>
        <v>64.037999999999997</v>
      </c>
      <c r="I53" s="68">
        <f>'Cuota Industrial'!F48</f>
        <v>0</v>
      </c>
      <c r="J53" s="68">
        <f>'Cuota Industrial'!G48</f>
        <v>64.037999999999997</v>
      </c>
      <c r="K53" s="68">
        <f>'Cuota Industrial'!H48</f>
        <v>0</v>
      </c>
      <c r="L53" s="68">
        <f>'Cuota Industrial'!I48</f>
        <v>64.037999999999997</v>
      </c>
      <c r="M53" s="63">
        <f>'Cuota Industrial'!J48</f>
        <v>0</v>
      </c>
      <c r="N53" s="75" t="s">
        <v>156</v>
      </c>
      <c r="O53" s="82">
        <f>Resumen!$B$3</f>
        <v>43508</v>
      </c>
    </row>
    <row r="54" spans="1:15">
      <c r="A54" s="66" t="s">
        <v>126</v>
      </c>
      <c r="B54" s="67" t="s">
        <v>115</v>
      </c>
      <c r="C54" s="67" t="s">
        <v>127</v>
      </c>
      <c r="D54" s="67" t="s">
        <v>116</v>
      </c>
      <c r="E54" s="67" t="s">
        <v>129</v>
      </c>
      <c r="F54" s="67" t="s">
        <v>119</v>
      </c>
      <c r="G54" s="67" t="s">
        <v>120</v>
      </c>
      <c r="H54" s="68">
        <f>'Cuota Industrial'!E49</f>
        <v>3.3719999999999999</v>
      </c>
      <c r="I54" s="68">
        <f>'Cuota Industrial'!F49</f>
        <v>0</v>
      </c>
      <c r="J54" s="68">
        <f>'Cuota Industrial'!G49</f>
        <v>67.41</v>
      </c>
      <c r="K54" s="68">
        <f>'Cuota Industrial'!H49</f>
        <v>0</v>
      </c>
      <c r="L54" s="68">
        <f>'Cuota Industrial'!I49</f>
        <v>67.41</v>
      </c>
      <c r="M54" s="63">
        <f>'Cuota Industrial'!J49</f>
        <v>0</v>
      </c>
      <c r="N54" s="75" t="s">
        <v>156</v>
      </c>
      <c r="O54" s="82">
        <f>Resumen!$B$3</f>
        <v>43508</v>
      </c>
    </row>
    <row r="55" spans="1:15">
      <c r="A55" s="66" t="s">
        <v>126</v>
      </c>
      <c r="B55" s="67" t="s">
        <v>115</v>
      </c>
      <c r="C55" s="67" t="s">
        <v>127</v>
      </c>
      <c r="D55" s="67" t="s">
        <v>116</v>
      </c>
      <c r="E55" s="67" t="s">
        <v>129</v>
      </c>
      <c r="F55" s="67" t="s">
        <v>117</v>
      </c>
      <c r="G55" s="67" t="s">
        <v>120</v>
      </c>
      <c r="H55" s="68">
        <f>'Cuota Industrial'!K48</f>
        <v>67.41</v>
      </c>
      <c r="I55" s="68">
        <f>'Cuota Industrial'!L48</f>
        <v>0</v>
      </c>
      <c r="J55" s="68">
        <f>'Cuota Industrial'!M48</f>
        <v>67.41</v>
      </c>
      <c r="K55" s="68">
        <f>'Cuota Industrial'!N48</f>
        <v>0</v>
      </c>
      <c r="L55" s="68">
        <f>'Cuota Industrial'!O48</f>
        <v>67.41</v>
      </c>
      <c r="M55" s="63">
        <f>'Cuota Industrial'!P48</f>
        <v>0</v>
      </c>
      <c r="N55" s="75" t="s">
        <v>156</v>
      </c>
      <c r="O55" s="82">
        <f>Resumen!$B$3</f>
        <v>43508</v>
      </c>
    </row>
    <row r="56" spans="1:15">
      <c r="A56" s="66" t="s">
        <v>130</v>
      </c>
      <c r="B56" s="67" t="s">
        <v>115</v>
      </c>
      <c r="C56" s="67" t="s">
        <v>80</v>
      </c>
      <c r="D56" s="67" t="s">
        <v>116</v>
      </c>
      <c r="E56" s="67" t="s">
        <v>164</v>
      </c>
      <c r="F56" s="67" t="s">
        <v>117</v>
      </c>
      <c r="G56" s="65" t="s">
        <v>118</v>
      </c>
      <c r="H56" s="68">
        <f>'Cuota Industrial'!E50</f>
        <v>28338.624</v>
      </c>
      <c r="I56" s="68">
        <f>'Cuota Industrial'!F50</f>
        <v>0</v>
      </c>
      <c r="J56" s="68">
        <f>'Cuota Industrial'!G50</f>
        <v>28338.624</v>
      </c>
      <c r="K56" s="68">
        <f>'Cuota Industrial'!H50</f>
        <v>11151.306</v>
      </c>
      <c r="L56" s="68">
        <f>'Cuota Industrial'!I50</f>
        <v>17187.317999999999</v>
      </c>
      <c r="M56" s="63">
        <f>'Cuota Industrial'!J50</f>
        <v>0.39350202748023339</v>
      </c>
      <c r="N56" s="75" t="s">
        <v>156</v>
      </c>
      <c r="O56" s="82">
        <f>Resumen!$B$3</f>
        <v>43508</v>
      </c>
    </row>
    <row r="57" spans="1:15">
      <c r="A57" s="66" t="s">
        <v>130</v>
      </c>
      <c r="B57" s="67" t="s">
        <v>115</v>
      </c>
      <c r="C57" s="67" t="s">
        <v>80</v>
      </c>
      <c r="D57" s="67" t="s">
        <v>116</v>
      </c>
      <c r="E57" s="67" t="s">
        <v>164</v>
      </c>
      <c r="F57" s="67" t="s">
        <v>119</v>
      </c>
      <c r="G57" s="67" t="s">
        <v>120</v>
      </c>
      <c r="H57" s="68">
        <f>'Cuota Industrial'!E51</f>
        <v>578.33899999999994</v>
      </c>
      <c r="I57" s="68">
        <f>'Cuota Industrial'!F51</f>
        <v>0</v>
      </c>
      <c r="J57" s="68">
        <f>'Cuota Industrial'!G51</f>
        <v>17765.656999999999</v>
      </c>
      <c r="K57" s="68">
        <f>'Cuota Industrial'!H51</f>
        <v>0</v>
      </c>
      <c r="L57" s="68">
        <f>'Cuota Industrial'!I51</f>
        <v>17765.656999999999</v>
      </c>
      <c r="M57" s="63">
        <f>'Cuota Industrial'!J51</f>
        <v>0</v>
      </c>
      <c r="N57" s="75" t="s">
        <v>156</v>
      </c>
      <c r="O57" s="82">
        <f>Resumen!$B$3</f>
        <v>43508</v>
      </c>
    </row>
    <row r="58" spans="1:15">
      <c r="A58" s="66" t="s">
        <v>130</v>
      </c>
      <c r="B58" s="67" t="s">
        <v>115</v>
      </c>
      <c r="C58" s="67" t="s">
        <v>80</v>
      </c>
      <c r="D58" s="67" t="s">
        <v>116</v>
      </c>
      <c r="E58" s="67" t="s">
        <v>164</v>
      </c>
      <c r="F58" s="67" t="s">
        <v>117</v>
      </c>
      <c r="G58" s="67" t="s">
        <v>120</v>
      </c>
      <c r="H58" s="68">
        <f>'Cuota Industrial'!K50</f>
        <v>28916.963</v>
      </c>
      <c r="I58" s="68">
        <f>'Cuota Industrial'!L50</f>
        <v>0</v>
      </c>
      <c r="J58" s="68">
        <f>'Cuota Industrial'!M50</f>
        <v>28916.963</v>
      </c>
      <c r="K58" s="68">
        <f>'Cuota Industrial'!M50</f>
        <v>28916.963</v>
      </c>
      <c r="L58" s="68">
        <f>'Cuota Industrial'!O50</f>
        <v>17765.656999999999</v>
      </c>
      <c r="M58" s="63">
        <f>'Cuota Industrial'!P50</f>
        <v>0.38563199046870866</v>
      </c>
      <c r="N58" s="75" t="s">
        <v>156</v>
      </c>
      <c r="O58" s="82">
        <f>Resumen!$B$3</f>
        <v>43508</v>
      </c>
    </row>
    <row r="59" spans="1:15">
      <c r="A59" s="66" t="s">
        <v>130</v>
      </c>
      <c r="B59" s="67" t="s">
        <v>115</v>
      </c>
      <c r="C59" s="67" t="s">
        <v>80</v>
      </c>
      <c r="D59" s="67" t="s">
        <v>116</v>
      </c>
      <c r="E59" s="67" t="s">
        <v>166</v>
      </c>
      <c r="F59" s="67" t="s">
        <v>117</v>
      </c>
      <c r="G59" s="65" t="s">
        <v>118</v>
      </c>
      <c r="H59" s="68">
        <f>'Cuota Industrial'!E52</f>
        <v>48863.327000000005</v>
      </c>
      <c r="I59" s="68">
        <f>'Cuota Industrial'!F52</f>
        <v>0</v>
      </c>
      <c r="J59" s="68">
        <f>'Cuota Industrial'!G52</f>
        <v>48863.327000000005</v>
      </c>
      <c r="K59" s="68">
        <f>'Cuota Industrial'!H52</f>
        <v>9996.768</v>
      </c>
      <c r="L59" s="68">
        <f>'Cuota Industrial'!I52</f>
        <v>38866.559000000008</v>
      </c>
      <c r="M59" s="63">
        <f>'Cuota Industrial'!J52</f>
        <v>0.20458631480414746</v>
      </c>
      <c r="N59" s="75" t="s">
        <v>156</v>
      </c>
      <c r="O59" s="82">
        <f>Resumen!$B$3</f>
        <v>43508</v>
      </c>
    </row>
    <row r="60" spans="1:15">
      <c r="A60" s="66" t="s">
        <v>130</v>
      </c>
      <c r="B60" s="67" t="s">
        <v>115</v>
      </c>
      <c r="C60" s="67" t="s">
        <v>80</v>
      </c>
      <c r="D60" s="67" t="s">
        <v>116</v>
      </c>
      <c r="E60" s="67" t="s">
        <v>166</v>
      </c>
      <c r="F60" s="67" t="s">
        <v>119</v>
      </c>
      <c r="G60" s="67" t="s">
        <v>120</v>
      </c>
      <c r="H60" s="68">
        <f>'Cuota Industrial'!E53</f>
        <v>997.21100000000001</v>
      </c>
      <c r="I60" s="68">
        <f>'Cuota Industrial'!F53</f>
        <v>0</v>
      </c>
      <c r="J60" s="68">
        <f>'Cuota Industrial'!G53</f>
        <v>39863.770000000011</v>
      </c>
      <c r="K60" s="68">
        <f>'Cuota Industrial'!H53</f>
        <v>0</v>
      </c>
      <c r="L60" s="68">
        <f>'Cuota Industrial'!I53</f>
        <v>39863.770000000011</v>
      </c>
      <c r="M60" s="63">
        <f>'Cuota Industrial'!J53</f>
        <v>0</v>
      </c>
      <c r="N60" s="75" t="s">
        <v>156</v>
      </c>
      <c r="O60" s="82">
        <f>Resumen!$B$3</f>
        <v>43508</v>
      </c>
    </row>
    <row r="61" spans="1:15">
      <c r="A61" s="66" t="s">
        <v>130</v>
      </c>
      <c r="B61" s="67" t="s">
        <v>115</v>
      </c>
      <c r="C61" s="67" t="s">
        <v>80</v>
      </c>
      <c r="D61" s="67" t="s">
        <v>116</v>
      </c>
      <c r="E61" s="67" t="s">
        <v>166</v>
      </c>
      <c r="F61" s="67" t="s">
        <v>117</v>
      </c>
      <c r="G61" s="67" t="s">
        <v>120</v>
      </c>
      <c r="H61" s="68">
        <f>'Cuota Industrial'!K52</f>
        <v>49860.538000000008</v>
      </c>
      <c r="I61" s="68">
        <f>'Cuota Industrial'!L52</f>
        <v>0</v>
      </c>
      <c r="J61" s="68">
        <f>'Cuota Industrial'!M52</f>
        <v>49860.538000000008</v>
      </c>
      <c r="K61" s="68">
        <f>'Cuota Industrial'!N52</f>
        <v>9996.768</v>
      </c>
      <c r="L61" s="68">
        <f>'Cuota Industrial'!O52</f>
        <v>39863.770000000004</v>
      </c>
      <c r="M61" s="63">
        <f>'Cuota Industrial'!P52</f>
        <v>0.20049458752330346</v>
      </c>
      <c r="N61" s="75" t="s">
        <v>156</v>
      </c>
      <c r="O61" s="82">
        <f>Resumen!$B$3</f>
        <v>43508</v>
      </c>
    </row>
    <row r="62" spans="1:15">
      <c r="A62" s="66" t="s">
        <v>130</v>
      </c>
      <c r="B62" s="67" t="s">
        <v>115</v>
      </c>
      <c r="C62" s="67" t="s">
        <v>80</v>
      </c>
      <c r="D62" s="67" t="s">
        <v>116</v>
      </c>
      <c r="E62" s="67" t="s">
        <v>131</v>
      </c>
      <c r="F62" s="67" t="s">
        <v>117</v>
      </c>
      <c r="G62" s="65" t="s">
        <v>118</v>
      </c>
      <c r="H62" s="68">
        <f>'Cuota Industrial'!E54</f>
        <v>40275.681000000004</v>
      </c>
      <c r="I62" s="68">
        <f>'Cuota Industrial'!F54</f>
        <v>2475.4740000000002</v>
      </c>
      <c r="J62" s="68">
        <f>'Cuota Industrial'!G54</f>
        <v>42751.155000000006</v>
      </c>
      <c r="K62" s="68">
        <f>'Cuota Industrial'!H54</f>
        <v>10184.174000000001</v>
      </c>
      <c r="L62" s="68">
        <f>'Cuota Industrial'!I54</f>
        <v>32566.981000000007</v>
      </c>
      <c r="M62" s="63">
        <f>'Cuota Industrial'!J54</f>
        <v>0.23821985628224546</v>
      </c>
      <c r="N62" s="75" t="s">
        <v>156</v>
      </c>
      <c r="O62" s="82">
        <f>Resumen!$B$3</f>
        <v>43508</v>
      </c>
    </row>
    <row r="63" spans="1:15">
      <c r="A63" s="66" t="s">
        <v>130</v>
      </c>
      <c r="B63" s="67" t="s">
        <v>115</v>
      </c>
      <c r="C63" s="67" t="s">
        <v>80</v>
      </c>
      <c r="D63" s="67" t="s">
        <v>116</v>
      </c>
      <c r="E63" s="67" t="s">
        <v>131</v>
      </c>
      <c r="F63" s="67" t="s">
        <v>119</v>
      </c>
      <c r="G63" s="67" t="s">
        <v>120</v>
      </c>
      <c r="H63" s="68">
        <f>'Cuota Industrial'!E55</f>
        <v>821.95300000000009</v>
      </c>
      <c r="I63" s="68">
        <f>'Cuota Industrial'!F55</f>
        <v>0</v>
      </c>
      <c r="J63" s="68">
        <f>'Cuota Industrial'!G55</f>
        <v>33388.934000000008</v>
      </c>
      <c r="K63" s="68">
        <f>'Cuota Industrial'!H55</f>
        <v>0</v>
      </c>
      <c r="L63" s="68">
        <f>'Cuota Industrial'!I55</f>
        <v>33388.934000000008</v>
      </c>
      <c r="M63" s="63">
        <f>'Cuota Industrial'!J55</f>
        <v>0</v>
      </c>
      <c r="N63" s="75" t="s">
        <v>156</v>
      </c>
      <c r="O63" s="82">
        <f>Resumen!$B$3</f>
        <v>43508</v>
      </c>
    </row>
    <row r="64" spans="1:15">
      <c r="A64" s="66" t="s">
        <v>130</v>
      </c>
      <c r="B64" s="67" t="s">
        <v>115</v>
      </c>
      <c r="C64" s="67" t="s">
        <v>80</v>
      </c>
      <c r="D64" s="67" t="s">
        <v>116</v>
      </c>
      <c r="E64" s="67" t="s">
        <v>131</v>
      </c>
      <c r="F64" s="67" t="s">
        <v>117</v>
      </c>
      <c r="G64" s="67" t="s">
        <v>120</v>
      </c>
      <c r="H64" s="68">
        <f>'Cuota Industrial'!K54</f>
        <v>41097.634000000005</v>
      </c>
      <c r="I64" s="68">
        <f>'Cuota Industrial'!L54</f>
        <v>2475.4740000000002</v>
      </c>
      <c r="J64" s="68">
        <f>'Cuota Industrial'!M54</f>
        <v>43573.108000000007</v>
      </c>
      <c r="K64" s="68">
        <f>'Cuota Industrial'!N54</f>
        <v>10184.174000000001</v>
      </c>
      <c r="L64" s="68">
        <f>'Cuota Industrial'!O54</f>
        <v>33388.934000000008</v>
      </c>
      <c r="M64" s="63">
        <f>'Cuota Industrial'!P54</f>
        <v>0.23372613218226249</v>
      </c>
      <c r="N64" s="75" t="s">
        <v>156</v>
      </c>
      <c r="O64" s="82">
        <f>Resumen!$B$3</f>
        <v>43508</v>
      </c>
    </row>
    <row r="65" spans="1:15">
      <c r="A65" s="66" t="s">
        <v>130</v>
      </c>
      <c r="B65" s="67" t="s">
        <v>115</v>
      </c>
      <c r="C65" s="67" t="s">
        <v>80</v>
      </c>
      <c r="D65" s="67" t="s">
        <v>116</v>
      </c>
      <c r="E65" s="67" t="s">
        <v>170</v>
      </c>
      <c r="F65" s="67" t="s">
        <v>117</v>
      </c>
      <c r="G65" s="65" t="s">
        <v>118</v>
      </c>
      <c r="H65" s="68">
        <f>'Cuota Industrial'!E56</f>
        <v>558.96699999999998</v>
      </c>
      <c r="I65" s="68">
        <f>'Cuota Industrial'!F56</f>
        <v>0</v>
      </c>
      <c r="J65" s="68">
        <f>'Cuota Industrial'!G56</f>
        <v>558.96699999999998</v>
      </c>
      <c r="K65" s="68">
        <f>'Cuota Industrial'!H56</f>
        <v>0</v>
      </c>
      <c r="L65" s="68">
        <f>'Cuota Industrial'!I56</f>
        <v>558.96699999999998</v>
      </c>
      <c r="M65" s="63">
        <f>'Cuota Industrial'!J56</f>
        <v>0</v>
      </c>
      <c r="N65" s="75" t="s">
        <v>156</v>
      </c>
      <c r="O65" s="82">
        <f>Resumen!$B$3</f>
        <v>43508</v>
      </c>
    </row>
    <row r="66" spans="1:15">
      <c r="A66" s="66" t="s">
        <v>130</v>
      </c>
      <c r="B66" s="67" t="s">
        <v>115</v>
      </c>
      <c r="C66" s="67" t="s">
        <v>80</v>
      </c>
      <c r="D66" s="67" t="s">
        <v>116</v>
      </c>
      <c r="E66" s="67" t="s">
        <v>170</v>
      </c>
      <c r="F66" s="67" t="s">
        <v>119</v>
      </c>
      <c r="G66" s="67" t="s">
        <v>120</v>
      </c>
      <c r="H66" s="68">
        <f>'Cuota Industrial'!E57</f>
        <v>11.407</v>
      </c>
      <c r="I66" s="68">
        <f>'Cuota Industrial'!F57</f>
        <v>0</v>
      </c>
      <c r="J66" s="68">
        <f>'Cuota Industrial'!G57</f>
        <v>570.37400000000002</v>
      </c>
      <c r="K66" s="68">
        <f>'Cuota Industrial'!H57</f>
        <v>0</v>
      </c>
      <c r="L66" s="68">
        <f>'Cuota Industrial'!I57</f>
        <v>570.37400000000002</v>
      </c>
      <c r="M66" s="63">
        <f>'Cuota Industrial'!J57</f>
        <v>0</v>
      </c>
      <c r="N66" s="75" t="s">
        <v>156</v>
      </c>
      <c r="O66" s="82">
        <f>Resumen!$B$3</f>
        <v>43508</v>
      </c>
    </row>
    <row r="67" spans="1:15">
      <c r="A67" s="66" t="s">
        <v>130</v>
      </c>
      <c r="B67" s="67" t="s">
        <v>115</v>
      </c>
      <c r="C67" s="67" t="s">
        <v>80</v>
      </c>
      <c r="D67" s="67" t="s">
        <v>116</v>
      </c>
      <c r="E67" s="67" t="s">
        <v>170</v>
      </c>
      <c r="F67" s="67" t="s">
        <v>117</v>
      </c>
      <c r="G67" s="67" t="s">
        <v>120</v>
      </c>
      <c r="H67" s="68">
        <f>'Cuota Industrial'!K56</f>
        <v>570.37400000000002</v>
      </c>
      <c r="I67" s="68">
        <f>'Cuota Industrial'!L56</f>
        <v>0</v>
      </c>
      <c r="J67" s="68">
        <f>'Cuota Industrial'!M56</f>
        <v>570.37400000000002</v>
      </c>
      <c r="K67" s="68">
        <f>'Cuota Industrial'!N56</f>
        <v>0</v>
      </c>
      <c r="L67" s="68">
        <f>'Cuota Industrial'!O56</f>
        <v>570.37400000000002</v>
      </c>
      <c r="M67" s="63">
        <f>'Cuota Industrial'!P56</f>
        <v>0</v>
      </c>
      <c r="N67" s="75" t="s">
        <v>156</v>
      </c>
      <c r="O67" s="82">
        <f>Resumen!$B$3</f>
        <v>43508</v>
      </c>
    </row>
    <row r="68" spans="1:15">
      <c r="A68" s="66" t="s">
        <v>130</v>
      </c>
      <c r="B68" s="67" t="s">
        <v>115</v>
      </c>
      <c r="C68" s="67" t="s">
        <v>80</v>
      </c>
      <c r="D68" s="67" t="s">
        <v>116</v>
      </c>
      <c r="E68" s="67" t="s">
        <v>160</v>
      </c>
      <c r="F68" s="67" t="s">
        <v>117</v>
      </c>
      <c r="G68" s="65" t="s">
        <v>118</v>
      </c>
      <c r="H68" s="68">
        <f>'Cuota Industrial'!E58</f>
        <v>12769.829</v>
      </c>
      <c r="I68" s="68">
        <f>'Cuota Industrial'!F58</f>
        <v>0</v>
      </c>
      <c r="J68" s="68">
        <f>'Cuota Industrial'!G58</f>
        <v>12769.829</v>
      </c>
      <c r="K68" s="68">
        <f>'Cuota Industrial'!H58</f>
        <v>4517.6710000000003</v>
      </c>
      <c r="L68" s="68">
        <f>'Cuota Industrial'!I58</f>
        <v>8252.1579999999994</v>
      </c>
      <c r="M68" s="63">
        <f>'Cuota Industrial'!J58</f>
        <v>0.35377693781177494</v>
      </c>
      <c r="N68" s="75" t="s">
        <v>156</v>
      </c>
      <c r="O68" s="82">
        <f>Resumen!$B$3</f>
        <v>43508</v>
      </c>
    </row>
    <row r="69" spans="1:15">
      <c r="A69" s="66" t="s">
        <v>130</v>
      </c>
      <c r="B69" s="67" t="s">
        <v>115</v>
      </c>
      <c r="C69" s="67" t="s">
        <v>80</v>
      </c>
      <c r="D69" s="67" t="s">
        <v>116</v>
      </c>
      <c r="E69" s="67" t="s">
        <v>160</v>
      </c>
      <c r="F69" s="67" t="s">
        <v>119</v>
      </c>
      <c r="G69" s="67" t="s">
        <v>120</v>
      </c>
      <c r="H69" s="68">
        <f>'Cuota Industrial'!E59</f>
        <v>260.60700000000003</v>
      </c>
      <c r="I69" s="68">
        <f>'Cuota Industrial'!F59</f>
        <v>0</v>
      </c>
      <c r="J69" s="68">
        <f>'Cuota Industrial'!G59</f>
        <v>8512.7649999999994</v>
      </c>
      <c r="K69" s="68">
        <f>'Cuota Industrial'!H59</f>
        <v>0</v>
      </c>
      <c r="L69" s="68">
        <f>'Cuota Industrial'!I59</f>
        <v>8512.7649999999994</v>
      </c>
      <c r="M69" s="63">
        <f>'Cuota Industrial'!J59</f>
        <v>0</v>
      </c>
      <c r="N69" s="75" t="s">
        <v>156</v>
      </c>
      <c r="O69" s="82">
        <f>Resumen!$B$3</f>
        <v>43508</v>
      </c>
    </row>
    <row r="70" spans="1:15">
      <c r="A70" s="66" t="s">
        <v>130</v>
      </c>
      <c r="B70" s="67" t="s">
        <v>115</v>
      </c>
      <c r="C70" s="67" t="s">
        <v>80</v>
      </c>
      <c r="D70" s="67" t="s">
        <v>116</v>
      </c>
      <c r="E70" s="67" t="s">
        <v>160</v>
      </c>
      <c r="F70" s="67" t="s">
        <v>117</v>
      </c>
      <c r="G70" s="67" t="s">
        <v>120</v>
      </c>
      <c r="H70" s="68">
        <f>'Cuota Industrial'!K58</f>
        <v>13030.436</v>
      </c>
      <c r="I70" s="68">
        <f>'Cuota Industrial'!L58</f>
        <v>0</v>
      </c>
      <c r="J70" s="68">
        <f>'Cuota Industrial'!M58</f>
        <v>13030.436</v>
      </c>
      <c r="K70" s="68">
        <f>'Cuota Industrial'!N58</f>
        <v>4517.6710000000003</v>
      </c>
      <c r="L70" s="68">
        <f>'Cuota Industrial'!O58</f>
        <v>8512.7649999999994</v>
      </c>
      <c r="M70" s="63">
        <f>'Cuota Industrial'!P58</f>
        <v>0</v>
      </c>
      <c r="N70" s="75" t="s">
        <v>156</v>
      </c>
      <c r="O70" s="82">
        <f>Resumen!$B$3</f>
        <v>43508</v>
      </c>
    </row>
    <row r="71" spans="1:15">
      <c r="A71" s="66" t="s">
        <v>130</v>
      </c>
      <c r="B71" s="67" t="s">
        <v>115</v>
      </c>
      <c r="C71" s="67" t="s">
        <v>80</v>
      </c>
      <c r="D71" s="67" t="s">
        <v>116</v>
      </c>
      <c r="E71" s="67" t="s">
        <v>128</v>
      </c>
      <c r="F71" s="67" t="s">
        <v>117</v>
      </c>
      <c r="G71" s="65" t="s">
        <v>118</v>
      </c>
      <c r="H71" s="68">
        <f>'Cuota Industrial'!E60</f>
        <v>24225.337</v>
      </c>
      <c r="I71" s="68">
        <f>'Cuota Industrial'!F60</f>
        <v>0</v>
      </c>
      <c r="J71" s="68">
        <f>'Cuota Industrial'!G60</f>
        <v>24225.337</v>
      </c>
      <c r="K71" s="68">
        <f>'Cuota Industrial'!H60</f>
        <v>6549.1909999999998</v>
      </c>
      <c r="L71" s="68">
        <f>'Cuota Industrial'!I60</f>
        <v>17676.146000000001</v>
      </c>
      <c r="M71" s="63">
        <f>'Cuota Industrial'!J60</f>
        <v>0.27034468086037355</v>
      </c>
      <c r="N71" s="75" t="s">
        <v>156</v>
      </c>
      <c r="O71" s="82">
        <f>Resumen!$B$3</f>
        <v>43508</v>
      </c>
    </row>
    <row r="72" spans="1:15">
      <c r="A72" s="66" t="s">
        <v>130</v>
      </c>
      <c r="B72" s="67" t="s">
        <v>115</v>
      </c>
      <c r="C72" s="67" t="s">
        <v>80</v>
      </c>
      <c r="D72" s="67" t="s">
        <v>116</v>
      </c>
      <c r="E72" s="67" t="s">
        <v>128</v>
      </c>
      <c r="F72" s="67" t="s">
        <v>119</v>
      </c>
      <c r="G72" s="67" t="s">
        <v>120</v>
      </c>
      <c r="H72" s="68">
        <f>'Cuota Industrial'!E61</f>
        <v>494.39499999999998</v>
      </c>
      <c r="I72" s="68">
        <f>'Cuota Industrial'!F61</f>
        <v>0</v>
      </c>
      <c r="J72" s="68">
        <f>'Cuota Industrial'!G61</f>
        <v>18170.541000000001</v>
      </c>
      <c r="K72" s="68">
        <f>'Cuota Industrial'!H61</f>
        <v>0</v>
      </c>
      <c r="L72" s="68">
        <f>'Cuota Industrial'!I61</f>
        <v>18170.541000000001</v>
      </c>
      <c r="M72" s="63">
        <f>'Cuota Industrial'!J61</f>
        <v>0</v>
      </c>
      <c r="N72" s="75" t="s">
        <v>156</v>
      </c>
      <c r="O72" s="82">
        <f>Resumen!$B$3</f>
        <v>43508</v>
      </c>
    </row>
    <row r="73" spans="1:15">
      <c r="A73" s="66" t="s">
        <v>130</v>
      </c>
      <c r="B73" s="67" t="s">
        <v>115</v>
      </c>
      <c r="C73" s="67" t="s">
        <v>80</v>
      </c>
      <c r="D73" s="67" t="s">
        <v>116</v>
      </c>
      <c r="E73" s="67" t="s">
        <v>128</v>
      </c>
      <c r="F73" s="67" t="s">
        <v>117</v>
      </c>
      <c r="G73" s="67" t="s">
        <v>120</v>
      </c>
      <c r="H73" s="68">
        <f>'Cuota Industrial'!K60</f>
        <v>24719.732</v>
      </c>
      <c r="I73" s="68">
        <f>'Cuota Industrial'!L60</f>
        <v>0</v>
      </c>
      <c r="J73" s="68">
        <f>'Cuota Industrial'!M60</f>
        <v>24719.732</v>
      </c>
      <c r="K73" s="68">
        <f>'Cuota Industrial'!N60</f>
        <v>6549.1909999999998</v>
      </c>
      <c r="L73" s="68">
        <f>'Cuota Industrial'!O60</f>
        <v>18170.541000000001</v>
      </c>
      <c r="M73" s="63">
        <f>'Cuota Industrial'!P60</f>
        <v>0.26493778330606493</v>
      </c>
      <c r="N73" s="75" t="s">
        <v>156</v>
      </c>
      <c r="O73" s="82">
        <f>Resumen!$B$3</f>
        <v>43508</v>
      </c>
    </row>
    <row r="74" spans="1:15">
      <c r="A74" s="66" t="s">
        <v>130</v>
      </c>
      <c r="B74" s="67" t="s">
        <v>115</v>
      </c>
      <c r="C74" s="67" t="s">
        <v>80</v>
      </c>
      <c r="D74" s="67" t="s">
        <v>116</v>
      </c>
      <c r="E74" s="67" t="s">
        <v>167</v>
      </c>
      <c r="F74" s="67" t="s">
        <v>117</v>
      </c>
      <c r="G74" s="65" t="s">
        <v>118</v>
      </c>
      <c r="H74" s="68">
        <f>'Cuota Industrial'!E62</f>
        <v>2.008</v>
      </c>
      <c r="I74" s="68">
        <f>'Cuota Industrial'!F62</f>
        <v>0</v>
      </c>
      <c r="J74" s="68">
        <f>'Cuota Industrial'!G62</f>
        <v>2.008</v>
      </c>
      <c r="K74" s="68">
        <f>'Cuota Industrial'!H62</f>
        <v>0</v>
      </c>
      <c r="L74" s="68">
        <f>'Cuota Industrial'!I62</f>
        <v>2.008</v>
      </c>
      <c r="M74" s="63">
        <f>'Cuota Industrial'!J62</f>
        <v>0</v>
      </c>
      <c r="N74" s="75" t="s">
        <v>156</v>
      </c>
      <c r="O74" s="82">
        <f>Resumen!$B$3</f>
        <v>43508</v>
      </c>
    </row>
    <row r="75" spans="1:15">
      <c r="A75" s="66" t="s">
        <v>130</v>
      </c>
      <c r="B75" s="67" t="s">
        <v>115</v>
      </c>
      <c r="C75" s="67" t="s">
        <v>80</v>
      </c>
      <c r="D75" s="67" t="s">
        <v>116</v>
      </c>
      <c r="E75" s="67" t="s">
        <v>167</v>
      </c>
      <c r="F75" s="67" t="s">
        <v>119</v>
      </c>
      <c r="G75" s="67" t="s">
        <v>120</v>
      </c>
      <c r="H75" s="68">
        <f>'Cuota Industrial'!E63</f>
        <v>4.1000000000000002E-2</v>
      </c>
      <c r="I75" s="68">
        <f>'Cuota Industrial'!F63</f>
        <v>0</v>
      </c>
      <c r="J75" s="68">
        <f>'Cuota Industrial'!G63</f>
        <v>2.0489999999999999</v>
      </c>
      <c r="K75" s="68">
        <f>'Cuota Industrial'!H63</f>
        <v>0</v>
      </c>
      <c r="L75" s="68">
        <f>'Cuota Industrial'!I63</f>
        <v>2.0489999999999999</v>
      </c>
      <c r="M75" s="63">
        <f>'Cuota Industrial'!J63</f>
        <v>0</v>
      </c>
      <c r="N75" s="75" t="s">
        <v>156</v>
      </c>
      <c r="O75" s="82">
        <f>Resumen!$B$3</f>
        <v>43508</v>
      </c>
    </row>
    <row r="76" spans="1:15">
      <c r="A76" s="66" t="s">
        <v>130</v>
      </c>
      <c r="B76" s="67" t="s">
        <v>115</v>
      </c>
      <c r="C76" s="67" t="s">
        <v>80</v>
      </c>
      <c r="D76" s="67" t="s">
        <v>116</v>
      </c>
      <c r="E76" s="67" t="s">
        <v>167</v>
      </c>
      <c r="F76" s="67" t="s">
        <v>117</v>
      </c>
      <c r="G76" s="67" t="s">
        <v>120</v>
      </c>
      <c r="H76" s="68">
        <f>'Cuota Industrial'!K62</f>
        <v>2.0489999999999999</v>
      </c>
      <c r="I76" s="68">
        <f>'Cuota Industrial'!L62</f>
        <v>0</v>
      </c>
      <c r="J76" s="68">
        <f>'Cuota Industrial'!M62</f>
        <v>2.0489999999999999</v>
      </c>
      <c r="K76" s="68">
        <f>'Cuota Industrial'!N62</f>
        <v>0</v>
      </c>
      <c r="L76" s="68">
        <f>'Cuota Industrial'!O62</f>
        <v>2.0489999999999999</v>
      </c>
      <c r="M76" s="63">
        <f>'Cuota Industrial'!P62</f>
        <v>0</v>
      </c>
      <c r="N76" s="75" t="s">
        <v>156</v>
      </c>
      <c r="O76" s="82">
        <f>Resumen!$B$3</f>
        <v>43508</v>
      </c>
    </row>
    <row r="77" spans="1:15">
      <c r="A77" s="66" t="s">
        <v>130</v>
      </c>
      <c r="B77" s="67" t="s">
        <v>115</v>
      </c>
      <c r="C77" s="67" t="s">
        <v>80</v>
      </c>
      <c r="D77" s="67" t="s">
        <v>116</v>
      </c>
      <c r="E77" s="67" t="s">
        <v>171</v>
      </c>
      <c r="F77" s="67" t="s">
        <v>117</v>
      </c>
      <c r="G77" s="65" t="s">
        <v>118</v>
      </c>
      <c r="H77" s="68">
        <f>'Cuota Industrial'!E64</f>
        <v>17535.633000000002</v>
      </c>
      <c r="I77" s="68">
        <f>'Cuota Industrial'!F64</f>
        <v>0</v>
      </c>
      <c r="J77" s="68">
        <f>'Cuota Industrial'!G64</f>
        <v>17535.633000000002</v>
      </c>
      <c r="K77" s="68">
        <f>'Cuota Industrial'!H64</f>
        <v>4131.9040000000005</v>
      </c>
      <c r="L77" s="68">
        <f>'Cuota Industrial'!I64</f>
        <v>13403.729000000001</v>
      </c>
      <c r="M77" s="63">
        <f>'Cuota Industrial'!J64</f>
        <v>0.23562901892392479</v>
      </c>
      <c r="N77" s="75" t="s">
        <v>156</v>
      </c>
      <c r="O77" s="82">
        <f>Resumen!$B$3</f>
        <v>43508</v>
      </c>
    </row>
    <row r="78" spans="1:15">
      <c r="A78" s="66" t="s">
        <v>130</v>
      </c>
      <c r="B78" s="67" t="s">
        <v>115</v>
      </c>
      <c r="C78" s="67" t="s">
        <v>80</v>
      </c>
      <c r="D78" s="67" t="s">
        <v>116</v>
      </c>
      <c r="E78" s="67" t="s">
        <v>171</v>
      </c>
      <c r="F78" s="67" t="s">
        <v>119</v>
      </c>
      <c r="G78" s="67" t="s">
        <v>120</v>
      </c>
      <c r="H78" s="68">
        <f>'Cuota Industrial'!E65</f>
        <v>357.87</v>
      </c>
      <c r="I78" s="68">
        <f>'Cuota Industrial'!F65</f>
        <v>0</v>
      </c>
      <c r="J78" s="68">
        <f>'Cuota Industrial'!G65</f>
        <v>13761.599000000002</v>
      </c>
      <c r="K78" s="68">
        <f>'Cuota Industrial'!H65</f>
        <v>0</v>
      </c>
      <c r="L78" s="68">
        <f>'Cuota Industrial'!I65</f>
        <v>13761.599000000002</v>
      </c>
      <c r="M78" s="63">
        <f>'Cuota Industrial'!J65</f>
        <v>0</v>
      </c>
      <c r="N78" s="75" t="s">
        <v>156</v>
      </c>
      <c r="O78" s="82">
        <f>Resumen!$B$3</f>
        <v>43508</v>
      </c>
    </row>
    <row r="79" spans="1:15">
      <c r="A79" s="66" t="s">
        <v>130</v>
      </c>
      <c r="B79" s="67" t="s">
        <v>115</v>
      </c>
      <c r="C79" s="67" t="s">
        <v>80</v>
      </c>
      <c r="D79" s="67" t="s">
        <v>116</v>
      </c>
      <c r="E79" s="67" t="s">
        <v>171</v>
      </c>
      <c r="F79" s="67" t="s">
        <v>117</v>
      </c>
      <c r="G79" s="67" t="s">
        <v>120</v>
      </c>
      <c r="H79" s="68">
        <f>'Cuota Industrial'!K64</f>
        <v>17893.503000000001</v>
      </c>
      <c r="I79" s="68">
        <f>'Cuota Industrial'!L64</f>
        <v>0</v>
      </c>
      <c r="J79" s="68">
        <f>'Cuota Industrial'!M64</f>
        <v>17893.503000000001</v>
      </c>
      <c r="K79" s="68">
        <f>'Cuota Industrial'!N64</f>
        <v>4131.9040000000005</v>
      </c>
      <c r="L79" s="68">
        <f>'Cuota Industrial'!O64</f>
        <v>13761.599</v>
      </c>
      <c r="M79" s="63">
        <f>'Cuota Industrial'!P64</f>
        <v>0.23091643933555103</v>
      </c>
      <c r="N79" s="75" t="s">
        <v>156</v>
      </c>
      <c r="O79" s="82">
        <f>Resumen!$B$3</f>
        <v>43508</v>
      </c>
    </row>
    <row r="80" spans="1:15">
      <c r="A80" s="66" t="s">
        <v>130</v>
      </c>
      <c r="B80" s="67" t="s">
        <v>115</v>
      </c>
      <c r="C80" s="67" t="s">
        <v>80</v>
      </c>
      <c r="D80" s="67" t="s">
        <v>116</v>
      </c>
      <c r="E80" s="67" t="s">
        <v>163</v>
      </c>
      <c r="F80" s="67" t="s">
        <v>117</v>
      </c>
      <c r="G80" s="65" t="s">
        <v>118</v>
      </c>
      <c r="H80" s="68">
        <f>'Cuota Industrial'!E66</f>
        <v>3263.6060000000002</v>
      </c>
      <c r="I80" s="68">
        <f>'Cuota Industrial'!F66</f>
        <v>0</v>
      </c>
      <c r="J80" s="68">
        <f>'Cuota Industrial'!G66</f>
        <v>3263.6060000000002</v>
      </c>
      <c r="K80" s="68">
        <f>'Cuota Industrial'!H66</f>
        <v>2819.2130000000002</v>
      </c>
      <c r="L80" s="68">
        <f>'Cuota Industrial'!I66</f>
        <v>444.39300000000003</v>
      </c>
      <c r="M80" s="63">
        <f>'Cuota Industrial'!J66</f>
        <v>0.86383374708834337</v>
      </c>
      <c r="N80" s="75" t="s">
        <v>156</v>
      </c>
      <c r="O80" s="82">
        <f>Resumen!$B$3</f>
        <v>43508</v>
      </c>
    </row>
    <row r="81" spans="1:15">
      <c r="A81" s="66" t="s">
        <v>130</v>
      </c>
      <c r="B81" s="67" t="s">
        <v>115</v>
      </c>
      <c r="C81" s="67" t="s">
        <v>80</v>
      </c>
      <c r="D81" s="67" t="s">
        <v>116</v>
      </c>
      <c r="E81" s="67" t="s">
        <v>163</v>
      </c>
      <c r="F81" s="67" t="s">
        <v>119</v>
      </c>
      <c r="G81" s="67" t="s">
        <v>120</v>
      </c>
      <c r="H81" s="68">
        <f>'Cuota Industrial'!E67</f>
        <v>66.603999999999999</v>
      </c>
      <c r="I81" s="68">
        <f>'Cuota Industrial'!F67</f>
        <v>0</v>
      </c>
      <c r="J81" s="68">
        <f>'Cuota Industrial'!G67</f>
        <v>510.99700000000001</v>
      </c>
      <c r="K81" s="68">
        <f>'Cuota Industrial'!H67</f>
        <v>0</v>
      </c>
      <c r="L81" s="68">
        <f>'Cuota Industrial'!I67</f>
        <v>510.99700000000001</v>
      </c>
      <c r="M81" s="63">
        <f>'Cuota Industrial'!J67</f>
        <v>0</v>
      </c>
      <c r="N81" s="75" t="s">
        <v>156</v>
      </c>
      <c r="O81" s="82">
        <f>Resumen!$B$3</f>
        <v>43508</v>
      </c>
    </row>
    <row r="82" spans="1:15">
      <c r="A82" s="66" t="s">
        <v>130</v>
      </c>
      <c r="B82" s="67" t="s">
        <v>115</v>
      </c>
      <c r="C82" s="67" t="s">
        <v>80</v>
      </c>
      <c r="D82" s="67" t="s">
        <v>116</v>
      </c>
      <c r="E82" s="67" t="s">
        <v>163</v>
      </c>
      <c r="F82" s="67" t="s">
        <v>117</v>
      </c>
      <c r="G82" s="67" t="s">
        <v>120</v>
      </c>
      <c r="H82" s="68">
        <f>'Cuota Industrial'!K66</f>
        <v>3330.21</v>
      </c>
      <c r="I82" s="68">
        <f>'Cuota Industrial'!L66</f>
        <v>0</v>
      </c>
      <c r="J82" s="68">
        <f>'Cuota Industrial'!M66</f>
        <v>3330.21</v>
      </c>
      <c r="K82" s="68">
        <f>'Cuota Industrial'!N66</f>
        <v>2819.2130000000002</v>
      </c>
      <c r="L82" s="68">
        <f>'Cuota Industrial'!O66</f>
        <v>510.99699999999984</v>
      </c>
      <c r="M82" s="63">
        <f>'Cuota Industrial'!P66</f>
        <v>0.84655712402521166</v>
      </c>
      <c r="N82" s="75" t="s">
        <v>156</v>
      </c>
      <c r="O82" s="82">
        <f>Resumen!$B$3</f>
        <v>43508</v>
      </c>
    </row>
    <row r="83" spans="1:15">
      <c r="A83" s="66" t="s">
        <v>130</v>
      </c>
      <c r="B83" s="67" t="s">
        <v>115</v>
      </c>
      <c r="C83" s="67" t="s">
        <v>80</v>
      </c>
      <c r="D83" s="67" t="s">
        <v>116</v>
      </c>
      <c r="E83" s="67" t="s">
        <v>169</v>
      </c>
      <c r="F83" s="67" t="s">
        <v>117</v>
      </c>
      <c r="G83" s="65" t="s">
        <v>118</v>
      </c>
      <c r="H83" s="68">
        <f>'Cuota Industrial'!E68</f>
        <v>59686.158000000003</v>
      </c>
      <c r="I83" s="68">
        <f>'Cuota Industrial'!F68</f>
        <v>0</v>
      </c>
      <c r="J83" s="68">
        <f>'Cuota Industrial'!G68</f>
        <v>59686.158000000003</v>
      </c>
      <c r="K83" s="68">
        <f>'Cuota Industrial'!H68</f>
        <v>14502.785</v>
      </c>
      <c r="L83" s="68">
        <f>'Cuota Industrial'!I68</f>
        <v>45183.373000000007</v>
      </c>
      <c r="M83" s="63">
        <f>'Cuota Industrial'!J68</f>
        <v>0.24298406005626966</v>
      </c>
      <c r="N83" s="75" t="s">
        <v>156</v>
      </c>
      <c r="O83" s="82">
        <f>Resumen!$B$3</f>
        <v>43508</v>
      </c>
    </row>
    <row r="84" spans="1:15">
      <c r="A84" s="66" t="s">
        <v>130</v>
      </c>
      <c r="B84" s="67" t="s">
        <v>115</v>
      </c>
      <c r="C84" s="67" t="s">
        <v>80</v>
      </c>
      <c r="D84" s="67" t="s">
        <v>116</v>
      </c>
      <c r="E84" s="67" t="s">
        <v>169</v>
      </c>
      <c r="F84" s="67" t="s">
        <v>119</v>
      </c>
      <c r="G84" s="67" t="s">
        <v>120</v>
      </c>
      <c r="H84" s="68">
        <f>'Cuota Industrial'!E69</f>
        <v>1218.085</v>
      </c>
      <c r="I84" s="68">
        <f>'Cuota Industrial'!F69</f>
        <v>0</v>
      </c>
      <c r="J84" s="68">
        <f>'Cuota Industrial'!G69</f>
        <v>46401.458000000006</v>
      </c>
      <c r="K84" s="68">
        <f>'Cuota Industrial'!H69</f>
        <v>0</v>
      </c>
      <c r="L84" s="68">
        <f>'Cuota Industrial'!I69</f>
        <v>46401.458000000006</v>
      </c>
      <c r="M84" s="63">
        <f>'Cuota Industrial'!J69</f>
        <v>0</v>
      </c>
      <c r="N84" s="75" t="s">
        <v>156</v>
      </c>
      <c r="O84" s="82">
        <f>Resumen!$B$3</f>
        <v>43508</v>
      </c>
    </row>
    <row r="85" spans="1:15">
      <c r="A85" s="66" t="s">
        <v>130</v>
      </c>
      <c r="B85" s="67" t="s">
        <v>115</v>
      </c>
      <c r="C85" s="67" t="s">
        <v>80</v>
      </c>
      <c r="D85" s="67" t="s">
        <v>116</v>
      </c>
      <c r="E85" s="67" t="s">
        <v>169</v>
      </c>
      <c r="F85" s="67" t="s">
        <v>117</v>
      </c>
      <c r="G85" s="67" t="s">
        <v>120</v>
      </c>
      <c r="H85" s="68">
        <f>'Cuota Industrial'!K68</f>
        <v>60904.243000000002</v>
      </c>
      <c r="I85" s="68">
        <f>'Cuota Industrial'!L68</f>
        <v>0</v>
      </c>
      <c r="J85" s="68">
        <f>'Cuota Industrial'!M68</f>
        <v>60904.243000000002</v>
      </c>
      <c r="K85" s="68">
        <f>'Cuota Industrial'!N68</f>
        <v>14502.785</v>
      </c>
      <c r="L85" s="68">
        <f>'Cuota Industrial'!O68</f>
        <v>46401.457999999999</v>
      </c>
      <c r="M85" s="63">
        <f>'Cuota Industrial'!P68</f>
        <v>0.23812437829659913</v>
      </c>
      <c r="N85" s="75" t="s">
        <v>156</v>
      </c>
      <c r="O85" s="82">
        <f>Resumen!$B$3</f>
        <v>43508</v>
      </c>
    </row>
    <row r="86" spans="1:15">
      <c r="A86" s="66" t="s">
        <v>130</v>
      </c>
      <c r="B86" s="67" t="s">
        <v>115</v>
      </c>
      <c r="C86" s="67" t="s">
        <v>80</v>
      </c>
      <c r="D86" s="67" t="s">
        <v>116</v>
      </c>
      <c r="E86" s="67" t="s">
        <v>172</v>
      </c>
      <c r="F86" s="67" t="s">
        <v>117</v>
      </c>
      <c r="G86" s="65" t="s">
        <v>118</v>
      </c>
      <c r="H86" s="68">
        <f>'Cuota Industrial'!E70</f>
        <v>77.491</v>
      </c>
      <c r="I86" s="68">
        <f>'Cuota Industrial'!F70</f>
        <v>0</v>
      </c>
      <c r="J86" s="68">
        <f>'Cuota Industrial'!G70</f>
        <v>77.491</v>
      </c>
      <c r="K86" s="68">
        <f>'Cuota Industrial'!H70</f>
        <v>0</v>
      </c>
      <c r="L86" s="68">
        <f>'Cuota Industrial'!I70</f>
        <v>77.491</v>
      </c>
      <c r="M86" s="63">
        <f>'Cuota Industrial'!J70</f>
        <v>0</v>
      </c>
      <c r="N86" s="75" t="s">
        <v>156</v>
      </c>
      <c r="O86" s="82">
        <f>Resumen!$B$3</f>
        <v>43508</v>
      </c>
    </row>
    <row r="87" spans="1:15">
      <c r="A87" s="66" t="s">
        <v>130</v>
      </c>
      <c r="B87" s="67" t="s">
        <v>115</v>
      </c>
      <c r="C87" s="67" t="s">
        <v>80</v>
      </c>
      <c r="D87" s="67" t="s">
        <v>116</v>
      </c>
      <c r="E87" s="67" t="s">
        <v>172</v>
      </c>
      <c r="F87" s="67" t="s">
        <v>119</v>
      </c>
      <c r="G87" s="67" t="s">
        <v>120</v>
      </c>
      <c r="H87" s="68">
        <f>'Cuota Industrial'!E71</f>
        <v>1.581</v>
      </c>
      <c r="I87" s="68">
        <f>'Cuota Industrial'!F71</f>
        <v>0</v>
      </c>
      <c r="J87" s="68">
        <f>'Cuota Industrial'!G71</f>
        <v>79.072000000000003</v>
      </c>
      <c r="K87" s="68">
        <f>'Cuota Industrial'!H71</f>
        <v>0</v>
      </c>
      <c r="L87" s="68">
        <f>'Cuota Industrial'!I71</f>
        <v>79.072000000000003</v>
      </c>
      <c r="M87" s="63">
        <f>'Cuota Industrial'!J71</f>
        <v>0</v>
      </c>
      <c r="N87" s="75" t="s">
        <v>156</v>
      </c>
      <c r="O87" s="82">
        <f>Resumen!$B$3</f>
        <v>43508</v>
      </c>
    </row>
    <row r="88" spans="1:15">
      <c r="A88" s="66" t="s">
        <v>130</v>
      </c>
      <c r="B88" s="67" t="s">
        <v>115</v>
      </c>
      <c r="C88" s="67" t="s">
        <v>80</v>
      </c>
      <c r="D88" s="67" t="s">
        <v>116</v>
      </c>
      <c r="E88" s="67" t="s">
        <v>172</v>
      </c>
      <c r="F88" s="67" t="s">
        <v>117</v>
      </c>
      <c r="G88" s="67" t="s">
        <v>120</v>
      </c>
      <c r="H88" s="68">
        <f>'Cuota Industrial'!K70</f>
        <v>79.072000000000003</v>
      </c>
      <c r="I88" s="68">
        <f>'Cuota Industrial'!L70</f>
        <v>0</v>
      </c>
      <c r="J88" s="68">
        <f>'Cuota Industrial'!M70</f>
        <v>79.072000000000003</v>
      </c>
      <c r="K88" s="68">
        <f>'Cuota Industrial'!N70</f>
        <v>0</v>
      </c>
      <c r="L88" s="68">
        <f>'Cuota Industrial'!O70</f>
        <v>79.072000000000003</v>
      </c>
      <c r="M88" s="63">
        <f>'Cuota Industrial'!P70</f>
        <v>0</v>
      </c>
      <c r="N88" s="75" t="s">
        <v>156</v>
      </c>
      <c r="O88" s="82">
        <f>Resumen!$B$3</f>
        <v>43508</v>
      </c>
    </row>
    <row r="89" spans="1:15">
      <c r="A89" s="85" t="s">
        <v>130</v>
      </c>
      <c r="B89" s="67" t="s">
        <v>115</v>
      </c>
      <c r="C89" s="67" t="s">
        <v>80</v>
      </c>
      <c r="D89" s="67" t="s">
        <v>116</v>
      </c>
      <c r="E89" s="67" t="s">
        <v>162</v>
      </c>
      <c r="F89" s="67" t="s">
        <v>117</v>
      </c>
      <c r="G89" s="65" t="s">
        <v>118</v>
      </c>
      <c r="H89" s="68">
        <f>'Cuota Industrial'!E72</f>
        <v>40.151000000000003</v>
      </c>
      <c r="I89" s="68">
        <f>'Cuota Industrial'!F72</f>
        <v>0</v>
      </c>
      <c r="J89" s="68">
        <f>'Cuota Industrial'!G72</f>
        <v>40.151000000000003</v>
      </c>
      <c r="K89" s="68">
        <f>'Cuota Industrial'!H72</f>
        <v>5.3999999999999999E-2</v>
      </c>
      <c r="L89" s="68">
        <f>'Cuota Industrial'!I72</f>
        <v>40.097000000000001</v>
      </c>
      <c r="M89" s="63">
        <f>'Cuota Industrial'!J72</f>
        <v>1.3449229159921295E-3</v>
      </c>
      <c r="N89" s="75" t="s">
        <v>156</v>
      </c>
      <c r="O89" s="82">
        <f>Resumen!$B$3</f>
        <v>43508</v>
      </c>
    </row>
    <row r="90" spans="1:15">
      <c r="A90" s="85" t="s">
        <v>130</v>
      </c>
      <c r="B90" s="67" t="s">
        <v>115</v>
      </c>
      <c r="C90" s="67" t="s">
        <v>80</v>
      </c>
      <c r="D90" s="67" t="s">
        <v>116</v>
      </c>
      <c r="E90" s="67" t="s">
        <v>162</v>
      </c>
      <c r="F90" s="67" t="s">
        <v>119</v>
      </c>
      <c r="G90" s="67" t="s">
        <v>120</v>
      </c>
      <c r="H90" s="68">
        <f>'Cuota Industrial'!E73</f>
        <v>0.81899999999999995</v>
      </c>
      <c r="I90" s="68">
        <f>'Cuota Industrial'!F73</f>
        <v>0</v>
      </c>
      <c r="J90" s="68">
        <f>'Cuota Industrial'!G73</f>
        <v>40.916000000000004</v>
      </c>
      <c r="K90" s="68">
        <f>'Cuota Industrial'!H73</f>
        <v>0</v>
      </c>
      <c r="L90" s="68">
        <f>'Cuota Industrial'!I73</f>
        <v>40.916000000000004</v>
      </c>
      <c r="M90" s="63">
        <f>'Cuota Industrial'!J73</f>
        <v>0</v>
      </c>
      <c r="N90" s="75" t="s">
        <v>156</v>
      </c>
      <c r="O90" s="82">
        <f>Resumen!$B$3</f>
        <v>43508</v>
      </c>
    </row>
    <row r="91" spans="1:15">
      <c r="A91" s="85" t="s">
        <v>130</v>
      </c>
      <c r="B91" s="67" t="s">
        <v>115</v>
      </c>
      <c r="C91" s="67" t="s">
        <v>80</v>
      </c>
      <c r="D91" s="67" t="s">
        <v>116</v>
      </c>
      <c r="E91" s="67" t="s">
        <v>162</v>
      </c>
      <c r="F91" s="67" t="s">
        <v>117</v>
      </c>
      <c r="G91" s="67" t="s">
        <v>120</v>
      </c>
      <c r="H91" s="68">
        <f>'Cuota Industrial'!K72</f>
        <v>40.970000000000006</v>
      </c>
      <c r="I91" s="68">
        <f>'Cuota Industrial'!L72</f>
        <v>0</v>
      </c>
      <c r="J91" s="68">
        <f>'Cuota Industrial'!M72</f>
        <v>40.970000000000006</v>
      </c>
      <c r="K91" s="68">
        <f>'Cuota Industrial'!N72</f>
        <v>5.3999999999999999E-2</v>
      </c>
      <c r="L91" s="68">
        <f>'Cuota Industrial'!O72</f>
        <v>40.916000000000004</v>
      </c>
      <c r="M91" s="63">
        <f>'Cuota Industrial'!P72</f>
        <v>1.318037588479375E-3</v>
      </c>
      <c r="N91" s="75" t="s">
        <v>156</v>
      </c>
      <c r="O91" s="82">
        <f>Resumen!$B$3</f>
        <v>43508</v>
      </c>
    </row>
    <row r="92" spans="1:15">
      <c r="A92" s="66" t="s">
        <v>130</v>
      </c>
      <c r="B92" s="67" t="s">
        <v>115</v>
      </c>
      <c r="C92" s="67" t="s">
        <v>80</v>
      </c>
      <c r="D92" s="67" t="s">
        <v>116</v>
      </c>
      <c r="E92" s="67" t="s">
        <v>27</v>
      </c>
      <c r="F92" s="67" t="s">
        <v>117</v>
      </c>
      <c r="G92" s="65" t="s">
        <v>118</v>
      </c>
      <c r="H92" s="68">
        <f>'Cuota Industrial'!E74</f>
        <v>354.27</v>
      </c>
      <c r="I92" s="68">
        <f>'Cuota Industrial'!F74</f>
        <v>0</v>
      </c>
      <c r="J92" s="68">
        <f>'Cuota Industrial'!G74</f>
        <v>354.27</v>
      </c>
      <c r="K92" s="68">
        <f>'Cuota Industrial'!H74</f>
        <v>0</v>
      </c>
      <c r="L92" s="68">
        <f>'Cuota Industrial'!I74</f>
        <v>354.27</v>
      </c>
      <c r="M92" s="63">
        <f>'Cuota Industrial'!J74</f>
        <v>0</v>
      </c>
      <c r="N92" s="75" t="s">
        <v>156</v>
      </c>
      <c r="O92" s="82">
        <f>Resumen!$B$3</f>
        <v>43508</v>
      </c>
    </row>
    <row r="93" spans="1:15">
      <c r="A93" s="66" t="s">
        <v>130</v>
      </c>
      <c r="B93" s="67" t="s">
        <v>115</v>
      </c>
      <c r="C93" s="67" t="s">
        <v>80</v>
      </c>
      <c r="D93" s="67" t="s">
        <v>116</v>
      </c>
      <c r="E93" s="67" t="s">
        <v>27</v>
      </c>
      <c r="F93" s="67" t="s">
        <v>119</v>
      </c>
      <c r="G93" s="67" t="s">
        <v>120</v>
      </c>
      <c r="H93" s="68">
        <f>'Cuota Industrial'!E75</f>
        <v>7.23</v>
      </c>
      <c r="I93" s="68">
        <f>'Cuota Industrial'!F75</f>
        <v>0</v>
      </c>
      <c r="J93" s="68">
        <f>'Cuota Industrial'!G75</f>
        <v>361.5</v>
      </c>
      <c r="K93" s="68">
        <f>'Cuota Industrial'!H75</f>
        <v>0</v>
      </c>
      <c r="L93" s="68">
        <f>'Cuota Industrial'!I75</f>
        <v>361.5</v>
      </c>
      <c r="M93" s="63">
        <f>'Cuota Industrial'!J75</f>
        <v>0</v>
      </c>
      <c r="N93" s="75" t="s">
        <v>156</v>
      </c>
      <c r="O93" s="82">
        <f>Resumen!$B$3</f>
        <v>43508</v>
      </c>
    </row>
    <row r="94" spans="1:15">
      <c r="A94" s="66" t="s">
        <v>130</v>
      </c>
      <c r="B94" s="67" t="s">
        <v>115</v>
      </c>
      <c r="C94" s="67" t="s">
        <v>80</v>
      </c>
      <c r="D94" s="67" t="s">
        <v>116</v>
      </c>
      <c r="E94" s="67" t="s">
        <v>27</v>
      </c>
      <c r="F94" s="67" t="s">
        <v>117</v>
      </c>
      <c r="G94" s="67" t="s">
        <v>120</v>
      </c>
      <c r="H94" s="68">
        <f>'Cuota Industrial'!K74</f>
        <v>361.5</v>
      </c>
      <c r="I94" s="68">
        <f>'Cuota Industrial'!L74</f>
        <v>0</v>
      </c>
      <c r="J94" s="68">
        <f>'Cuota Industrial'!M74</f>
        <v>361.5</v>
      </c>
      <c r="K94" s="68">
        <f>'Cuota Industrial'!N74</f>
        <v>0</v>
      </c>
      <c r="L94" s="68">
        <f>'Cuota Industrial'!O74</f>
        <v>361.5</v>
      </c>
      <c r="M94" s="63">
        <f>'Cuota Industrial'!P74</f>
        <v>0</v>
      </c>
      <c r="N94" s="75" t="s">
        <v>156</v>
      </c>
      <c r="O94" s="82">
        <f>Resumen!$B$3</f>
        <v>43508</v>
      </c>
    </row>
    <row r="95" spans="1:15">
      <c r="A95" s="66" t="s">
        <v>130</v>
      </c>
      <c r="B95" s="67" t="s">
        <v>115</v>
      </c>
      <c r="C95" s="67" t="s">
        <v>80</v>
      </c>
      <c r="D95" s="67" t="s">
        <v>116</v>
      </c>
      <c r="E95" s="67" t="s">
        <v>90</v>
      </c>
      <c r="F95" s="67" t="s">
        <v>117</v>
      </c>
      <c r="G95" s="65" t="s">
        <v>118</v>
      </c>
      <c r="H95" s="68">
        <f>'Cuota Industrial'!E76</f>
        <v>11.808999999999999</v>
      </c>
      <c r="I95" s="68">
        <f>'Cuota Industrial'!F76</f>
        <v>0</v>
      </c>
      <c r="J95" s="68">
        <f>'Cuota Industrial'!G76</f>
        <v>11.808999999999999</v>
      </c>
      <c r="K95" s="68">
        <f>'Cuota Industrial'!H76</f>
        <v>0</v>
      </c>
      <c r="L95" s="68">
        <f>'Cuota Industrial'!I76</f>
        <v>11.808999999999999</v>
      </c>
      <c r="M95" s="63">
        <f>'Cuota Industrial'!J76</f>
        <v>0</v>
      </c>
      <c r="N95" s="75" t="s">
        <v>156</v>
      </c>
      <c r="O95" s="82">
        <f>Resumen!$B$3</f>
        <v>43508</v>
      </c>
    </row>
    <row r="96" spans="1:15">
      <c r="A96" s="66" t="s">
        <v>130</v>
      </c>
      <c r="B96" s="67" t="s">
        <v>115</v>
      </c>
      <c r="C96" s="67" t="s">
        <v>80</v>
      </c>
      <c r="D96" s="67" t="s">
        <v>116</v>
      </c>
      <c r="E96" s="67" t="s">
        <v>90</v>
      </c>
      <c r="F96" s="67" t="s">
        <v>119</v>
      </c>
      <c r="G96" s="67" t="s">
        <v>120</v>
      </c>
      <c r="H96" s="68">
        <f>'Cuota Industrial'!E77</f>
        <v>0.24099999999999999</v>
      </c>
      <c r="I96" s="68">
        <f>'Cuota Industrial'!F77</f>
        <v>0</v>
      </c>
      <c r="J96" s="68">
        <f>'Cuota Industrial'!G77</f>
        <v>12.049999999999999</v>
      </c>
      <c r="K96" s="68">
        <f>'Cuota Industrial'!H77</f>
        <v>0</v>
      </c>
      <c r="L96" s="68">
        <f>'Cuota Industrial'!I77</f>
        <v>12.049999999999999</v>
      </c>
      <c r="M96" s="63">
        <f>'Cuota Industrial'!J77</f>
        <v>0</v>
      </c>
      <c r="N96" s="75" t="s">
        <v>156</v>
      </c>
      <c r="O96" s="82">
        <f>Resumen!$B$3</f>
        <v>43508</v>
      </c>
    </row>
    <row r="97" spans="1:15">
      <c r="A97" s="66" t="s">
        <v>130</v>
      </c>
      <c r="B97" s="67" t="s">
        <v>115</v>
      </c>
      <c r="C97" s="67" t="s">
        <v>80</v>
      </c>
      <c r="D97" s="67" t="s">
        <v>116</v>
      </c>
      <c r="E97" s="67" t="s">
        <v>90</v>
      </c>
      <c r="F97" s="67" t="s">
        <v>117</v>
      </c>
      <c r="G97" s="67" t="s">
        <v>120</v>
      </c>
      <c r="H97" s="68">
        <f>'Cuota Industrial'!K76</f>
        <v>12.049999999999999</v>
      </c>
      <c r="I97" s="68">
        <f>'Cuota Industrial'!L76</f>
        <v>0</v>
      </c>
      <c r="J97" s="68">
        <f>'Cuota Industrial'!M76</f>
        <v>12.049999999999999</v>
      </c>
      <c r="K97" s="68">
        <f>'Cuota Industrial'!N76</f>
        <v>0</v>
      </c>
      <c r="L97" s="68">
        <f>'Cuota Industrial'!O76</f>
        <v>12.049999999999999</v>
      </c>
      <c r="M97" s="63">
        <f>'Cuota Industrial'!P76</f>
        <v>0</v>
      </c>
      <c r="N97" s="75" t="s">
        <v>156</v>
      </c>
      <c r="O97" s="82">
        <f>Resumen!$B$3</f>
        <v>43508</v>
      </c>
    </row>
    <row r="98" spans="1:15">
      <c r="A98" s="66" t="s">
        <v>130</v>
      </c>
      <c r="B98" s="67" t="s">
        <v>115</v>
      </c>
      <c r="C98" s="67" t="s">
        <v>80</v>
      </c>
      <c r="D98" s="67" t="s">
        <v>116</v>
      </c>
      <c r="E98" s="67" t="s">
        <v>129</v>
      </c>
      <c r="F98" s="67" t="s">
        <v>117</v>
      </c>
      <c r="G98" s="65" t="s">
        <v>118</v>
      </c>
      <c r="H98" s="68">
        <f>'Cuota Industrial'!E78</f>
        <v>177.13499999999999</v>
      </c>
      <c r="I98" s="68">
        <f>'Cuota Industrial'!F78</f>
        <v>0</v>
      </c>
      <c r="J98" s="68">
        <f>'Cuota Industrial'!G78</f>
        <v>177.13499999999999</v>
      </c>
      <c r="K98" s="68">
        <f>'Cuota Industrial'!H78</f>
        <v>0</v>
      </c>
      <c r="L98" s="68">
        <f>'Cuota Industrial'!I78</f>
        <v>177.13499999999999</v>
      </c>
      <c r="M98" s="63">
        <f>'Cuota Industrial'!J78</f>
        <v>0</v>
      </c>
      <c r="N98" s="75" t="s">
        <v>156</v>
      </c>
      <c r="O98" s="82">
        <f>Resumen!$B$3</f>
        <v>43508</v>
      </c>
    </row>
    <row r="99" spans="1:15">
      <c r="A99" s="66" t="s">
        <v>130</v>
      </c>
      <c r="B99" s="67" t="s">
        <v>115</v>
      </c>
      <c r="C99" s="67" t="s">
        <v>80</v>
      </c>
      <c r="D99" s="67" t="s">
        <v>116</v>
      </c>
      <c r="E99" s="67" t="s">
        <v>129</v>
      </c>
      <c r="F99" s="67" t="s">
        <v>119</v>
      </c>
      <c r="G99" s="67" t="s">
        <v>120</v>
      </c>
      <c r="H99" s="68">
        <f>'Cuota Industrial'!E79</f>
        <v>3.6150000000000002</v>
      </c>
      <c r="I99" s="68">
        <f>'Cuota Industrial'!F79</f>
        <v>0</v>
      </c>
      <c r="J99" s="68">
        <f>'Cuota Industrial'!G79</f>
        <v>180.75</v>
      </c>
      <c r="K99" s="68">
        <f>'Cuota Industrial'!H79</f>
        <v>0</v>
      </c>
      <c r="L99" s="68">
        <f>'Cuota Industrial'!I79</f>
        <v>180.75</v>
      </c>
      <c r="M99" s="63">
        <f>'Cuota Industrial'!J79</f>
        <v>0</v>
      </c>
      <c r="N99" s="75" t="s">
        <v>156</v>
      </c>
      <c r="O99" s="82">
        <f>Resumen!$B$3</f>
        <v>43508</v>
      </c>
    </row>
    <row r="100" spans="1:15">
      <c r="A100" s="66" t="s">
        <v>130</v>
      </c>
      <c r="B100" s="67" t="s">
        <v>115</v>
      </c>
      <c r="C100" s="67" t="s">
        <v>80</v>
      </c>
      <c r="D100" s="67" t="s">
        <v>116</v>
      </c>
      <c r="E100" s="67" t="s">
        <v>129</v>
      </c>
      <c r="F100" s="67" t="s">
        <v>117</v>
      </c>
      <c r="G100" s="67" t="s">
        <v>120</v>
      </c>
      <c r="H100" s="68">
        <f>'Cuota Industrial'!K78</f>
        <v>180.75</v>
      </c>
      <c r="I100" s="68">
        <f>'Cuota Industrial'!L78</f>
        <v>0</v>
      </c>
      <c r="J100" s="68">
        <f>'Cuota Industrial'!M78</f>
        <v>180.75</v>
      </c>
      <c r="K100" s="68">
        <f>'Cuota Industrial'!N78</f>
        <v>0</v>
      </c>
      <c r="L100" s="68">
        <f>'Cuota Industrial'!O78</f>
        <v>180.75</v>
      </c>
      <c r="M100" s="63">
        <f>'Cuota Industrial'!P78</f>
        <v>0</v>
      </c>
      <c r="N100" s="75" t="s">
        <v>156</v>
      </c>
      <c r="O100" s="82">
        <f>Resumen!$B$3</f>
        <v>43508</v>
      </c>
    </row>
    <row r="101" spans="1:15">
      <c r="A101" s="66" t="s">
        <v>132</v>
      </c>
      <c r="B101" s="67" t="s">
        <v>115</v>
      </c>
      <c r="C101" s="67" t="s">
        <v>86</v>
      </c>
      <c r="D101" s="67" t="s">
        <v>116</v>
      </c>
      <c r="E101" s="67" t="s">
        <v>164</v>
      </c>
      <c r="F101" s="67" t="s">
        <v>117</v>
      </c>
      <c r="G101" s="65" t="s">
        <v>118</v>
      </c>
      <c r="H101" s="68">
        <f>'Cuota Industrial'!E80</f>
        <v>3212.8760000000002</v>
      </c>
      <c r="I101" s="68">
        <f>'Cuota Industrial'!F80</f>
        <v>713.13099999999997</v>
      </c>
      <c r="J101" s="68">
        <f>'Cuota Industrial'!G80</f>
        <v>3926.0070000000001</v>
      </c>
      <c r="K101" s="68">
        <f>'Cuota Industrial'!H80</f>
        <v>0</v>
      </c>
      <c r="L101" s="68">
        <f>'Cuota Industrial'!I80</f>
        <v>3926.0070000000001</v>
      </c>
      <c r="M101" s="63">
        <f>'Cuota Industrial'!J80</f>
        <v>0</v>
      </c>
      <c r="N101" s="75" t="s">
        <v>156</v>
      </c>
      <c r="O101" s="82">
        <f>Resumen!$B$3</f>
        <v>43508</v>
      </c>
    </row>
    <row r="102" spans="1:15">
      <c r="A102" s="66" t="s">
        <v>132</v>
      </c>
      <c r="B102" s="67" t="s">
        <v>115</v>
      </c>
      <c r="C102" s="67" t="s">
        <v>86</v>
      </c>
      <c r="D102" s="67" t="s">
        <v>116</v>
      </c>
      <c r="E102" s="67" t="s">
        <v>164</v>
      </c>
      <c r="F102" s="67" t="s">
        <v>119</v>
      </c>
      <c r="G102" s="67" t="s">
        <v>120</v>
      </c>
      <c r="H102" s="68">
        <f>'Cuota Industrial'!E81</f>
        <v>65.546999999999997</v>
      </c>
      <c r="I102" s="68">
        <f>'Cuota Industrial'!F81</f>
        <v>0</v>
      </c>
      <c r="J102" s="68">
        <f>'Cuota Industrial'!G81</f>
        <v>3991.5540000000001</v>
      </c>
      <c r="K102" s="68">
        <f>'Cuota Industrial'!H81</f>
        <v>0</v>
      </c>
      <c r="L102" s="68">
        <f>'Cuota Industrial'!I81</f>
        <v>3991.5540000000001</v>
      </c>
      <c r="M102" s="63">
        <f>'Cuota Industrial'!J81</f>
        <v>0</v>
      </c>
      <c r="N102" s="75" t="s">
        <v>156</v>
      </c>
      <c r="O102" s="82">
        <f>Resumen!$B$3</f>
        <v>43508</v>
      </c>
    </row>
    <row r="103" spans="1:15">
      <c r="A103" s="66" t="s">
        <v>132</v>
      </c>
      <c r="B103" s="67" t="s">
        <v>115</v>
      </c>
      <c r="C103" s="67" t="s">
        <v>86</v>
      </c>
      <c r="D103" s="67" t="s">
        <v>116</v>
      </c>
      <c r="E103" s="67" t="s">
        <v>164</v>
      </c>
      <c r="F103" s="67" t="s">
        <v>117</v>
      </c>
      <c r="G103" s="67" t="s">
        <v>120</v>
      </c>
      <c r="H103" s="68">
        <f>'Cuota Industrial'!K80</f>
        <v>3278.4230000000002</v>
      </c>
      <c r="I103" s="68">
        <f>'Cuota Industrial'!L80</f>
        <v>713.13099999999997</v>
      </c>
      <c r="J103" s="68">
        <f>'Cuota Industrial'!M80</f>
        <v>3991.5540000000001</v>
      </c>
      <c r="K103" s="68">
        <f>'Cuota Industrial'!N80</f>
        <v>0</v>
      </c>
      <c r="L103" s="68">
        <f>'Cuota Industrial'!O80</f>
        <v>3991.5540000000001</v>
      </c>
      <c r="M103" s="63">
        <f>'Cuota Industrial'!P80</f>
        <v>0</v>
      </c>
      <c r="N103" s="75" t="s">
        <v>156</v>
      </c>
      <c r="O103" s="82">
        <f>Resumen!$B$3</f>
        <v>43508</v>
      </c>
    </row>
    <row r="104" spans="1:15">
      <c r="A104" s="66" t="s">
        <v>132</v>
      </c>
      <c r="B104" s="67" t="s">
        <v>115</v>
      </c>
      <c r="C104" s="67" t="s">
        <v>86</v>
      </c>
      <c r="D104" s="67" t="s">
        <v>116</v>
      </c>
      <c r="E104" s="67" t="s">
        <v>165</v>
      </c>
      <c r="F104" s="67" t="s">
        <v>117</v>
      </c>
      <c r="G104" s="65" t="s">
        <v>118</v>
      </c>
      <c r="H104" s="68">
        <f>'Cuota Industrial'!E82</f>
        <v>28.41</v>
      </c>
      <c r="I104" s="68">
        <f>'Cuota Industrial'!F82</f>
        <v>0</v>
      </c>
      <c r="J104" s="68">
        <f>'Cuota Industrial'!G82</f>
        <v>28.41</v>
      </c>
      <c r="K104" s="68">
        <f>'Cuota Industrial'!H82</f>
        <v>0</v>
      </c>
      <c r="L104" s="68">
        <f>'Cuota Industrial'!I82</f>
        <v>28.41</v>
      </c>
      <c r="M104" s="63">
        <f>'Cuota Industrial'!J82</f>
        <v>0</v>
      </c>
      <c r="N104" s="75" t="s">
        <v>156</v>
      </c>
      <c r="O104" s="82">
        <f>Resumen!$B$3</f>
        <v>43508</v>
      </c>
    </row>
    <row r="105" spans="1:15">
      <c r="A105" s="66" t="s">
        <v>132</v>
      </c>
      <c r="B105" s="67" t="s">
        <v>115</v>
      </c>
      <c r="C105" s="67" t="s">
        <v>86</v>
      </c>
      <c r="D105" s="67" t="s">
        <v>116</v>
      </c>
      <c r="E105" s="67" t="s">
        <v>165</v>
      </c>
      <c r="F105" s="67" t="s">
        <v>119</v>
      </c>
      <c r="G105" s="67" t="s">
        <v>120</v>
      </c>
      <c r="H105" s="68">
        <f>'Cuota Industrial'!E83</f>
        <v>0.57999999999999996</v>
      </c>
      <c r="I105" s="68">
        <f>'Cuota Industrial'!F83</f>
        <v>0</v>
      </c>
      <c r="J105" s="68">
        <f>'Cuota Industrial'!G83</f>
        <v>28.99</v>
      </c>
      <c r="K105" s="68">
        <f>'Cuota Industrial'!H83</f>
        <v>0</v>
      </c>
      <c r="L105" s="68">
        <f>'Cuota Industrial'!I83</f>
        <v>28.99</v>
      </c>
      <c r="M105" s="63">
        <f>'Cuota Industrial'!J83</f>
        <v>0</v>
      </c>
      <c r="N105" s="75" t="s">
        <v>156</v>
      </c>
      <c r="O105" s="82">
        <f>Resumen!$B$3</f>
        <v>43508</v>
      </c>
    </row>
    <row r="106" spans="1:15">
      <c r="A106" s="66" t="s">
        <v>132</v>
      </c>
      <c r="B106" s="67" t="s">
        <v>115</v>
      </c>
      <c r="C106" s="67" t="s">
        <v>86</v>
      </c>
      <c r="D106" s="67" t="s">
        <v>116</v>
      </c>
      <c r="E106" s="67" t="s">
        <v>165</v>
      </c>
      <c r="F106" s="67" t="s">
        <v>117</v>
      </c>
      <c r="G106" s="67" t="s">
        <v>120</v>
      </c>
      <c r="H106" s="68">
        <f>'Cuota Industrial'!K82</f>
        <v>28.99</v>
      </c>
      <c r="I106" s="68">
        <f>'Cuota Industrial'!L82</f>
        <v>0</v>
      </c>
      <c r="J106" s="68">
        <f>'Cuota Industrial'!M82</f>
        <v>28.99</v>
      </c>
      <c r="K106" s="68">
        <f>'Cuota Industrial'!N82</f>
        <v>0</v>
      </c>
      <c r="L106" s="68">
        <f>'Cuota Industrial'!O82</f>
        <v>28.99</v>
      </c>
      <c r="M106" s="63">
        <f>'Cuota Industrial'!P82</f>
        <v>0</v>
      </c>
      <c r="N106" s="75" t="s">
        <v>156</v>
      </c>
      <c r="O106" s="82">
        <f>Resumen!$B$3</f>
        <v>43508</v>
      </c>
    </row>
    <row r="107" spans="1:15">
      <c r="A107" s="66" t="s">
        <v>132</v>
      </c>
      <c r="B107" s="67" t="s">
        <v>115</v>
      </c>
      <c r="C107" s="67" t="s">
        <v>86</v>
      </c>
      <c r="D107" s="67" t="s">
        <v>116</v>
      </c>
      <c r="E107" s="67" t="s">
        <v>170</v>
      </c>
      <c r="F107" s="67" t="s">
        <v>117</v>
      </c>
      <c r="G107" s="65" t="s">
        <v>118</v>
      </c>
      <c r="H107" s="68">
        <f>'Cuota Industrial'!E84</f>
        <v>4543.3130000000001</v>
      </c>
      <c r="I107" s="68">
        <f>'Cuota Industrial'!F84</f>
        <v>0</v>
      </c>
      <c r="J107" s="68">
        <f>'Cuota Industrial'!G84</f>
        <v>4543.3130000000001</v>
      </c>
      <c r="K107" s="68">
        <f>'Cuota Industrial'!H84</f>
        <v>0</v>
      </c>
      <c r="L107" s="68">
        <f>'Cuota Industrial'!I84</f>
        <v>4543.3130000000001</v>
      </c>
      <c r="M107" s="63">
        <f>'Cuota Industrial'!J84</f>
        <v>0</v>
      </c>
      <c r="N107" s="75" t="s">
        <v>156</v>
      </c>
      <c r="O107" s="82">
        <f>Resumen!$B$3</f>
        <v>43508</v>
      </c>
    </row>
    <row r="108" spans="1:15">
      <c r="A108" s="66" t="s">
        <v>132</v>
      </c>
      <c r="B108" s="67" t="s">
        <v>115</v>
      </c>
      <c r="C108" s="67" t="s">
        <v>86</v>
      </c>
      <c r="D108" s="67" t="s">
        <v>116</v>
      </c>
      <c r="E108" s="67" t="s">
        <v>170</v>
      </c>
      <c r="F108" s="67" t="s">
        <v>119</v>
      </c>
      <c r="G108" s="67" t="s">
        <v>120</v>
      </c>
      <c r="H108" s="68">
        <f>'Cuota Industrial'!E85</f>
        <v>92.69</v>
      </c>
      <c r="I108" s="68">
        <f>'Cuota Industrial'!F85</f>
        <v>0</v>
      </c>
      <c r="J108" s="68">
        <f>'Cuota Industrial'!G85</f>
        <v>4636.0029999999997</v>
      </c>
      <c r="K108" s="68">
        <f>'Cuota Industrial'!H85</f>
        <v>0</v>
      </c>
      <c r="L108" s="68">
        <f>'Cuota Industrial'!I85</f>
        <v>4636.0029999999997</v>
      </c>
      <c r="M108" s="63">
        <f>'Cuota Industrial'!J85</f>
        <v>0</v>
      </c>
      <c r="N108" s="75" t="s">
        <v>156</v>
      </c>
      <c r="O108" s="82">
        <f>Resumen!$B$3</f>
        <v>43508</v>
      </c>
    </row>
    <row r="109" spans="1:15">
      <c r="A109" s="66" t="s">
        <v>132</v>
      </c>
      <c r="B109" s="67" t="s">
        <v>115</v>
      </c>
      <c r="C109" s="67" t="s">
        <v>86</v>
      </c>
      <c r="D109" s="67" t="s">
        <v>116</v>
      </c>
      <c r="E109" s="67" t="s">
        <v>170</v>
      </c>
      <c r="F109" s="67" t="s">
        <v>117</v>
      </c>
      <c r="G109" s="67" t="s">
        <v>120</v>
      </c>
      <c r="H109" s="68">
        <f>'Cuota Industrial'!K84</f>
        <v>4636.0029999999997</v>
      </c>
      <c r="I109" s="68">
        <f>'Cuota Industrial'!L84</f>
        <v>0</v>
      </c>
      <c r="J109" s="68">
        <f>'Cuota Industrial'!K84</f>
        <v>4636.0029999999997</v>
      </c>
      <c r="K109" s="68">
        <f>'Cuota Industrial'!N84</f>
        <v>0</v>
      </c>
      <c r="L109" s="68">
        <f>'Cuota Industrial'!O84</f>
        <v>4636.0029999999997</v>
      </c>
      <c r="M109" s="63">
        <f>'Cuota Industrial'!P84</f>
        <v>0</v>
      </c>
      <c r="N109" s="75" t="s">
        <v>156</v>
      </c>
      <c r="O109" s="82">
        <f>Resumen!$B$3</f>
        <v>43508</v>
      </c>
    </row>
    <row r="110" spans="1:15">
      <c r="A110" s="66" t="s">
        <v>132</v>
      </c>
      <c r="B110" s="67" t="s">
        <v>115</v>
      </c>
      <c r="C110" s="67" t="s">
        <v>86</v>
      </c>
      <c r="D110" s="67" t="s">
        <v>116</v>
      </c>
      <c r="E110" s="67" t="s">
        <v>173</v>
      </c>
      <c r="F110" s="67" t="s">
        <v>117</v>
      </c>
      <c r="G110" s="65" t="s">
        <v>118</v>
      </c>
      <c r="H110" s="68">
        <f>'Cuota Industrial'!E86</f>
        <v>1.1180000000000001</v>
      </c>
      <c r="I110" s="68">
        <f>'Cuota Industrial'!F86</f>
        <v>0</v>
      </c>
      <c r="J110" s="68">
        <f>'Cuota Industrial'!G86</f>
        <v>1.1180000000000001</v>
      </c>
      <c r="K110" s="68">
        <f>'Cuota Industrial'!H86</f>
        <v>0</v>
      </c>
      <c r="L110" s="68">
        <f>'Cuota Industrial'!I86</f>
        <v>1.1180000000000001</v>
      </c>
      <c r="M110" s="63">
        <f>'Cuota Industrial'!J86</f>
        <v>0</v>
      </c>
      <c r="N110" s="75" t="s">
        <v>156</v>
      </c>
      <c r="O110" s="82">
        <f>Resumen!$B$3</f>
        <v>43508</v>
      </c>
    </row>
    <row r="111" spans="1:15">
      <c r="A111" s="66" t="s">
        <v>132</v>
      </c>
      <c r="B111" s="67" t="s">
        <v>115</v>
      </c>
      <c r="C111" s="67" t="s">
        <v>86</v>
      </c>
      <c r="D111" s="67" t="s">
        <v>116</v>
      </c>
      <c r="E111" s="67" t="s">
        <v>173</v>
      </c>
      <c r="F111" s="67" t="s">
        <v>119</v>
      </c>
      <c r="G111" s="67" t="s">
        <v>120</v>
      </c>
      <c r="H111" s="68">
        <f>'Cuota Industrial'!E87</f>
        <v>2.3E-2</v>
      </c>
      <c r="I111" s="68">
        <f>'Cuota Industrial'!F87</f>
        <v>0</v>
      </c>
      <c r="J111" s="68">
        <f>'Cuota Industrial'!G87</f>
        <v>1.141</v>
      </c>
      <c r="K111" s="68">
        <f>'Cuota Industrial'!H87</f>
        <v>0</v>
      </c>
      <c r="L111" s="68">
        <f>'Cuota Industrial'!I87</f>
        <v>1.141</v>
      </c>
      <c r="M111" s="63">
        <f>'Cuota Industrial'!J87</f>
        <v>0</v>
      </c>
      <c r="N111" s="75" t="s">
        <v>156</v>
      </c>
      <c r="O111" s="82">
        <f>Resumen!$B$3</f>
        <v>43508</v>
      </c>
    </row>
    <row r="112" spans="1:15">
      <c r="A112" s="66" t="s">
        <v>132</v>
      </c>
      <c r="B112" s="67" t="s">
        <v>115</v>
      </c>
      <c r="C112" s="67" t="s">
        <v>86</v>
      </c>
      <c r="D112" s="67" t="s">
        <v>116</v>
      </c>
      <c r="E112" s="67" t="s">
        <v>173</v>
      </c>
      <c r="F112" s="67" t="s">
        <v>117</v>
      </c>
      <c r="G112" s="67" t="s">
        <v>120</v>
      </c>
      <c r="H112" s="68">
        <f>'Cuota Industrial'!K86</f>
        <v>1.141</v>
      </c>
      <c r="I112" s="68">
        <f>'Cuota Industrial'!L86</f>
        <v>0</v>
      </c>
      <c r="J112" s="68">
        <f>'Cuota Industrial'!M86</f>
        <v>1.141</v>
      </c>
      <c r="K112" s="68">
        <f>'Cuota Industrial'!N86</f>
        <v>0</v>
      </c>
      <c r="L112" s="68">
        <f>'Cuota Industrial'!O86</f>
        <v>1.141</v>
      </c>
      <c r="M112" s="63">
        <f>'Cuota Industrial'!P86</f>
        <v>0</v>
      </c>
      <c r="N112" s="75" t="s">
        <v>156</v>
      </c>
      <c r="O112" s="82">
        <f>Resumen!$B$3</f>
        <v>43508</v>
      </c>
    </row>
    <row r="113" spans="1:15">
      <c r="A113" s="66" t="s">
        <v>132</v>
      </c>
      <c r="B113" s="67" t="s">
        <v>115</v>
      </c>
      <c r="C113" s="67" t="s">
        <v>86</v>
      </c>
      <c r="D113" s="67" t="s">
        <v>116</v>
      </c>
      <c r="E113" s="67" t="s">
        <v>166</v>
      </c>
      <c r="F113" s="67" t="s">
        <v>117</v>
      </c>
      <c r="G113" s="65" t="s">
        <v>118</v>
      </c>
      <c r="H113" s="68">
        <f>'Cuota Industrial'!E88</f>
        <v>6827.2860000000001</v>
      </c>
      <c r="I113" s="68">
        <f>'Cuota Industrial'!F88</f>
        <v>0</v>
      </c>
      <c r="J113" s="68">
        <f>'Cuota Industrial'!G88</f>
        <v>6827.2860000000001</v>
      </c>
      <c r="K113" s="68">
        <f>'Cuota Industrial'!H88</f>
        <v>0</v>
      </c>
      <c r="L113" s="68">
        <f>'Cuota Industrial'!I88</f>
        <v>6827.2860000000001</v>
      </c>
      <c r="M113" s="63">
        <f>'Cuota Industrial'!J88</f>
        <v>0</v>
      </c>
      <c r="N113" s="75" t="s">
        <v>156</v>
      </c>
      <c r="O113" s="82">
        <f>Resumen!$B$3</f>
        <v>43508</v>
      </c>
    </row>
    <row r="114" spans="1:15">
      <c r="A114" s="66" t="s">
        <v>132</v>
      </c>
      <c r="B114" s="67" t="s">
        <v>115</v>
      </c>
      <c r="C114" s="67" t="s">
        <v>86</v>
      </c>
      <c r="D114" s="67" t="s">
        <v>116</v>
      </c>
      <c r="E114" s="67" t="s">
        <v>166</v>
      </c>
      <c r="F114" s="67" t="s">
        <v>119</v>
      </c>
      <c r="G114" s="67" t="s">
        <v>120</v>
      </c>
      <c r="H114" s="68">
        <f>'Cuota Industrial'!E89</f>
        <v>139.286</v>
      </c>
      <c r="I114" s="68">
        <f>'Cuota Industrial'!F89</f>
        <v>0</v>
      </c>
      <c r="J114" s="68">
        <f>'Cuota Industrial'!G89</f>
        <v>6966.5720000000001</v>
      </c>
      <c r="K114" s="68">
        <f>'Cuota Industrial'!H89</f>
        <v>0</v>
      </c>
      <c r="L114" s="68">
        <f>'Cuota Industrial'!I89</f>
        <v>6966.5720000000001</v>
      </c>
      <c r="M114" s="63">
        <f>'Cuota Industrial'!J89</f>
        <v>0</v>
      </c>
      <c r="N114" s="75" t="s">
        <v>156</v>
      </c>
      <c r="O114" s="82">
        <f>Resumen!$B$3</f>
        <v>43508</v>
      </c>
    </row>
    <row r="115" spans="1:15">
      <c r="A115" s="66" t="s">
        <v>132</v>
      </c>
      <c r="B115" s="67" t="s">
        <v>115</v>
      </c>
      <c r="C115" s="67" t="s">
        <v>86</v>
      </c>
      <c r="D115" s="67" t="s">
        <v>116</v>
      </c>
      <c r="E115" s="67" t="s">
        <v>166</v>
      </c>
      <c r="F115" s="67" t="s">
        <v>117</v>
      </c>
      <c r="G115" s="67" t="s">
        <v>120</v>
      </c>
      <c r="H115" s="68">
        <f>'Cuota Industrial'!K88</f>
        <v>6966.5720000000001</v>
      </c>
      <c r="I115" s="68">
        <f>'Cuota Industrial'!L88</f>
        <v>0</v>
      </c>
      <c r="J115" s="68">
        <f>'Cuota Industrial'!M88</f>
        <v>6966.5720000000001</v>
      </c>
      <c r="K115" s="68">
        <f>'Cuota Industrial'!N88</f>
        <v>0</v>
      </c>
      <c r="L115" s="68">
        <f>'Cuota Industrial'!O88</f>
        <v>6966.5720000000001</v>
      </c>
      <c r="M115" s="63">
        <f>'Cuota Industrial'!P88</f>
        <v>0</v>
      </c>
      <c r="N115" s="75" t="s">
        <v>156</v>
      </c>
      <c r="O115" s="82">
        <f>Resumen!$B$3</f>
        <v>43508</v>
      </c>
    </row>
    <row r="116" spans="1:15">
      <c r="A116" s="66" t="s">
        <v>132</v>
      </c>
      <c r="B116" s="67" t="s">
        <v>115</v>
      </c>
      <c r="C116" s="67" t="s">
        <v>86</v>
      </c>
      <c r="D116" s="67" t="s">
        <v>116</v>
      </c>
      <c r="E116" s="67" t="s">
        <v>131</v>
      </c>
      <c r="F116" s="67" t="s">
        <v>117</v>
      </c>
      <c r="G116" s="65" t="s">
        <v>118</v>
      </c>
      <c r="H116" s="68">
        <f>'Cuota Industrial'!E90</f>
        <v>159.63800000000001</v>
      </c>
      <c r="I116" s="68">
        <f>'Cuota Industrial'!F90</f>
        <v>0</v>
      </c>
      <c r="J116" s="68">
        <f>'Cuota Industrial'!G90</f>
        <v>159.63800000000001</v>
      </c>
      <c r="K116" s="68">
        <f>'Cuota Industrial'!H90</f>
        <v>0</v>
      </c>
      <c r="L116" s="68">
        <f>'Cuota Industrial'!I90</f>
        <v>159.63800000000001</v>
      </c>
      <c r="M116" s="63">
        <f>'Cuota Industrial'!J90</f>
        <v>0</v>
      </c>
      <c r="N116" s="75" t="s">
        <v>156</v>
      </c>
      <c r="O116" s="82">
        <f>Resumen!$B$3</f>
        <v>43508</v>
      </c>
    </row>
    <row r="117" spans="1:15">
      <c r="A117" s="66" t="s">
        <v>132</v>
      </c>
      <c r="B117" s="67" t="s">
        <v>115</v>
      </c>
      <c r="C117" s="67" t="s">
        <v>86</v>
      </c>
      <c r="D117" s="67" t="s">
        <v>116</v>
      </c>
      <c r="E117" s="67" t="s">
        <v>131</v>
      </c>
      <c r="F117" s="67" t="s">
        <v>119</v>
      </c>
      <c r="G117" s="67" t="s">
        <v>120</v>
      </c>
      <c r="H117" s="68">
        <f>'Cuota Industrial'!E91</f>
        <v>3.2570000000000001</v>
      </c>
      <c r="I117" s="68">
        <f>'Cuota Industrial'!F91</f>
        <v>0</v>
      </c>
      <c r="J117" s="68">
        <f>'Cuota Industrial'!G91</f>
        <v>162.89500000000001</v>
      </c>
      <c r="K117" s="68">
        <f>'Cuota Industrial'!H91</f>
        <v>0</v>
      </c>
      <c r="L117" s="68">
        <f>'Cuota Industrial'!I91</f>
        <v>162.89500000000001</v>
      </c>
      <c r="M117" s="63">
        <f>'Cuota Industrial'!J91</f>
        <v>0</v>
      </c>
      <c r="N117" s="75" t="s">
        <v>156</v>
      </c>
      <c r="O117" s="82">
        <f>Resumen!$B$3</f>
        <v>43508</v>
      </c>
    </row>
    <row r="118" spans="1:15">
      <c r="A118" s="66" t="s">
        <v>132</v>
      </c>
      <c r="B118" s="67" t="s">
        <v>115</v>
      </c>
      <c r="C118" s="67" t="s">
        <v>86</v>
      </c>
      <c r="D118" s="67" t="s">
        <v>116</v>
      </c>
      <c r="E118" s="67" t="s">
        <v>131</v>
      </c>
      <c r="F118" s="67" t="s">
        <v>117</v>
      </c>
      <c r="G118" s="67" t="s">
        <v>120</v>
      </c>
      <c r="H118" s="68">
        <f>'Cuota Industrial'!K90</f>
        <v>162.89500000000001</v>
      </c>
      <c r="I118" s="68">
        <f>'Cuota Industrial'!L90</f>
        <v>0</v>
      </c>
      <c r="J118" s="68">
        <f>'Cuota Industrial'!M90</f>
        <v>162.89500000000001</v>
      </c>
      <c r="K118" s="68">
        <f>'Cuota Industrial'!N90</f>
        <v>0</v>
      </c>
      <c r="L118" s="68">
        <f>'Cuota Industrial'!O90</f>
        <v>162.89500000000001</v>
      </c>
      <c r="M118" s="63">
        <f>'Cuota Industrial'!P90</f>
        <v>0</v>
      </c>
      <c r="N118" s="75" t="s">
        <v>156</v>
      </c>
      <c r="O118" s="82">
        <f>Resumen!$B$3</f>
        <v>43508</v>
      </c>
    </row>
    <row r="119" spans="1:15">
      <c r="A119" s="66" t="s">
        <v>132</v>
      </c>
      <c r="B119" s="67" t="s">
        <v>115</v>
      </c>
      <c r="C119" s="67" t="s">
        <v>86</v>
      </c>
      <c r="D119" s="67" t="s">
        <v>116</v>
      </c>
      <c r="E119" s="67" t="s">
        <v>160</v>
      </c>
      <c r="F119" s="67" t="s">
        <v>117</v>
      </c>
      <c r="G119" s="65" t="s">
        <v>118</v>
      </c>
      <c r="H119" s="68">
        <f>'Cuota Industrial'!E92</f>
        <v>2086.1790000000001</v>
      </c>
      <c r="I119" s="68">
        <f>'Cuota Industrial'!F92</f>
        <v>0</v>
      </c>
      <c r="J119" s="68">
        <f>'Cuota Industrial'!G92</f>
        <v>2086.1790000000001</v>
      </c>
      <c r="K119" s="68">
        <f>'Cuota Industrial'!H92</f>
        <v>0</v>
      </c>
      <c r="L119" s="68">
        <f>'Cuota Industrial'!I92</f>
        <v>2086.1790000000001</v>
      </c>
      <c r="M119" s="63">
        <v>0</v>
      </c>
      <c r="N119" s="75" t="s">
        <v>156</v>
      </c>
      <c r="O119" s="82">
        <f>Resumen!$B$3</f>
        <v>43508</v>
      </c>
    </row>
    <row r="120" spans="1:15">
      <c r="A120" s="66" t="s">
        <v>132</v>
      </c>
      <c r="B120" s="67" t="s">
        <v>115</v>
      </c>
      <c r="C120" s="67" t="s">
        <v>86</v>
      </c>
      <c r="D120" s="67" t="s">
        <v>116</v>
      </c>
      <c r="E120" s="67" t="s">
        <v>160</v>
      </c>
      <c r="F120" s="67" t="s">
        <v>119</v>
      </c>
      <c r="G120" s="67" t="s">
        <v>120</v>
      </c>
      <c r="H120" s="68">
        <f>'Cuota Industrial'!E93</f>
        <v>42.56</v>
      </c>
      <c r="I120" s="68">
        <f>'Cuota Industrial'!F93</f>
        <v>0</v>
      </c>
      <c r="J120" s="68">
        <f>'Cuota Industrial'!G93</f>
        <v>2128.739</v>
      </c>
      <c r="K120" s="68">
        <f>'Cuota Industrial'!H93</f>
        <v>0</v>
      </c>
      <c r="L120" s="68">
        <f>'Cuota Industrial'!I93</f>
        <v>2128.739</v>
      </c>
      <c r="M120" s="63">
        <f>'Cuota Industrial'!J93</f>
        <v>0</v>
      </c>
      <c r="N120" s="75" t="s">
        <v>156</v>
      </c>
      <c r="O120" s="82">
        <f>Resumen!$B$3</f>
        <v>43508</v>
      </c>
    </row>
    <row r="121" spans="1:15">
      <c r="A121" s="66" t="s">
        <v>132</v>
      </c>
      <c r="B121" s="67" t="s">
        <v>115</v>
      </c>
      <c r="C121" s="67" t="s">
        <v>86</v>
      </c>
      <c r="D121" s="67" t="s">
        <v>116</v>
      </c>
      <c r="E121" s="67" t="s">
        <v>160</v>
      </c>
      <c r="F121" s="67" t="s">
        <v>117</v>
      </c>
      <c r="G121" s="67" t="s">
        <v>120</v>
      </c>
      <c r="H121" s="68">
        <f>'Cuota Industrial'!K92</f>
        <v>2128.739</v>
      </c>
      <c r="I121" s="68">
        <f>'Cuota Industrial'!L92</f>
        <v>0</v>
      </c>
      <c r="J121" s="68">
        <f>'Cuota Industrial'!M92</f>
        <v>2128.739</v>
      </c>
      <c r="K121" s="68">
        <f>'Cuota Industrial'!N92</f>
        <v>0</v>
      </c>
      <c r="L121" s="68">
        <f>'Cuota Industrial'!O92</f>
        <v>2128.739</v>
      </c>
      <c r="M121" s="63">
        <f>'Cuota Industrial'!P92</f>
        <v>0</v>
      </c>
      <c r="N121" s="75" t="s">
        <v>156</v>
      </c>
      <c r="O121" s="82">
        <f>Resumen!$B$3</f>
        <v>43508</v>
      </c>
    </row>
    <row r="122" spans="1:15">
      <c r="A122" s="66" t="s">
        <v>132</v>
      </c>
      <c r="B122" s="67" t="s">
        <v>115</v>
      </c>
      <c r="C122" s="67" t="s">
        <v>86</v>
      </c>
      <c r="D122" s="67" t="s">
        <v>116</v>
      </c>
      <c r="E122" s="67" t="s">
        <v>128</v>
      </c>
      <c r="F122" s="67" t="s">
        <v>117</v>
      </c>
      <c r="G122" s="65" t="s">
        <v>118</v>
      </c>
      <c r="H122" s="68">
        <f>'Cuota Industrial'!E94</f>
        <v>3280.6950000000002</v>
      </c>
      <c r="I122" s="68">
        <f>'Cuota Industrial'!F94</f>
        <v>0</v>
      </c>
      <c r="J122" s="68">
        <f>'Cuota Industrial'!G94</f>
        <v>3280.6950000000002</v>
      </c>
      <c r="K122" s="68">
        <f>'Cuota Industrial'!H94</f>
        <v>0</v>
      </c>
      <c r="L122" s="68">
        <f>'Cuota Industrial'!I94</f>
        <v>3280.6950000000002</v>
      </c>
      <c r="M122" s="63">
        <f>'Cuota Industrial'!J94</f>
        <v>0</v>
      </c>
      <c r="N122" s="75" t="s">
        <v>156</v>
      </c>
      <c r="O122" s="82">
        <f>Resumen!$B$3</f>
        <v>43508</v>
      </c>
    </row>
    <row r="123" spans="1:15">
      <c r="A123" s="66" t="s">
        <v>132</v>
      </c>
      <c r="B123" s="67" t="s">
        <v>115</v>
      </c>
      <c r="C123" s="67" t="s">
        <v>86</v>
      </c>
      <c r="D123" s="67" t="s">
        <v>116</v>
      </c>
      <c r="E123" s="67" t="s">
        <v>128</v>
      </c>
      <c r="F123" s="67" t="s">
        <v>119</v>
      </c>
      <c r="G123" s="67" t="s">
        <v>120</v>
      </c>
      <c r="H123" s="68">
        <f>'Cuota Industrial'!E95</f>
        <v>66.930999999999997</v>
      </c>
      <c r="I123" s="68">
        <f>'Cuota Industrial'!F95</f>
        <v>0</v>
      </c>
      <c r="J123" s="68">
        <f>'Cuota Industrial'!G95</f>
        <v>3347.6260000000002</v>
      </c>
      <c r="K123" s="68">
        <f>'Cuota Industrial'!H95</f>
        <v>0</v>
      </c>
      <c r="L123" s="68">
        <f>'Cuota Industrial'!I95</f>
        <v>3347.6260000000002</v>
      </c>
      <c r="M123" s="63">
        <f>'Cuota Industrial'!J95</f>
        <v>0</v>
      </c>
      <c r="N123" s="75" t="s">
        <v>156</v>
      </c>
      <c r="O123" s="82">
        <f>Resumen!$B$3</f>
        <v>43508</v>
      </c>
    </row>
    <row r="124" spans="1:15">
      <c r="A124" s="66" t="s">
        <v>132</v>
      </c>
      <c r="B124" s="67" t="s">
        <v>115</v>
      </c>
      <c r="C124" s="67" t="s">
        <v>86</v>
      </c>
      <c r="D124" s="67" t="s">
        <v>116</v>
      </c>
      <c r="E124" s="67" t="s">
        <v>128</v>
      </c>
      <c r="F124" s="67" t="s">
        <v>117</v>
      </c>
      <c r="G124" s="67" t="s">
        <v>120</v>
      </c>
      <c r="H124" s="68">
        <f>'Cuota Industrial'!K94</f>
        <v>3347.6260000000002</v>
      </c>
      <c r="I124" s="68">
        <f>'Cuota Industrial'!L94</f>
        <v>0</v>
      </c>
      <c r="J124" s="68">
        <f>'Cuota Industrial'!M94</f>
        <v>3347.6260000000002</v>
      </c>
      <c r="K124" s="68">
        <f>'Cuota Industrial'!N94</f>
        <v>0</v>
      </c>
      <c r="L124" s="68">
        <f>'Cuota Industrial'!O94</f>
        <v>3347.6260000000002</v>
      </c>
      <c r="M124" s="63">
        <f>'Cuota Industrial'!P94</f>
        <v>0</v>
      </c>
      <c r="N124" s="75" t="s">
        <v>156</v>
      </c>
      <c r="O124" s="82">
        <f>Resumen!$B$3</f>
        <v>43508</v>
      </c>
    </row>
    <row r="125" spans="1:15">
      <c r="A125" s="66" t="s">
        <v>132</v>
      </c>
      <c r="B125" s="67" t="s">
        <v>115</v>
      </c>
      <c r="C125" s="67" t="s">
        <v>86</v>
      </c>
      <c r="D125" s="67" t="s">
        <v>116</v>
      </c>
      <c r="E125" s="67" t="s">
        <v>167</v>
      </c>
      <c r="F125" s="67" t="s">
        <v>117</v>
      </c>
      <c r="G125" s="65" t="s">
        <v>118</v>
      </c>
      <c r="H125" s="68">
        <f>'Cuota Industrial'!E96</f>
        <v>0.28000000000000003</v>
      </c>
      <c r="I125" s="68">
        <f>'Cuota Industrial'!F96</f>
        <v>0</v>
      </c>
      <c r="J125" s="68">
        <f>'Cuota Industrial'!G96</f>
        <v>0.28000000000000003</v>
      </c>
      <c r="K125" s="68">
        <f>'Cuota Industrial'!H96</f>
        <v>0</v>
      </c>
      <c r="L125" s="68">
        <f>'Cuota Industrial'!I96</f>
        <v>0.28000000000000003</v>
      </c>
      <c r="M125" s="63">
        <f>'Cuota Industrial'!J96</f>
        <v>0</v>
      </c>
      <c r="N125" s="75" t="s">
        <v>156</v>
      </c>
      <c r="O125" s="82">
        <f>Resumen!$B$3</f>
        <v>43508</v>
      </c>
    </row>
    <row r="126" spans="1:15">
      <c r="A126" s="66" t="s">
        <v>132</v>
      </c>
      <c r="B126" s="67" t="s">
        <v>115</v>
      </c>
      <c r="C126" s="67" t="s">
        <v>86</v>
      </c>
      <c r="D126" s="67" t="s">
        <v>116</v>
      </c>
      <c r="E126" s="67" t="s">
        <v>167</v>
      </c>
      <c r="F126" s="67" t="s">
        <v>119</v>
      </c>
      <c r="G126" s="67" t="s">
        <v>120</v>
      </c>
      <c r="H126" s="68">
        <f>'Cuota Industrial'!E97</f>
        <v>6.0000000000000001E-3</v>
      </c>
      <c r="I126" s="68">
        <f>'Cuota Industrial'!F97</f>
        <v>0</v>
      </c>
      <c r="J126" s="68">
        <f>'Cuota Industrial'!G97</f>
        <v>0.28600000000000003</v>
      </c>
      <c r="K126" s="68">
        <f>'Cuota Industrial'!H97</f>
        <v>0</v>
      </c>
      <c r="L126" s="68">
        <f>'Cuota Industrial'!I97</f>
        <v>0.28600000000000003</v>
      </c>
      <c r="M126" s="63">
        <f>'Cuota Industrial'!J97</f>
        <v>0</v>
      </c>
      <c r="N126" s="75" t="s">
        <v>156</v>
      </c>
      <c r="O126" s="82">
        <f>Resumen!$B$3</f>
        <v>43508</v>
      </c>
    </row>
    <row r="127" spans="1:15">
      <c r="A127" s="66" t="s">
        <v>132</v>
      </c>
      <c r="B127" s="67" t="s">
        <v>115</v>
      </c>
      <c r="C127" s="67" t="s">
        <v>86</v>
      </c>
      <c r="D127" s="67" t="s">
        <v>116</v>
      </c>
      <c r="E127" s="67" t="s">
        <v>167</v>
      </c>
      <c r="F127" s="67" t="s">
        <v>117</v>
      </c>
      <c r="G127" s="67" t="s">
        <v>120</v>
      </c>
      <c r="H127" s="68">
        <f>'Cuota Industrial'!K96</f>
        <v>0.28600000000000003</v>
      </c>
      <c r="I127" s="68">
        <f>'Cuota Industrial'!L96</f>
        <v>0</v>
      </c>
      <c r="J127" s="68">
        <f>'Cuota Industrial'!M96</f>
        <v>0.28600000000000003</v>
      </c>
      <c r="K127" s="68">
        <f>'Cuota Industrial'!N96</f>
        <v>0</v>
      </c>
      <c r="L127" s="68">
        <f>'Cuota Industrial'!O96</f>
        <v>0.28600000000000003</v>
      </c>
      <c r="M127" s="63">
        <f>'Cuota Industrial'!P96</f>
        <v>0</v>
      </c>
      <c r="N127" s="75" t="s">
        <v>156</v>
      </c>
      <c r="O127" s="82">
        <f>Resumen!$B$3</f>
        <v>43508</v>
      </c>
    </row>
    <row r="128" spans="1:15">
      <c r="A128" s="66" t="s">
        <v>132</v>
      </c>
      <c r="B128" s="67" t="s">
        <v>115</v>
      </c>
      <c r="C128" s="67" t="s">
        <v>86</v>
      </c>
      <c r="D128" s="67" t="s">
        <v>116</v>
      </c>
      <c r="E128" s="67" t="s">
        <v>90</v>
      </c>
      <c r="F128" s="67" t="s">
        <v>117</v>
      </c>
      <c r="G128" s="65" t="s">
        <v>118</v>
      </c>
      <c r="H128" s="68">
        <f>'Cuota Industrial'!E98</f>
        <v>2666.277</v>
      </c>
      <c r="I128" s="68">
        <f>'Cuota Industrial'!F98</f>
        <v>0</v>
      </c>
      <c r="J128" s="68">
        <f>'Cuota Industrial'!G98</f>
        <v>2666.277</v>
      </c>
      <c r="K128" s="68">
        <f>'Cuota Industrial'!H98</f>
        <v>0</v>
      </c>
      <c r="L128" s="68">
        <f>'Cuota Industrial'!I98</f>
        <v>2666.277</v>
      </c>
      <c r="M128" s="63">
        <f>'Cuota Industrial'!J98</f>
        <v>0</v>
      </c>
      <c r="N128" s="75" t="s">
        <v>156</v>
      </c>
      <c r="O128" s="82">
        <f>Resumen!$B$3</f>
        <v>43508</v>
      </c>
    </row>
    <row r="129" spans="1:15">
      <c r="A129" s="66" t="s">
        <v>132</v>
      </c>
      <c r="B129" s="67" t="s">
        <v>115</v>
      </c>
      <c r="C129" s="67" t="s">
        <v>86</v>
      </c>
      <c r="D129" s="67" t="s">
        <v>116</v>
      </c>
      <c r="E129" s="67" t="s">
        <v>90</v>
      </c>
      <c r="F129" s="67" t="s">
        <v>119</v>
      </c>
      <c r="G129" s="67" t="s">
        <v>120</v>
      </c>
      <c r="H129" s="68">
        <f>'Cuota Industrial'!E99</f>
        <v>54.396000000000001</v>
      </c>
      <c r="I129" s="68">
        <f>'Cuota Industrial'!F99</f>
        <v>0</v>
      </c>
      <c r="J129" s="68">
        <f>'Cuota Industrial'!G99</f>
        <v>2720.6730000000002</v>
      </c>
      <c r="K129" s="68">
        <f>'Cuota Industrial'!H99</f>
        <v>0</v>
      </c>
      <c r="L129" s="68">
        <f>'Cuota Industrial'!I99</f>
        <v>2720.6730000000002</v>
      </c>
      <c r="M129" s="63">
        <f>'Cuota Industrial'!J99</f>
        <v>0</v>
      </c>
      <c r="N129" s="75" t="s">
        <v>156</v>
      </c>
      <c r="O129" s="82">
        <f>Resumen!$B$3</f>
        <v>43508</v>
      </c>
    </row>
    <row r="130" spans="1:15">
      <c r="A130" s="66" t="s">
        <v>132</v>
      </c>
      <c r="B130" s="67" t="s">
        <v>115</v>
      </c>
      <c r="C130" s="67" t="s">
        <v>86</v>
      </c>
      <c r="D130" s="67" t="s">
        <v>116</v>
      </c>
      <c r="E130" s="67" t="s">
        <v>90</v>
      </c>
      <c r="F130" s="67" t="s">
        <v>117</v>
      </c>
      <c r="G130" s="67" t="s">
        <v>120</v>
      </c>
      <c r="H130" s="68">
        <f>'Cuota Industrial'!K98</f>
        <v>2720.6730000000002</v>
      </c>
      <c r="I130" s="68">
        <f>'Cuota Industrial'!L98</f>
        <v>0</v>
      </c>
      <c r="J130" s="68">
        <f>'Cuota Industrial'!M98</f>
        <v>2720.6730000000002</v>
      </c>
      <c r="K130" s="68">
        <f>'Cuota Industrial'!N98</f>
        <v>0</v>
      </c>
      <c r="L130" s="68">
        <f>'Cuota Industrial'!O98</f>
        <v>2720.6730000000002</v>
      </c>
      <c r="M130" s="63">
        <f>'Cuota Industrial'!P98</f>
        <v>0</v>
      </c>
      <c r="N130" s="75" t="s">
        <v>156</v>
      </c>
      <c r="O130" s="82">
        <f>Resumen!$B$3</f>
        <v>43508</v>
      </c>
    </row>
    <row r="131" spans="1:15">
      <c r="A131" s="66" t="s">
        <v>132</v>
      </c>
      <c r="B131" s="67" t="s">
        <v>115</v>
      </c>
      <c r="C131" s="67" t="s">
        <v>86</v>
      </c>
      <c r="D131" s="67" t="s">
        <v>116</v>
      </c>
      <c r="E131" s="67" t="s">
        <v>163</v>
      </c>
      <c r="F131" s="67" t="s">
        <v>117</v>
      </c>
      <c r="G131" s="65" t="s">
        <v>118</v>
      </c>
      <c r="H131" s="68">
        <f>'Cuota Industrial'!E100</f>
        <v>1346.7139999999999</v>
      </c>
      <c r="I131" s="68">
        <f>'Cuota Industrial'!F100</f>
        <v>0</v>
      </c>
      <c r="J131" s="68">
        <f>'Cuota Industrial'!G100</f>
        <v>1346.7139999999999</v>
      </c>
      <c r="K131" s="68">
        <f>'Cuota Industrial'!H100</f>
        <v>0</v>
      </c>
      <c r="L131" s="68">
        <f>'Cuota Industrial'!I100</f>
        <v>1346.7139999999999</v>
      </c>
      <c r="M131" s="63">
        <f>'Cuota Industrial'!J100</f>
        <v>0</v>
      </c>
      <c r="N131" s="75" t="s">
        <v>156</v>
      </c>
      <c r="O131" s="82">
        <f>Resumen!$B$3</f>
        <v>43508</v>
      </c>
    </row>
    <row r="132" spans="1:15">
      <c r="A132" s="66" t="s">
        <v>132</v>
      </c>
      <c r="B132" s="67" t="s">
        <v>115</v>
      </c>
      <c r="C132" s="67" t="s">
        <v>86</v>
      </c>
      <c r="D132" s="67" t="s">
        <v>116</v>
      </c>
      <c r="E132" s="67" t="s">
        <v>163</v>
      </c>
      <c r="F132" s="67" t="s">
        <v>119</v>
      </c>
      <c r="G132" s="67" t="s">
        <v>120</v>
      </c>
      <c r="H132" s="68">
        <f>'Cuota Industrial'!E101</f>
        <v>27.475000000000001</v>
      </c>
      <c r="I132" s="68">
        <f>'Cuota Industrial'!F101</f>
        <v>0</v>
      </c>
      <c r="J132" s="68">
        <f>'Cuota Industrial'!G101</f>
        <v>1374.1889999999999</v>
      </c>
      <c r="K132" s="68">
        <f>'Cuota Industrial'!H101</f>
        <v>0</v>
      </c>
      <c r="L132" s="68">
        <f>'Cuota Industrial'!I101</f>
        <v>1374.1889999999999</v>
      </c>
      <c r="M132" s="63">
        <f>'Cuota Industrial'!J101</f>
        <v>0</v>
      </c>
      <c r="N132" s="75" t="s">
        <v>156</v>
      </c>
      <c r="O132" s="82">
        <f>Resumen!$B$3</f>
        <v>43508</v>
      </c>
    </row>
    <row r="133" spans="1:15">
      <c r="A133" s="66" t="s">
        <v>132</v>
      </c>
      <c r="B133" s="67" t="s">
        <v>115</v>
      </c>
      <c r="C133" s="67" t="s">
        <v>86</v>
      </c>
      <c r="D133" s="67" t="s">
        <v>116</v>
      </c>
      <c r="E133" s="67" t="s">
        <v>163</v>
      </c>
      <c r="F133" s="67" t="s">
        <v>117</v>
      </c>
      <c r="G133" s="67" t="s">
        <v>120</v>
      </c>
      <c r="H133" s="68">
        <f>'Cuota Industrial'!K100</f>
        <v>1374.1889999999999</v>
      </c>
      <c r="I133" s="68">
        <f>'Cuota Industrial'!L100</f>
        <v>0</v>
      </c>
      <c r="J133" s="68">
        <f>'Cuota Industrial'!M100</f>
        <v>1374.1889999999999</v>
      </c>
      <c r="K133" s="68">
        <f>'Cuota Industrial'!N100</f>
        <v>0</v>
      </c>
      <c r="L133" s="68">
        <f>'Cuota Industrial'!O100</f>
        <v>1374.1889999999999</v>
      </c>
      <c r="M133" s="63">
        <f>'Cuota Industrial'!P100</f>
        <v>0</v>
      </c>
      <c r="N133" s="75" t="s">
        <v>156</v>
      </c>
      <c r="O133" s="82">
        <f>Resumen!$B$3</f>
        <v>43508</v>
      </c>
    </row>
    <row r="134" spans="1:15">
      <c r="A134" s="66" t="s">
        <v>132</v>
      </c>
      <c r="B134" s="67" t="s">
        <v>115</v>
      </c>
      <c r="C134" s="67" t="s">
        <v>86</v>
      </c>
      <c r="D134" s="67" t="s">
        <v>116</v>
      </c>
      <c r="E134" s="67" t="s">
        <v>169</v>
      </c>
      <c r="F134" s="67" t="s">
        <v>117</v>
      </c>
      <c r="G134" s="65" t="s">
        <v>118</v>
      </c>
      <c r="H134" s="68">
        <f>'Cuota Industrial'!E102</f>
        <v>8681.9860000000008</v>
      </c>
      <c r="I134" s="68">
        <f>'Cuota Industrial'!F102</f>
        <v>0</v>
      </c>
      <c r="J134" s="68">
        <f>'Cuota Industrial'!G102</f>
        <v>8681.9860000000008</v>
      </c>
      <c r="K134" s="68">
        <f>'Cuota Industrial'!H102</f>
        <v>0</v>
      </c>
      <c r="L134" s="68">
        <f>'Cuota Industrial'!I102</f>
        <v>8681.9860000000008</v>
      </c>
      <c r="M134" s="63">
        <f>'Cuota Industrial'!J102</f>
        <v>0</v>
      </c>
      <c r="N134" s="75" t="s">
        <v>156</v>
      </c>
      <c r="O134" s="82">
        <f>Resumen!$B$3</f>
        <v>43508</v>
      </c>
    </row>
    <row r="135" spans="1:15">
      <c r="A135" s="66" t="s">
        <v>132</v>
      </c>
      <c r="B135" s="67" t="s">
        <v>115</v>
      </c>
      <c r="C135" s="67" t="s">
        <v>86</v>
      </c>
      <c r="D135" s="67" t="s">
        <v>116</v>
      </c>
      <c r="E135" s="67" t="s">
        <v>169</v>
      </c>
      <c r="F135" s="67" t="s">
        <v>119</v>
      </c>
      <c r="G135" s="67" t="s">
        <v>120</v>
      </c>
      <c r="H135" s="68">
        <f>'Cuota Industrial'!E103</f>
        <v>177.12699999999998</v>
      </c>
      <c r="I135" s="68">
        <f>'Cuota Industrial'!F103</f>
        <v>0</v>
      </c>
      <c r="J135" s="68">
        <f>'Cuota Industrial'!G103</f>
        <v>8859.1130000000012</v>
      </c>
      <c r="K135" s="68">
        <f>'Cuota Industrial'!H103</f>
        <v>0</v>
      </c>
      <c r="L135" s="68">
        <f>'Cuota Industrial'!I103</f>
        <v>8859.1130000000012</v>
      </c>
      <c r="M135" s="63">
        <f>'Cuota Industrial'!J103</f>
        <v>0</v>
      </c>
      <c r="N135" s="75" t="s">
        <v>156</v>
      </c>
      <c r="O135" s="82">
        <f>Resumen!$B$3</f>
        <v>43508</v>
      </c>
    </row>
    <row r="136" spans="1:15">
      <c r="A136" s="66" t="s">
        <v>132</v>
      </c>
      <c r="B136" s="67" t="s">
        <v>115</v>
      </c>
      <c r="C136" s="67" t="s">
        <v>86</v>
      </c>
      <c r="D136" s="67" t="s">
        <v>116</v>
      </c>
      <c r="E136" s="67" t="s">
        <v>169</v>
      </c>
      <c r="F136" s="67" t="s">
        <v>117</v>
      </c>
      <c r="G136" s="67" t="s">
        <v>120</v>
      </c>
      <c r="H136" s="68">
        <f>'Cuota Industrial'!K102</f>
        <v>8859.1130000000012</v>
      </c>
      <c r="I136" s="68">
        <f>'Cuota Industrial'!L102</f>
        <v>0</v>
      </c>
      <c r="J136" s="68">
        <f>'Cuota Industrial'!M102</f>
        <v>8859.1130000000012</v>
      </c>
      <c r="K136" s="68">
        <f>'Cuota Industrial'!N102</f>
        <v>0</v>
      </c>
      <c r="L136" s="68">
        <f>'Cuota Industrial'!O102</f>
        <v>8859.1130000000012</v>
      </c>
      <c r="M136" s="63">
        <f>'Cuota Industrial'!P102</f>
        <v>0</v>
      </c>
      <c r="N136" s="75" t="s">
        <v>156</v>
      </c>
      <c r="O136" s="82">
        <f>Resumen!$B$3</f>
        <v>43508</v>
      </c>
    </row>
    <row r="137" spans="1:15">
      <c r="A137" s="85" t="s">
        <v>132</v>
      </c>
      <c r="B137" s="67" t="s">
        <v>115</v>
      </c>
      <c r="C137" s="67" t="s">
        <v>86</v>
      </c>
      <c r="D137" s="67" t="s">
        <v>116</v>
      </c>
      <c r="E137" s="67" t="s">
        <v>162</v>
      </c>
      <c r="F137" s="67" t="s">
        <v>117</v>
      </c>
      <c r="G137" s="65" t="s">
        <v>118</v>
      </c>
      <c r="H137" s="68">
        <f>'Cuota Industrial'!E104</f>
        <v>55.222000000000001</v>
      </c>
      <c r="I137" s="68">
        <f>'Cuota Industrial'!F104</f>
        <v>0</v>
      </c>
      <c r="J137" s="68">
        <f>'Cuota Industrial'!G104</f>
        <v>55.222000000000001</v>
      </c>
      <c r="K137" s="68">
        <f>'Cuota Industrial'!H104</f>
        <v>3.4000000000000002E-2</v>
      </c>
      <c r="L137" s="68">
        <f>'Cuota Industrial'!I104</f>
        <v>55.188000000000002</v>
      </c>
      <c r="M137" s="63">
        <f>'Cuota Industrial'!J104</f>
        <v>6.1569664264242516E-4</v>
      </c>
      <c r="N137" s="75" t="s">
        <v>156</v>
      </c>
      <c r="O137" s="82">
        <f>Resumen!$B$3</f>
        <v>43508</v>
      </c>
    </row>
    <row r="138" spans="1:15">
      <c r="A138" s="85" t="s">
        <v>132</v>
      </c>
      <c r="B138" s="67" t="s">
        <v>115</v>
      </c>
      <c r="C138" s="67" t="s">
        <v>86</v>
      </c>
      <c r="D138" s="67" t="s">
        <v>116</v>
      </c>
      <c r="E138" s="67" t="s">
        <v>162</v>
      </c>
      <c r="F138" s="67" t="s">
        <v>119</v>
      </c>
      <c r="G138" s="67" t="s">
        <v>120</v>
      </c>
      <c r="H138" s="68">
        <f>'Cuota Industrial'!E105</f>
        <v>1.127</v>
      </c>
      <c r="I138" s="68">
        <f>'Cuota Industrial'!F105</f>
        <v>0</v>
      </c>
      <c r="J138" s="68">
        <f>'Cuota Industrial'!G105</f>
        <v>56.315000000000005</v>
      </c>
      <c r="K138" s="68">
        <f>'Cuota Industrial'!H105</f>
        <v>0</v>
      </c>
      <c r="L138" s="68">
        <f>'Cuota Industrial'!I105</f>
        <v>56.315000000000005</v>
      </c>
      <c r="M138" s="63">
        <f>'Cuota Industrial'!J105</f>
        <v>0</v>
      </c>
      <c r="N138" s="75" t="s">
        <v>156</v>
      </c>
      <c r="O138" s="82">
        <f>Resumen!$B$3</f>
        <v>43508</v>
      </c>
    </row>
    <row r="139" spans="1:15">
      <c r="A139" s="85" t="s">
        <v>132</v>
      </c>
      <c r="B139" s="67" t="s">
        <v>115</v>
      </c>
      <c r="C139" s="67" t="s">
        <v>86</v>
      </c>
      <c r="D139" s="67" t="s">
        <v>116</v>
      </c>
      <c r="E139" s="67" t="s">
        <v>162</v>
      </c>
      <c r="F139" s="67" t="s">
        <v>117</v>
      </c>
      <c r="G139" s="67" t="s">
        <v>120</v>
      </c>
      <c r="H139" s="68">
        <f>'Cuota Industrial'!K104</f>
        <v>56.349000000000004</v>
      </c>
      <c r="I139" s="68">
        <f>'Cuota Industrial'!L104</f>
        <v>0</v>
      </c>
      <c r="J139" s="68">
        <f>'Cuota Industrial'!M104</f>
        <v>56.349000000000004</v>
      </c>
      <c r="K139" s="68">
        <f>'Cuota Industrial'!N104</f>
        <v>3.4000000000000002E-2</v>
      </c>
      <c r="L139" s="68">
        <f>'Cuota Industrial'!O104</f>
        <v>56.315000000000005</v>
      </c>
      <c r="M139" s="63">
        <f>'Cuota Industrial'!P104</f>
        <v>6.0338249125982716E-4</v>
      </c>
      <c r="N139" s="75" t="s">
        <v>156</v>
      </c>
      <c r="O139" s="82">
        <f>Resumen!$B$3</f>
        <v>43508</v>
      </c>
    </row>
    <row r="140" spans="1:15">
      <c r="A140" s="66" t="s">
        <v>132</v>
      </c>
      <c r="B140" s="67" t="s">
        <v>115</v>
      </c>
      <c r="C140" s="67" t="s">
        <v>86</v>
      </c>
      <c r="D140" s="67" t="s">
        <v>116</v>
      </c>
      <c r="E140" s="67" t="s">
        <v>27</v>
      </c>
      <c r="F140" s="67" t="s">
        <v>117</v>
      </c>
      <c r="G140" s="65" t="s">
        <v>118</v>
      </c>
      <c r="H140" s="68">
        <f>'Cuota Industrial'!E106</f>
        <v>0</v>
      </c>
      <c r="I140" s="68">
        <f>'Cuota Industrial'!F106</f>
        <v>0</v>
      </c>
      <c r="J140" s="68">
        <f>'Cuota Industrial'!G106</f>
        <v>0</v>
      </c>
      <c r="K140" s="68">
        <f>'Cuota Industrial'!H106</f>
        <v>0</v>
      </c>
      <c r="L140" s="68">
        <f>'Cuota Industrial'!I106</f>
        <v>0</v>
      </c>
      <c r="M140" s="63">
        <f>'Cuota Industrial'!J106</f>
        <v>0</v>
      </c>
      <c r="N140" s="75" t="s">
        <v>156</v>
      </c>
      <c r="O140" s="82">
        <f>Resumen!$B$3</f>
        <v>43508</v>
      </c>
    </row>
    <row r="141" spans="1:15">
      <c r="A141" s="66" t="s">
        <v>132</v>
      </c>
      <c r="B141" s="67" t="s">
        <v>115</v>
      </c>
      <c r="C141" s="67" t="s">
        <v>86</v>
      </c>
      <c r="D141" s="67" t="s">
        <v>116</v>
      </c>
      <c r="E141" s="67" t="s">
        <v>27</v>
      </c>
      <c r="F141" s="67" t="s">
        <v>119</v>
      </c>
      <c r="G141" s="67" t="s">
        <v>120</v>
      </c>
      <c r="H141" s="68">
        <f>'Cuota Industrial'!E107</f>
        <v>0</v>
      </c>
      <c r="I141" s="68">
        <f>'Cuota Industrial'!F107</f>
        <v>0</v>
      </c>
      <c r="J141" s="68">
        <f>'Cuota Industrial'!G107</f>
        <v>0</v>
      </c>
      <c r="K141" s="68">
        <f>'Cuota Industrial'!H107</f>
        <v>0</v>
      </c>
      <c r="L141" s="68">
        <f>'Cuota Industrial'!I107</f>
        <v>0</v>
      </c>
      <c r="M141" s="63">
        <f>'Cuota Industrial'!J107</f>
        <v>0</v>
      </c>
      <c r="N141" s="75" t="s">
        <v>156</v>
      </c>
      <c r="O141" s="82">
        <f>Resumen!$B$3</f>
        <v>43508</v>
      </c>
    </row>
    <row r="142" spans="1:15">
      <c r="A142" s="66" t="s">
        <v>132</v>
      </c>
      <c r="B142" s="67" t="s">
        <v>115</v>
      </c>
      <c r="C142" s="67" t="s">
        <v>86</v>
      </c>
      <c r="D142" s="67" t="s">
        <v>116</v>
      </c>
      <c r="E142" s="67" t="s">
        <v>27</v>
      </c>
      <c r="F142" s="67" t="s">
        <v>117</v>
      </c>
      <c r="G142" s="67" t="s">
        <v>120</v>
      </c>
      <c r="H142" s="68">
        <f>'Cuota Industrial'!K106</f>
        <v>0</v>
      </c>
      <c r="I142" s="68">
        <f>'Cuota Industrial'!L106</f>
        <v>0</v>
      </c>
      <c r="J142" s="68">
        <f>'Cuota Industrial'!M106</f>
        <v>0</v>
      </c>
      <c r="K142" s="68">
        <f>'Cuota Industrial'!N106</f>
        <v>0</v>
      </c>
      <c r="L142" s="68">
        <f>'Cuota Industrial'!O106</f>
        <v>0</v>
      </c>
      <c r="M142" s="63">
        <f>'Cuota Industrial'!P106</f>
        <v>0</v>
      </c>
      <c r="N142" s="75" t="s">
        <v>156</v>
      </c>
      <c r="O142" s="82">
        <f>Resumen!$B$3</f>
        <v>43508</v>
      </c>
    </row>
    <row r="143" spans="1:15">
      <c r="A143" s="66" t="s">
        <v>114</v>
      </c>
      <c r="B143" s="67" t="s">
        <v>115</v>
      </c>
      <c r="C143" s="67" t="s">
        <v>133</v>
      </c>
      <c r="D143" s="67" t="s">
        <v>121</v>
      </c>
      <c r="E143" s="65" t="s">
        <v>122</v>
      </c>
      <c r="F143" s="67" t="s">
        <v>117</v>
      </c>
      <c r="G143" s="65" t="s">
        <v>118</v>
      </c>
      <c r="H143" s="68">
        <f>'Cuota Artesanal'!E7</f>
        <v>1260</v>
      </c>
      <c r="I143" s="68">
        <f>'Cuota Artesanal'!F7</f>
        <v>0</v>
      </c>
      <c r="J143" s="68">
        <f>'Cuota Artesanal'!G7</f>
        <v>1260</v>
      </c>
      <c r="K143" s="68">
        <f>'Cuota Artesanal'!H7</f>
        <v>0</v>
      </c>
      <c r="L143" s="68">
        <f>'Cuota Artesanal'!I7</f>
        <v>1260</v>
      </c>
      <c r="M143" s="63">
        <f>'Cuota Artesanal'!J7</f>
        <v>0</v>
      </c>
      <c r="N143" s="75" t="str">
        <f>'Cuota Artesanal'!Q7</f>
        <v>-</v>
      </c>
      <c r="O143" s="82">
        <f>Resumen!$B$3</f>
        <v>43508</v>
      </c>
    </row>
    <row r="144" spans="1:15">
      <c r="A144" s="66" t="s">
        <v>114</v>
      </c>
      <c r="B144" s="67" t="s">
        <v>115</v>
      </c>
      <c r="C144" s="67" t="s">
        <v>133</v>
      </c>
      <c r="D144" s="67" t="s">
        <v>121</v>
      </c>
      <c r="E144" s="65" t="s">
        <v>122</v>
      </c>
      <c r="F144" s="67" t="s">
        <v>119</v>
      </c>
      <c r="G144" s="67" t="s">
        <v>120</v>
      </c>
      <c r="H144" s="68">
        <f>'Cuota Artesanal'!E8</f>
        <v>66</v>
      </c>
      <c r="I144" s="68">
        <f>'Cuota Artesanal'!F8</f>
        <v>0</v>
      </c>
      <c r="J144" s="68">
        <f>'Cuota Artesanal'!G8</f>
        <v>1326</v>
      </c>
      <c r="K144" s="68">
        <f>'Cuota Artesanal'!H8</f>
        <v>0</v>
      </c>
      <c r="L144" s="68">
        <f>'Cuota Artesanal'!I8</f>
        <v>1326</v>
      </c>
      <c r="M144" s="63">
        <f>'Cuota Artesanal'!J8</f>
        <v>0</v>
      </c>
      <c r="N144" s="75" t="str">
        <f>'Cuota Artesanal'!Q8</f>
        <v>-</v>
      </c>
      <c r="O144" s="82">
        <f>Resumen!$B$3</f>
        <v>43508</v>
      </c>
    </row>
    <row r="145" spans="1:15">
      <c r="A145" s="66" t="s">
        <v>114</v>
      </c>
      <c r="B145" s="67" t="s">
        <v>115</v>
      </c>
      <c r="C145" s="67" t="s">
        <v>133</v>
      </c>
      <c r="D145" s="67" t="s">
        <v>121</v>
      </c>
      <c r="E145" s="65" t="s">
        <v>122</v>
      </c>
      <c r="F145" s="67" t="s">
        <v>117</v>
      </c>
      <c r="G145" s="67" t="s">
        <v>120</v>
      </c>
      <c r="H145" s="68">
        <f>'Cuota Artesanal'!K7</f>
        <v>1326</v>
      </c>
      <c r="I145" s="68">
        <f>'Cuota Artesanal'!L7</f>
        <v>0</v>
      </c>
      <c r="J145" s="68">
        <f>'Cuota Artesanal'!M7</f>
        <v>1326</v>
      </c>
      <c r="K145" s="68">
        <f>'Cuota Artesanal'!N7</f>
        <v>0</v>
      </c>
      <c r="L145" s="68">
        <f>'Cuota Artesanal'!O7</f>
        <v>1326</v>
      </c>
      <c r="M145" s="63">
        <f>'Cuota Artesanal'!P7</f>
        <v>0</v>
      </c>
      <c r="N145" s="75" t="s">
        <v>156</v>
      </c>
      <c r="O145" s="82">
        <f>Resumen!$B$3</f>
        <v>43508</v>
      </c>
    </row>
    <row r="146" spans="1:15">
      <c r="A146" s="66" t="s">
        <v>114</v>
      </c>
      <c r="B146" s="67" t="s">
        <v>115</v>
      </c>
      <c r="C146" s="67" t="s">
        <v>35</v>
      </c>
      <c r="D146" s="67" t="s">
        <v>123</v>
      </c>
      <c r="E146" s="65" t="s">
        <v>124</v>
      </c>
      <c r="F146" s="67" t="s">
        <v>117</v>
      </c>
      <c r="G146" s="65" t="s">
        <v>118</v>
      </c>
      <c r="H146" s="68">
        <f>'Cuota Artesanal'!E10</f>
        <v>1260</v>
      </c>
      <c r="I146" s="68">
        <f>'Cuota Artesanal'!F10</f>
        <v>0</v>
      </c>
      <c r="J146" s="68">
        <f>'Cuota Artesanal'!G10</f>
        <v>1260</v>
      </c>
      <c r="K146" s="68">
        <f>'Cuota Artesanal'!H10</f>
        <v>2.5000000000000001E-2</v>
      </c>
      <c r="L146" s="68">
        <f>'Cuota Artesanal'!I10</f>
        <v>1259.9749999999999</v>
      </c>
      <c r="M146" s="63">
        <f>'Cuota Artesanal'!J10</f>
        <v>1.9841269841269841E-5</v>
      </c>
      <c r="N146" s="75" t="str">
        <f>'Cuota Artesanal'!Q10</f>
        <v>-</v>
      </c>
      <c r="O146" s="82">
        <f>Resumen!$B$3</f>
        <v>43508</v>
      </c>
    </row>
    <row r="147" spans="1:15">
      <c r="A147" s="66" t="s">
        <v>114</v>
      </c>
      <c r="B147" s="67" t="s">
        <v>115</v>
      </c>
      <c r="C147" s="67" t="s">
        <v>35</v>
      </c>
      <c r="D147" s="67" t="s">
        <v>123</v>
      </c>
      <c r="E147" s="65" t="s">
        <v>124</v>
      </c>
      <c r="F147" s="67" t="s">
        <v>119</v>
      </c>
      <c r="G147" s="67" t="s">
        <v>120</v>
      </c>
      <c r="H147" s="68">
        <f>'Cuota Artesanal'!E11</f>
        <v>66</v>
      </c>
      <c r="I147" s="68">
        <f>'Cuota Artesanal'!F11</f>
        <v>0</v>
      </c>
      <c r="J147" s="68">
        <f>'Cuota Artesanal'!G11</f>
        <v>1325.9749999999999</v>
      </c>
      <c r="K147" s="68">
        <f>'Cuota Artesanal'!H11</f>
        <v>0</v>
      </c>
      <c r="L147" s="68">
        <f>'Cuota Artesanal'!I11</f>
        <v>1325.9749999999999</v>
      </c>
      <c r="M147" s="63">
        <f>'Cuota Artesanal'!J11</f>
        <v>0</v>
      </c>
      <c r="N147" s="75" t="str">
        <f>'Cuota Artesanal'!Q11</f>
        <v>-</v>
      </c>
      <c r="O147" s="82">
        <f>Resumen!$B$3</f>
        <v>43508</v>
      </c>
    </row>
    <row r="148" spans="1:15">
      <c r="A148" s="66" t="s">
        <v>114</v>
      </c>
      <c r="B148" s="67" t="s">
        <v>115</v>
      </c>
      <c r="C148" s="67" t="s">
        <v>35</v>
      </c>
      <c r="D148" s="67" t="s">
        <v>123</v>
      </c>
      <c r="E148" s="65" t="s">
        <v>124</v>
      </c>
      <c r="F148" s="67" t="s">
        <v>117</v>
      </c>
      <c r="G148" s="67" t="s">
        <v>120</v>
      </c>
      <c r="H148" s="68">
        <f>'Cuota Artesanal'!K7</f>
        <v>1326</v>
      </c>
      <c r="I148" s="68">
        <f>'Cuota Artesanal'!L10</f>
        <v>0</v>
      </c>
      <c r="J148" s="68">
        <f>'Cuota Artesanal'!M10</f>
        <v>1326</v>
      </c>
      <c r="K148" s="68">
        <f>'Cuota Artesanal'!N10</f>
        <v>2.5000000000000001E-2</v>
      </c>
      <c r="L148" s="68">
        <f>'Cuota Artesanal'!O10</f>
        <v>1325.9749999999999</v>
      </c>
      <c r="M148" s="63">
        <f>'Cuota Artesanal'!P10</f>
        <v>1.885369532428356E-5</v>
      </c>
      <c r="N148" s="75" t="s">
        <v>156</v>
      </c>
      <c r="O148" s="82">
        <f>Resumen!$B$3</f>
        <v>43508</v>
      </c>
    </row>
    <row r="149" spans="1:15">
      <c r="A149" s="66" t="s">
        <v>126</v>
      </c>
      <c r="B149" s="67" t="s">
        <v>115</v>
      </c>
      <c r="C149" s="67" t="s">
        <v>36</v>
      </c>
      <c r="D149" s="67" t="s">
        <v>123</v>
      </c>
      <c r="E149" s="65" t="s">
        <v>136</v>
      </c>
      <c r="F149" s="67" t="s">
        <v>117</v>
      </c>
      <c r="G149" s="65" t="s">
        <v>118</v>
      </c>
      <c r="H149" s="68">
        <f>'Cuota Artesanal'!E15</f>
        <v>3328</v>
      </c>
      <c r="I149" s="68">
        <f>'Cuota Artesanal'!F15</f>
        <v>0</v>
      </c>
      <c r="J149" s="68">
        <f>'Cuota Artesanal'!G10</f>
        <v>1260</v>
      </c>
      <c r="K149" s="68">
        <f>'Cuota Artesanal'!H15</f>
        <v>1.9690000000000001</v>
      </c>
      <c r="L149" s="68">
        <f>'Cuota Artesanal'!I15</f>
        <v>3326.0309999999999</v>
      </c>
      <c r="M149" s="63">
        <f>'Cuota Artesanal'!J15</f>
        <v>5.9164663461538469E-4</v>
      </c>
      <c r="N149" s="75" t="str">
        <f>'Cuota Artesanal'!Q15</f>
        <v>-</v>
      </c>
      <c r="O149" s="82">
        <f>Resumen!$B$3</f>
        <v>43508</v>
      </c>
    </row>
    <row r="150" spans="1:15">
      <c r="A150" s="66" t="s">
        <v>126</v>
      </c>
      <c r="B150" s="67" t="s">
        <v>115</v>
      </c>
      <c r="C150" s="67" t="s">
        <v>36</v>
      </c>
      <c r="D150" s="67" t="s">
        <v>123</v>
      </c>
      <c r="E150" s="65" t="s">
        <v>136</v>
      </c>
      <c r="F150" s="67" t="s">
        <v>119</v>
      </c>
      <c r="G150" s="67" t="s">
        <v>120</v>
      </c>
      <c r="H150" s="68">
        <f>'Cuota Artesanal'!E16</f>
        <v>175</v>
      </c>
      <c r="I150" s="68">
        <f>'Cuota Artesanal'!F16</f>
        <v>0</v>
      </c>
      <c r="J150" s="68">
        <f>'Cuota Artesanal'!G16</f>
        <v>3501.0309999999999</v>
      </c>
      <c r="K150" s="68">
        <f>'Cuota Artesanal'!H16</f>
        <v>0</v>
      </c>
      <c r="L150" s="68">
        <f>'Cuota Artesanal'!I16</f>
        <v>3501.0309999999999</v>
      </c>
      <c r="M150" s="63">
        <f>'Cuota Artesanal'!J16</f>
        <v>0</v>
      </c>
      <c r="N150" s="75" t="str">
        <f>'Cuota Artesanal'!Q16</f>
        <v>-</v>
      </c>
      <c r="O150" s="82">
        <f>Resumen!$B$3</f>
        <v>43508</v>
      </c>
    </row>
    <row r="151" spans="1:15">
      <c r="A151" s="66" t="s">
        <v>126</v>
      </c>
      <c r="B151" s="67" t="s">
        <v>115</v>
      </c>
      <c r="C151" s="67" t="s">
        <v>36</v>
      </c>
      <c r="D151" s="67" t="s">
        <v>123</v>
      </c>
      <c r="E151" s="65" t="s">
        <v>136</v>
      </c>
      <c r="F151" s="67" t="s">
        <v>117</v>
      </c>
      <c r="G151" s="67" t="s">
        <v>120</v>
      </c>
      <c r="H151" s="68">
        <f>'Cuota Artesanal'!K15</f>
        <v>3503</v>
      </c>
      <c r="I151" s="68">
        <f>'Cuota Artesanal'!L15</f>
        <v>0</v>
      </c>
      <c r="J151" s="68">
        <f>'Cuota Artesanal'!M15</f>
        <v>3503</v>
      </c>
      <c r="K151" s="68">
        <f>'Cuota Artesanal'!N15</f>
        <v>1.9690000000000001</v>
      </c>
      <c r="L151" s="68">
        <f>'Cuota Artesanal'!O15</f>
        <v>3501.0309999999999</v>
      </c>
      <c r="M151" s="63">
        <f>'Cuota Artesanal'!P15</f>
        <v>5.6208963745361126E-4</v>
      </c>
      <c r="N151" s="75" t="s">
        <v>156</v>
      </c>
      <c r="O151" s="82">
        <f>Resumen!$B$3</f>
        <v>43508</v>
      </c>
    </row>
    <row r="152" spans="1:15" ht="30">
      <c r="A152" s="66" t="s">
        <v>126</v>
      </c>
      <c r="B152" s="67" t="s">
        <v>115</v>
      </c>
      <c r="C152" s="67" t="s">
        <v>137</v>
      </c>
      <c r="D152" s="67" t="s">
        <v>157</v>
      </c>
      <c r="E152" s="103" t="s">
        <v>174</v>
      </c>
      <c r="F152" s="67" t="s">
        <v>117</v>
      </c>
      <c r="G152" s="65" t="s">
        <v>118</v>
      </c>
      <c r="H152" s="68">
        <f>'Cuota Artesanal'!E18</f>
        <v>1144.913</v>
      </c>
      <c r="I152" s="68">
        <f>'Cuota Artesanal'!F18</f>
        <v>0</v>
      </c>
      <c r="J152" s="68">
        <f>'Cuota Artesanal'!G18</f>
        <v>1144.913</v>
      </c>
      <c r="K152" s="68">
        <f>'Cuota Artesanal'!H18</f>
        <v>0.20499999999999999</v>
      </c>
      <c r="L152" s="68">
        <f>'Cuota Artesanal'!I18</f>
        <v>1144.7080000000001</v>
      </c>
      <c r="M152" s="63">
        <f>'Cuota Artesanal'!J18</f>
        <v>1.7905290620335342E-4</v>
      </c>
      <c r="N152" s="75" t="str">
        <f>'Cuota Artesanal'!Q18</f>
        <v>-</v>
      </c>
      <c r="O152" s="82">
        <f>Resumen!$B$3</f>
        <v>43508</v>
      </c>
    </row>
    <row r="153" spans="1:15" ht="30">
      <c r="A153" s="66" t="s">
        <v>126</v>
      </c>
      <c r="B153" s="67" t="s">
        <v>115</v>
      </c>
      <c r="C153" s="67" t="s">
        <v>137</v>
      </c>
      <c r="D153" s="67" t="s">
        <v>157</v>
      </c>
      <c r="E153" s="81" t="s">
        <v>174</v>
      </c>
      <c r="F153" s="67" t="s">
        <v>119</v>
      </c>
      <c r="G153" s="67" t="s">
        <v>120</v>
      </c>
      <c r="H153" s="68">
        <f>'Cuota Artesanal'!E19</f>
        <v>60.296999999999997</v>
      </c>
      <c r="I153" s="68">
        <f>'Cuota Artesanal'!F19</f>
        <v>0</v>
      </c>
      <c r="J153" s="68">
        <f>'Cuota Artesanal'!G19</f>
        <v>1205.0050000000001</v>
      </c>
      <c r="K153" s="68">
        <f>'Cuota Artesanal'!H19</f>
        <v>0</v>
      </c>
      <c r="L153" s="68">
        <f>'Cuota Artesanal'!I19</f>
        <v>1205.0050000000001</v>
      </c>
      <c r="M153" s="63">
        <f>'Cuota Artesanal'!J19</f>
        <v>0</v>
      </c>
      <c r="N153" s="75" t="str">
        <f>'Cuota Artesanal'!Q19</f>
        <v>-</v>
      </c>
      <c r="O153" s="82">
        <f>Resumen!$B$3</f>
        <v>43508</v>
      </c>
    </row>
    <row r="154" spans="1:15" ht="30">
      <c r="A154" s="66" t="s">
        <v>126</v>
      </c>
      <c r="B154" s="67" t="s">
        <v>115</v>
      </c>
      <c r="C154" s="67" t="s">
        <v>137</v>
      </c>
      <c r="D154" s="67" t="s">
        <v>157</v>
      </c>
      <c r="E154" s="81" t="s">
        <v>174</v>
      </c>
      <c r="F154" s="67" t="s">
        <v>117</v>
      </c>
      <c r="G154" s="67" t="s">
        <v>120</v>
      </c>
      <c r="H154" s="68">
        <f>'Cuota Artesanal'!K18</f>
        <v>1205.21</v>
      </c>
      <c r="I154" s="68">
        <f>'Cuota Artesanal'!L18</f>
        <v>0</v>
      </c>
      <c r="J154" s="68">
        <f>'Cuota Artesanal'!M18</f>
        <v>1205.21</v>
      </c>
      <c r="K154" s="68">
        <f>'Cuota Artesanal'!N18</f>
        <v>0.20499999999999999</v>
      </c>
      <c r="L154" s="68">
        <f>'Cuota Artesanal'!O18</f>
        <v>1205.0050000000001</v>
      </c>
      <c r="M154" s="63">
        <f>'Cuota Artesanal'!P18</f>
        <v>1.7009483824395746E-4</v>
      </c>
      <c r="N154" s="75" t="s">
        <v>156</v>
      </c>
      <c r="O154" s="82">
        <f>Resumen!$B$3</f>
        <v>43508</v>
      </c>
    </row>
    <row r="155" spans="1:15" ht="30">
      <c r="A155" s="66" t="s">
        <v>126</v>
      </c>
      <c r="B155" s="67" t="s">
        <v>115</v>
      </c>
      <c r="C155" s="67" t="s">
        <v>137</v>
      </c>
      <c r="D155" s="67" t="s">
        <v>157</v>
      </c>
      <c r="E155" s="81" t="s">
        <v>139</v>
      </c>
      <c r="F155" s="67" t="s">
        <v>117</v>
      </c>
      <c r="G155" s="65" t="s">
        <v>118</v>
      </c>
      <c r="H155" s="68">
        <f>'Cuota Artesanal'!E20</f>
        <v>5260.9709999999995</v>
      </c>
      <c r="I155" s="68">
        <f>'Cuota Artesanal'!F20</f>
        <v>0</v>
      </c>
      <c r="J155" s="68">
        <f>'Cuota Artesanal'!G20</f>
        <v>5260.9709999999995</v>
      </c>
      <c r="K155" s="68">
        <f>'Cuota Artesanal'!H20</f>
        <v>1932.51</v>
      </c>
      <c r="L155" s="68">
        <f>'Cuota Artesanal'!I20</f>
        <v>3328.4609999999993</v>
      </c>
      <c r="M155" s="63">
        <f>'Cuota Artesanal'!J20</f>
        <v>0.36732952909263333</v>
      </c>
      <c r="N155" s="75" t="str">
        <f>'Cuota Artesanal'!Q20</f>
        <v>-</v>
      </c>
      <c r="O155" s="82">
        <f>Resumen!$B$3</f>
        <v>43508</v>
      </c>
    </row>
    <row r="156" spans="1:15" ht="30">
      <c r="A156" s="66" t="s">
        <v>126</v>
      </c>
      <c r="B156" s="67" t="s">
        <v>115</v>
      </c>
      <c r="C156" s="67" t="s">
        <v>137</v>
      </c>
      <c r="D156" s="67" t="s">
        <v>157</v>
      </c>
      <c r="E156" s="81" t="s">
        <v>139</v>
      </c>
      <c r="F156" s="67" t="s">
        <v>119</v>
      </c>
      <c r="G156" s="67" t="s">
        <v>120</v>
      </c>
      <c r="H156" s="68">
        <f>'Cuota Artesanal'!E21</f>
        <v>277.07100000000003</v>
      </c>
      <c r="I156" s="68">
        <f>'Cuota Artesanal'!F21</f>
        <v>0</v>
      </c>
      <c r="J156" s="68">
        <f>'Cuota Artesanal'!G21</f>
        <v>3605.5319999999992</v>
      </c>
      <c r="K156" s="68">
        <f>'Cuota Artesanal'!H21</f>
        <v>0</v>
      </c>
      <c r="L156" s="68">
        <f>'Cuota Artesanal'!I21</f>
        <v>3605.5319999999992</v>
      </c>
      <c r="M156" s="63">
        <f>'Cuota Artesanal'!J21</f>
        <v>0</v>
      </c>
      <c r="N156" s="75" t="str">
        <f>'Cuota Artesanal'!Q21</f>
        <v>-</v>
      </c>
      <c r="O156" s="82">
        <f>Resumen!$B$3</f>
        <v>43508</v>
      </c>
    </row>
    <row r="157" spans="1:15" ht="30">
      <c r="A157" s="66" t="s">
        <v>126</v>
      </c>
      <c r="B157" s="67" t="s">
        <v>115</v>
      </c>
      <c r="C157" s="67" t="s">
        <v>137</v>
      </c>
      <c r="D157" s="67" t="s">
        <v>157</v>
      </c>
      <c r="E157" s="81" t="s">
        <v>139</v>
      </c>
      <c r="F157" s="67" t="s">
        <v>117</v>
      </c>
      <c r="G157" s="67" t="s">
        <v>120</v>
      </c>
      <c r="H157" s="68">
        <f>'Cuota Artesanal'!K20</f>
        <v>5538.0419999999995</v>
      </c>
      <c r="I157" s="68">
        <f>'Cuota Artesanal'!L20</f>
        <v>0</v>
      </c>
      <c r="J157" s="68">
        <f>'Cuota Artesanal'!M20</f>
        <v>5538.0419999999995</v>
      </c>
      <c r="K157" s="68">
        <f>'Cuota Artesanal'!N20</f>
        <v>1932.51</v>
      </c>
      <c r="L157" s="68">
        <f>'Cuota Artesanal'!O20</f>
        <v>3605.5319999999992</v>
      </c>
      <c r="M157" s="63">
        <f>'Cuota Artesanal'!P20</f>
        <v>0.34895184976928673</v>
      </c>
      <c r="N157" s="75" t="s">
        <v>156</v>
      </c>
      <c r="O157" s="82">
        <f>Resumen!$B$3</f>
        <v>43508</v>
      </c>
    </row>
    <row r="158" spans="1:15">
      <c r="A158" s="66" t="s">
        <v>126</v>
      </c>
      <c r="B158" s="67" t="s">
        <v>115</v>
      </c>
      <c r="C158" s="67" t="s">
        <v>137</v>
      </c>
      <c r="D158" s="67" t="s">
        <v>152</v>
      </c>
      <c r="E158" s="67" t="s">
        <v>152</v>
      </c>
      <c r="F158" s="67" t="s">
        <v>117</v>
      </c>
      <c r="G158" s="65" t="s">
        <v>118</v>
      </c>
      <c r="H158" s="68">
        <f>'Cuota Artesanal'!E22</f>
        <v>1360.116</v>
      </c>
      <c r="I158" s="68">
        <f>'Cuota Artesanal'!F22</f>
        <v>0</v>
      </c>
      <c r="J158" s="68">
        <f>'Cuota Artesanal'!G22</f>
        <v>1360.116</v>
      </c>
      <c r="K158" s="68">
        <f>'Cuota Artesanal'!H22</f>
        <v>1.64</v>
      </c>
      <c r="L158" s="68">
        <f>'Cuota Artesanal'!I22</f>
        <v>1358.4759999999999</v>
      </c>
      <c r="M158" s="63">
        <f>'Cuota Artesanal'!J22</f>
        <v>1.2057795070420463E-3</v>
      </c>
      <c r="N158" s="75" t="str">
        <f>'Cuota Artesanal'!Q22</f>
        <v>-</v>
      </c>
      <c r="O158" s="82">
        <f>Resumen!$B$3</f>
        <v>43508</v>
      </c>
    </row>
    <row r="159" spans="1:15">
      <c r="A159" s="66" t="s">
        <v>126</v>
      </c>
      <c r="B159" s="67" t="s">
        <v>115</v>
      </c>
      <c r="C159" s="67" t="s">
        <v>137</v>
      </c>
      <c r="D159" s="67" t="s">
        <v>152</v>
      </c>
      <c r="E159" s="67" t="s">
        <v>152</v>
      </c>
      <c r="F159" s="67" t="s">
        <v>119</v>
      </c>
      <c r="G159" s="67" t="s">
        <v>120</v>
      </c>
      <c r="H159" s="68">
        <f>'Cuota Artesanal'!E23</f>
        <v>71.631</v>
      </c>
      <c r="I159" s="68">
        <f>'Cuota Artesanal'!F23</f>
        <v>0</v>
      </c>
      <c r="J159" s="68">
        <f>'Cuota Artesanal'!G23</f>
        <v>1430.107</v>
      </c>
      <c r="K159" s="68">
        <f>'Cuota Artesanal'!H23</f>
        <v>0</v>
      </c>
      <c r="L159" s="68">
        <f>'Cuota Artesanal'!I23</f>
        <v>1430.107</v>
      </c>
      <c r="M159" s="63">
        <f>'Cuota Artesanal'!J23</f>
        <v>0</v>
      </c>
      <c r="N159" s="75" t="str">
        <f>'Cuota Artesanal'!Q23</f>
        <v>-</v>
      </c>
      <c r="O159" s="82">
        <f>Resumen!$B$3</f>
        <v>43508</v>
      </c>
    </row>
    <row r="160" spans="1:15">
      <c r="A160" s="66" t="s">
        <v>126</v>
      </c>
      <c r="B160" s="67" t="s">
        <v>115</v>
      </c>
      <c r="C160" s="67" t="s">
        <v>137</v>
      </c>
      <c r="D160" s="67" t="s">
        <v>152</v>
      </c>
      <c r="E160" s="67" t="s">
        <v>152</v>
      </c>
      <c r="F160" s="67" t="s">
        <v>117</v>
      </c>
      <c r="G160" s="67" t="s">
        <v>120</v>
      </c>
      <c r="H160" s="68">
        <f>'Cuota Artesanal'!K22</f>
        <v>1431.7470000000001</v>
      </c>
      <c r="I160" s="68">
        <f>'Cuota Artesanal'!L22</f>
        <v>0</v>
      </c>
      <c r="J160" s="68">
        <f>'Cuota Artesanal'!M22</f>
        <v>1431.7470000000001</v>
      </c>
      <c r="K160" s="68">
        <f>'Cuota Artesanal'!N22</f>
        <v>1.64</v>
      </c>
      <c r="L160" s="68">
        <f>'Cuota Artesanal'!O22</f>
        <v>1430.107</v>
      </c>
      <c r="M160" s="63">
        <f>'Cuota Artesanal'!P22</f>
        <v>1.14545377081286E-3</v>
      </c>
      <c r="N160" s="75" t="s">
        <v>156</v>
      </c>
      <c r="O160" s="82">
        <f>Resumen!$B$3</f>
        <v>43508</v>
      </c>
    </row>
    <row r="161" spans="1:15">
      <c r="A161" s="66" t="s">
        <v>130</v>
      </c>
      <c r="B161" s="67" t="s">
        <v>115</v>
      </c>
      <c r="C161" s="67" t="s">
        <v>140</v>
      </c>
      <c r="D161" s="67" t="s">
        <v>157</v>
      </c>
      <c r="E161" s="69" t="s">
        <v>182</v>
      </c>
      <c r="F161" s="67" t="s">
        <v>117</v>
      </c>
      <c r="G161" s="65" t="s">
        <v>118</v>
      </c>
      <c r="H161" s="68">
        <f>'Cuota Artesanal'!E25</f>
        <v>2976.4140000000002</v>
      </c>
      <c r="I161" s="68">
        <f>'Cuota Artesanal'!F25</f>
        <v>0</v>
      </c>
      <c r="J161" s="68">
        <f>'Cuota Artesanal'!G25</f>
        <v>2976.4140000000002</v>
      </c>
      <c r="K161" s="68">
        <f>'Cuota Artesanal'!H25</f>
        <v>25.917999999999999</v>
      </c>
      <c r="L161" s="68">
        <f>'Cuota Artesanal'!I25</f>
        <v>2950.4960000000001</v>
      </c>
      <c r="M161" s="63">
        <f>'Cuota Artesanal'!J25</f>
        <v>8.707794009838685E-3</v>
      </c>
      <c r="N161" s="74" t="str">
        <f>'Cuota Artesanal'!Q25</f>
        <v>-</v>
      </c>
      <c r="O161" s="82">
        <f>Resumen!$B$3</f>
        <v>43508</v>
      </c>
    </row>
    <row r="162" spans="1:15">
      <c r="A162" s="66" t="s">
        <v>130</v>
      </c>
      <c r="B162" s="67" t="s">
        <v>115</v>
      </c>
      <c r="C162" s="67" t="s">
        <v>140</v>
      </c>
      <c r="D162" s="67" t="s">
        <v>157</v>
      </c>
      <c r="E162" s="69" t="s">
        <v>182</v>
      </c>
      <c r="F162" s="67" t="s">
        <v>119</v>
      </c>
      <c r="G162" s="67" t="s">
        <v>120</v>
      </c>
      <c r="H162" s="68">
        <f>'Cuota Artesanal'!E26</f>
        <v>157.125</v>
      </c>
      <c r="I162" s="68">
        <f>'Cuota Artesanal'!F26</f>
        <v>0</v>
      </c>
      <c r="J162" s="68">
        <f>'Cuota Artesanal'!G26</f>
        <v>3107.6210000000001</v>
      </c>
      <c r="K162" s="68">
        <f>'Cuota Artesanal'!H26</f>
        <v>0</v>
      </c>
      <c r="L162" s="68">
        <f>'Cuota Artesanal'!I26</f>
        <v>3107.6210000000001</v>
      </c>
      <c r="M162" s="63">
        <f>'Cuota Artesanal'!J26</f>
        <v>0</v>
      </c>
      <c r="N162" s="74" t="str">
        <f>'Cuota Artesanal'!Q26</f>
        <v>-</v>
      </c>
      <c r="O162" s="82">
        <f>Resumen!$B$3</f>
        <v>43508</v>
      </c>
    </row>
    <row r="163" spans="1:15">
      <c r="A163" s="66" t="s">
        <v>130</v>
      </c>
      <c r="B163" s="67" t="s">
        <v>115</v>
      </c>
      <c r="C163" s="67" t="s">
        <v>140</v>
      </c>
      <c r="D163" s="67" t="s">
        <v>157</v>
      </c>
      <c r="E163" s="69" t="s">
        <v>182</v>
      </c>
      <c r="F163" s="67" t="s">
        <v>117</v>
      </c>
      <c r="G163" s="67" t="s">
        <v>120</v>
      </c>
      <c r="H163" s="68">
        <f>'Cuota Artesanal'!K25</f>
        <v>3133.5390000000002</v>
      </c>
      <c r="I163" s="68">
        <f>'Cuota Artesanal'!L25</f>
        <v>0</v>
      </c>
      <c r="J163" s="68">
        <f>'Cuota Artesanal'!M25</f>
        <v>3133.5390000000002</v>
      </c>
      <c r="K163" s="68">
        <f>'Cuota Artesanal'!N25</f>
        <v>25.917999999999999</v>
      </c>
      <c r="L163" s="68">
        <f>'Cuota Artesanal'!O25</f>
        <v>3107.6210000000001</v>
      </c>
      <c r="M163" s="63">
        <f>'Cuota Artesanal'!P25</f>
        <v>8.2711592228467551E-3</v>
      </c>
      <c r="N163" s="75" t="s">
        <v>156</v>
      </c>
      <c r="O163" s="82">
        <f>Resumen!$B$3</f>
        <v>43508</v>
      </c>
    </row>
    <row r="164" spans="1:15">
      <c r="A164" s="66" t="s">
        <v>130</v>
      </c>
      <c r="B164" s="67" t="s">
        <v>115</v>
      </c>
      <c r="C164" s="67" t="s">
        <v>140</v>
      </c>
      <c r="D164" s="67" t="s">
        <v>157</v>
      </c>
      <c r="E164" s="69" t="s">
        <v>141</v>
      </c>
      <c r="F164" s="67" t="s">
        <v>117</v>
      </c>
      <c r="G164" s="65" t="s">
        <v>118</v>
      </c>
      <c r="H164" s="68">
        <f>'Cuota Artesanal'!E29</f>
        <v>103.71</v>
      </c>
      <c r="I164" s="68">
        <f>'Cuota Artesanal'!F29</f>
        <v>0</v>
      </c>
      <c r="J164" s="68">
        <f>'Cuota Artesanal'!G29</f>
        <v>103.71</v>
      </c>
      <c r="K164" s="68">
        <f>'Cuota Artesanal'!H29</f>
        <v>4.4000000000000004</v>
      </c>
      <c r="L164" s="68">
        <f>'Cuota Artesanal'!I29</f>
        <v>99.309999999999988</v>
      </c>
      <c r="M164" s="63">
        <f>'Cuota Artesanal'!J29</f>
        <v>4.2425995564555015E-2</v>
      </c>
      <c r="N164" s="75" t="str">
        <f>'Cuota Artesanal'!Q29</f>
        <v>-</v>
      </c>
      <c r="O164" s="82">
        <f>Resumen!$B$3</f>
        <v>43508</v>
      </c>
    </row>
    <row r="165" spans="1:15">
      <c r="A165" s="66" t="s">
        <v>130</v>
      </c>
      <c r="B165" s="67" t="s">
        <v>115</v>
      </c>
      <c r="C165" s="67" t="s">
        <v>140</v>
      </c>
      <c r="D165" s="67" t="s">
        <v>157</v>
      </c>
      <c r="E165" s="69" t="s">
        <v>141</v>
      </c>
      <c r="F165" s="67" t="s">
        <v>119</v>
      </c>
      <c r="G165" s="67" t="s">
        <v>120</v>
      </c>
      <c r="H165" s="68">
        <f>'Cuota Artesanal'!E30</f>
        <v>5.4749999999999996</v>
      </c>
      <c r="I165" s="68">
        <f>'Cuota Artesanal'!F30</f>
        <v>0</v>
      </c>
      <c r="J165" s="68">
        <f>'Cuota Artesanal'!G30</f>
        <v>104.78499999999998</v>
      </c>
      <c r="K165" s="68">
        <f>'Cuota Artesanal'!H30</f>
        <v>0</v>
      </c>
      <c r="L165" s="68">
        <f>'Cuota Artesanal'!I30</f>
        <v>104.78499999999998</v>
      </c>
      <c r="M165" s="63">
        <f>'Cuota Artesanal'!J30</f>
        <v>0</v>
      </c>
      <c r="N165" s="75" t="str">
        <f>'Cuota Artesanal'!Q30</f>
        <v>-</v>
      </c>
      <c r="O165" s="82">
        <f>Resumen!$B$3</f>
        <v>43508</v>
      </c>
    </row>
    <row r="166" spans="1:15">
      <c r="A166" s="66" t="s">
        <v>130</v>
      </c>
      <c r="B166" s="67" t="s">
        <v>115</v>
      </c>
      <c r="C166" s="67" t="s">
        <v>140</v>
      </c>
      <c r="D166" s="67" t="s">
        <v>157</v>
      </c>
      <c r="E166" s="69" t="s">
        <v>141</v>
      </c>
      <c r="F166" s="67" t="s">
        <v>117</v>
      </c>
      <c r="G166" s="67" t="s">
        <v>120</v>
      </c>
      <c r="H166" s="68">
        <f>'Cuota Artesanal'!K29</f>
        <v>109.18499999999999</v>
      </c>
      <c r="I166" s="68">
        <f>'Cuota Artesanal'!M29</f>
        <v>109.18499999999999</v>
      </c>
      <c r="J166" s="68">
        <f>'Cuota Artesanal'!M29</f>
        <v>109.18499999999999</v>
      </c>
      <c r="K166" s="68">
        <f>'Cuota Artesanal'!N29</f>
        <v>4.4000000000000004</v>
      </c>
      <c r="L166" s="68">
        <f>'Cuota Artesanal'!O29</f>
        <v>104.78499999999998</v>
      </c>
      <c r="M166" s="63">
        <f>'Cuota Artesanal'!P29</f>
        <v>4.0298575811695755E-2</v>
      </c>
      <c r="N166" s="75" t="s">
        <v>156</v>
      </c>
      <c r="O166" s="82">
        <f>Resumen!$B$3</f>
        <v>43508</v>
      </c>
    </row>
    <row r="167" spans="1:15" ht="30">
      <c r="A167" s="66" t="s">
        <v>130</v>
      </c>
      <c r="B167" s="67" t="s">
        <v>115</v>
      </c>
      <c r="C167" s="67" t="s">
        <v>140</v>
      </c>
      <c r="D167" s="67" t="s">
        <v>157</v>
      </c>
      <c r="E167" s="69" t="s">
        <v>142</v>
      </c>
      <c r="F167" s="67" t="s">
        <v>117</v>
      </c>
      <c r="G167" s="65" t="s">
        <v>118</v>
      </c>
      <c r="H167" s="68">
        <f>'Cuota Artesanal'!E31</f>
        <v>79.5</v>
      </c>
      <c r="I167" s="68">
        <f>'Cuota Artesanal'!F31</f>
        <v>0</v>
      </c>
      <c r="J167" s="68">
        <f>'Cuota Artesanal'!G31</f>
        <v>79.5</v>
      </c>
      <c r="K167" s="68">
        <f>'Cuota Artesanal'!H31</f>
        <v>0</v>
      </c>
      <c r="L167" s="68">
        <f>'Cuota Artesanal'!I31</f>
        <v>79.5</v>
      </c>
      <c r="M167" s="63">
        <f>'Cuota Artesanal'!J31</f>
        <v>0</v>
      </c>
      <c r="N167" s="75" t="str">
        <f>'Cuota Artesanal'!Q31</f>
        <v>-</v>
      </c>
      <c r="O167" s="82">
        <f>Resumen!$B$3</f>
        <v>43508</v>
      </c>
    </row>
    <row r="168" spans="1:15" ht="30">
      <c r="A168" s="66" t="s">
        <v>130</v>
      </c>
      <c r="B168" s="67" t="s">
        <v>115</v>
      </c>
      <c r="C168" s="67" t="s">
        <v>140</v>
      </c>
      <c r="D168" s="67" t="s">
        <v>157</v>
      </c>
      <c r="E168" s="69" t="s">
        <v>142</v>
      </c>
      <c r="F168" s="67" t="s">
        <v>119</v>
      </c>
      <c r="G168" s="67" t="s">
        <v>120</v>
      </c>
      <c r="H168" s="68">
        <f>'Cuota Artesanal'!E32</f>
        <v>4.1970000000000001</v>
      </c>
      <c r="I168" s="68">
        <f>'Cuota Artesanal'!F32</f>
        <v>0</v>
      </c>
      <c r="J168" s="68">
        <f>'Cuota Artesanal'!G32</f>
        <v>83.697000000000003</v>
      </c>
      <c r="K168" s="68">
        <f>'Cuota Artesanal'!H32</f>
        <v>0</v>
      </c>
      <c r="L168" s="68">
        <f>'Cuota Artesanal'!I32</f>
        <v>83.697000000000003</v>
      </c>
      <c r="M168" s="63">
        <f>'Cuota Artesanal'!J32</f>
        <v>0</v>
      </c>
      <c r="N168" s="75" t="str">
        <f>'Cuota Artesanal'!Q32</f>
        <v>-</v>
      </c>
      <c r="O168" s="82">
        <f>Resumen!$B$3</f>
        <v>43508</v>
      </c>
    </row>
    <row r="169" spans="1:15" ht="30">
      <c r="A169" s="66" t="s">
        <v>130</v>
      </c>
      <c r="B169" s="67" t="s">
        <v>115</v>
      </c>
      <c r="C169" s="67" t="s">
        <v>140</v>
      </c>
      <c r="D169" s="67" t="s">
        <v>157</v>
      </c>
      <c r="E169" s="69" t="s">
        <v>142</v>
      </c>
      <c r="F169" s="67" t="s">
        <v>117</v>
      </c>
      <c r="G169" s="67" t="s">
        <v>120</v>
      </c>
      <c r="H169" s="68">
        <f>'Cuota Artesanal'!K31</f>
        <v>83.697000000000003</v>
      </c>
      <c r="I169" s="68">
        <f>'Cuota Artesanal'!M31</f>
        <v>83.697000000000003</v>
      </c>
      <c r="J169" s="68">
        <f>'Cuota Artesanal'!M31</f>
        <v>83.697000000000003</v>
      </c>
      <c r="K169" s="68">
        <f>'Cuota Artesanal'!N31</f>
        <v>0</v>
      </c>
      <c r="L169" s="68">
        <f>'Cuota Artesanal'!O31</f>
        <v>83.697000000000003</v>
      </c>
      <c r="M169" s="63">
        <f>'Cuota Artesanal'!P31</f>
        <v>0</v>
      </c>
      <c r="N169" s="75" t="s">
        <v>156</v>
      </c>
      <c r="O169" s="82">
        <f>Resumen!$B$3</f>
        <v>43508</v>
      </c>
    </row>
    <row r="170" spans="1:15">
      <c r="A170" s="66" t="s">
        <v>130</v>
      </c>
      <c r="B170" s="67" t="s">
        <v>115</v>
      </c>
      <c r="C170" s="67" t="s">
        <v>140</v>
      </c>
      <c r="D170" s="67" t="s">
        <v>152</v>
      </c>
      <c r="E170" s="67" t="s">
        <v>152</v>
      </c>
      <c r="F170" s="67" t="s">
        <v>117</v>
      </c>
      <c r="G170" s="65" t="s">
        <v>118</v>
      </c>
      <c r="H170" s="68">
        <f>'Cuota Artesanal'!E33</f>
        <v>445.822</v>
      </c>
      <c r="I170" s="68">
        <f>'Cuota Artesanal'!F33</f>
        <v>0</v>
      </c>
      <c r="J170" s="68">
        <f>'Cuota Artesanal'!G33</f>
        <v>445.822</v>
      </c>
      <c r="K170" s="68">
        <f>'Cuota Artesanal'!H33</f>
        <v>52.231999999999999</v>
      </c>
      <c r="L170" s="68">
        <f>'Cuota Artesanal'!I33</f>
        <v>393.59000000000003</v>
      </c>
      <c r="M170" s="63">
        <f>'Cuota Artesanal'!J33</f>
        <v>0.11715886609453997</v>
      </c>
      <c r="N170" s="75" t="str">
        <f>'Cuota Artesanal'!Q33</f>
        <v>-</v>
      </c>
      <c r="O170" s="82">
        <f>Resumen!$B$3</f>
        <v>43508</v>
      </c>
    </row>
    <row r="171" spans="1:15">
      <c r="A171" s="66" t="s">
        <v>130</v>
      </c>
      <c r="B171" s="67" t="s">
        <v>115</v>
      </c>
      <c r="C171" s="67" t="s">
        <v>140</v>
      </c>
      <c r="D171" s="67" t="s">
        <v>152</v>
      </c>
      <c r="E171" s="67" t="s">
        <v>152</v>
      </c>
      <c r="F171" s="67" t="s">
        <v>119</v>
      </c>
      <c r="G171" s="67" t="s">
        <v>120</v>
      </c>
      <c r="H171" s="68">
        <f>'Cuota Artesanal'!E34</f>
        <v>23.535</v>
      </c>
      <c r="I171" s="68">
        <f>'Cuota Artesanal'!F34</f>
        <v>0</v>
      </c>
      <c r="J171" s="68">
        <f>'Cuota Artesanal'!G34</f>
        <v>417.12500000000006</v>
      </c>
      <c r="K171" s="68">
        <f>'Cuota Artesanal'!H34</f>
        <v>0</v>
      </c>
      <c r="L171" s="68">
        <f>'Cuota Artesanal'!I34</f>
        <v>417.12500000000006</v>
      </c>
      <c r="M171" s="63">
        <f>'Cuota Artesanal'!J34</f>
        <v>0</v>
      </c>
      <c r="N171" s="75" t="str">
        <f>'Cuota Artesanal'!Q34</f>
        <v>-</v>
      </c>
      <c r="O171" s="82">
        <f>Resumen!$B$3</f>
        <v>43508</v>
      </c>
    </row>
    <row r="172" spans="1:15">
      <c r="A172" s="66" t="s">
        <v>130</v>
      </c>
      <c r="B172" s="67" t="s">
        <v>115</v>
      </c>
      <c r="C172" s="67" t="s">
        <v>140</v>
      </c>
      <c r="D172" s="67" t="s">
        <v>152</v>
      </c>
      <c r="E172" s="67" t="s">
        <v>152</v>
      </c>
      <c r="F172" s="67" t="s">
        <v>117</v>
      </c>
      <c r="G172" s="67" t="s">
        <v>120</v>
      </c>
      <c r="H172" s="68">
        <f>'Cuota Artesanal'!K33</f>
        <v>469.35700000000003</v>
      </c>
      <c r="I172" s="68">
        <f>'Cuota Artesanal'!L33</f>
        <v>0</v>
      </c>
      <c r="J172" s="68">
        <f>'Cuota Artesanal'!M33</f>
        <v>469.35700000000003</v>
      </c>
      <c r="K172" s="68">
        <f>'Cuota Artesanal'!N33</f>
        <v>52.231999999999999</v>
      </c>
      <c r="L172" s="68">
        <f>'Cuota Artesanal'!O33</f>
        <v>417.125</v>
      </c>
      <c r="M172" s="63">
        <f>'Cuota Artesanal'!P33</f>
        <v>0.11128416109699013</v>
      </c>
      <c r="N172" s="75" t="s">
        <v>156</v>
      </c>
      <c r="O172" s="82">
        <f>Resumen!$B$3</f>
        <v>43508</v>
      </c>
    </row>
    <row r="173" spans="1:15">
      <c r="A173" s="66" t="s">
        <v>130</v>
      </c>
      <c r="B173" s="67" t="s">
        <v>115</v>
      </c>
      <c r="C173" s="67" t="s">
        <v>143</v>
      </c>
      <c r="D173" s="67" t="s">
        <v>123</v>
      </c>
      <c r="E173" s="67" t="s">
        <v>144</v>
      </c>
      <c r="F173" s="67" t="s">
        <v>117</v>
      </c>
      <c r="G173" s="65" t="s">
        <v>118</v>
      </c>
      <c r="H173" s="68">
        <f>'Cuota Artesanal'!E36</f>
        <v>14</v>
      </c>
      <c r="I173" s="68">
        <f>'Cuota Artesanal'!F36</f>
        <v>0</v>
      </c>
      <c r="J173" s="68">
        <f>'Cuota Artesanal'!G36</f>
        <v>14</v>
      </c>
      <c r="K173" s="68">
        <f>'Cuota Artesanal'!H36</f>
        <v>4.34</v>
      </c>
      <c r="L173" s="68">
        <f>'Cuota Artesanal'!I36</f>
        <v>9.66</v>
      </c>
      <c r="M173" s="63">
        <f>'Cuota Artesanal'!J36</f>
        <v>0.31</v>
      </c>
      <c r="N173" s="75" t="str">
        <f>'Cuota Artesanal'!Q36</f>
        <v>-</v>
      </c>
      <c r="O173" s="82">
        <f>Resumen!$B$3</f>
        <v>43508</v>
      </c>
    </row>
    <row r="174" spans="1:15">
      <c r="A174" s="66" t="s">
        <v>130</v>
      </c>
      <c r="B174" s="67" t="s">
        <v>115</v>
      </c>
      <c r="C174" s="67" t="s">
        <v>143</v>
      </c>
      <c r="D174" s="67" t="s">
        <v>123</v>
      </c>
      <c r="E174" s="67" t="s">
        <v>144</v>
      </c>
      <c r="F174" s="67" t="s">
        <v>119</v>
      </c>
      <c r="G174" s="67" t="s">
        <v>120</v>
      </c>
      <c r="H174" s="68">
        <f>'Cuota Artesanal'!E37</f>
        <v>1</v>
      </c>
      <c r="I174" s="68">
        <f>'Cuota Artesanal'!F37</f>
        <v>0</v>
      </c>
      <c r="J174" s="68">
        <f>'Cuota Artesanal'!G37</f>
        <v>10.66</v>
      </c>
      <c r="K174" s="68">
        <f>'Cuota Artesanal'!H37</f>
        <v>0</v>
      </c>
      <c r="L174" s="68">
        <f>'Cuota Artesanal'!I37</f>
        <v>10.66</v>
      </c>
      <c r="M174" s="63">
        <f>'Cuota Artesanal'!J37</f>
        <v>0</v>
      </c>
      <c r="N174" s="75" t="str">
        <f>'Cuota Artesanal'!Q37</f>
        <v>-</v>
      </c>
      <c r="O174" s="82">
        <f>Resumen!$B$3</f>
        <v>43508</v>
      </c>
    </row>
    <row r="175" spans="1:15">
      <c r="A175" s="66" t="s">
        <v>130</v>
      </c>
      <c r="B175" s="67" t="s">
        <v>115</v>
      </c>
      <c r="C175" s="67" t="s">
        <v>143</v>
      </c>
      <c r="D175" s="67" t="s">
        <v>123</v>
      </c>
      <c r="E175" s="67" t="s">
        <v>144</v>
      </c>
      <c r="F175" s="67" t="s">
        <v>117</v>
      </c>
      <c r="G175" s="67" t="s">
        <v>120</v>
      </c>
      <c r="H175" s="68">
        <f>'Cuota Artesanal'!K36</f>
        <v>15</v>
      </c>
      <c r="I175" s="68">
        <f>'Cuota Artesanal'!L36</f>
        <v>0</v>
      </c>
      <c r="J175" s="68">
        <f>'Cuota Artesanal'!M36</f>
        <v>15</v>
      </c>
      <c r="K175" s="68">
        <f>'Cuota Artesanal'!N36</f>
        <v>4.34</v>
      </c>
      <c r="L175" s="68">
        <f>'Cuota Artesanal'!O36</f>
        <v>10.66</v>
      </c>
      <c r="M175" s="63">
        <f>'Cuota Artesanal'!P36</f>
        <v>0.28933333333333333</v>
      </c>
      <c r="N175" s="75" t="s">
        <v>156</v>
      </c>
      <c r="O175" s="82">
        <f>Resumen!$B$3</f>
        <v>43508</v>
      </c>
    </row>
    <row r="176" spans="1:15">
      <c r="A176" s="66" t="s">
        <v>130</v>
      </c>
      <c r="B176" s="67" t="s">
        <v>115</v>
      </c>
      <c r="C176" s="67" t="s">
        <v>87</v>
      </c>
      <c r="D176" s="67" t="s">
        <v>123</v>
      </c>
      <c r="E176" s="67" t="s">
        <v>145</v>
      </c>
      <c r="F176" s="67" t="s">
        <v>117</v>
      </c>
      <c r="G176" s="65" t="s">
        <v>118</v>
      </c>
      <c r="H176" s="68">
        <f>'Cuota Artesanal'!E39</f>
        <v>120</v>
      </c>
      <c r="I176" s="68">
        <f>'Cuota Artesanal'!F39</f>
        <v>0</v>
      </c>
      <c r="J176" s="68">
        <f>'Cuota Artesanal'!G39</f>
        <v>120</v>
      </c>
      <c r="K176" s="68">
        <f>'Cuota Artesanal'!H39</f>
        <v>24.062999999999999</v>
      </c>
      <c r="L176" s="68">
        <f>'Cuota Artesanal'!I39</f>
        <v>95.936999999999998</v>
      </c>
      <c r="M176" s="63">
        <f>'Cuota Artesanal'!J39</f>
        <v>0.20052499999999998</v>
      </c>
      <c r="N176" s="75" t="str">
        <f>'Cuota Artesanal'!Q39</f>
        <v>-</v>
      </c>
      <c r="O176" s="82">
        <f>Resumen!$B$3</f>
        <v>43508</v>
      </c>
    </row>
    <row r="177" spans="1:15">
      <c r="A177" s="66" t="s">
        <v>130</v>
      </c>
      <c r="B177" s="67" t="s">
        <v>115</v>
      </c>
      <c r="C177" s="67" t="s">
        <v>87</v>
      </c>
      <c r="D177" s="67" t="s">
        <v>123</v>
      </c>
      <c r="E177" s="67" t="s">
        <v>145</v>
      </c>
      <c r="F177" s="67" t="s">
        <v>119</v>
      </c>
      <c r="G177" s="67" t="s">
        <v>120</v>
      </c>
      <c r="H177" s="68">
        <f>'Cuota Artesanal'!E40</f>
        <v>6</v>
      </c>
      <c r="I177" s="68">
        <f>'Cuota Artesanal'!F40</f>
        <v>0</v>
      </c>
      <c r="J177" s="68">
        <f>'Cuota Artesanal'!G40</f>
        <v>101.937</v>
      </c>
      <c r="K177" s="68">
        <f>'Cuota Artesanal'!H40</f>
        <v>0</v>
      </c>
      <c r="L177" s="68">
        <f>'Cuota Artesanal'!I40</f>
        <v>101.937</v>
      </c>
      <c r="M177" s="63">
        <f>'Cuota Artesanal'!J40</f>
        <v>0</v>
      </c>
      <c r="N177" s="75" t="str">
        <f>'Cuota Artesanal'!Q40</f>
        <v>-</v>
      </c>
      <c r="O177" s="82">
        <f>Resumen!$B$3</f>
        <v>43508</v>
      </c>
    </row>
    <row r="178" spans="1:15">
      <c r="A178" s="66" t="s">
        <v>130</v>
      </c>
      <c r="B178" s="67" t="s">
        <v>115</v>
      </c>
      <c r="C178" s="67" t="s">
        <v>87</v>
      </c>
      <c r="D178" s="67" t="s">
        <v>123</v>
      </c>
      <c r="E178" s="67" t="s">
        <v>145</v>
      </c>
      <c r="F178" s="67" t="s">
        <v>117</v>
      </c>
      <c r="G178" s="67" t="s">
        <v>120</v>
      </c>
      <c r="H178" s="68">
        <f>'Cuota Artesanal'!K39</f>
        <v>126</v>
      </c>
      <c r="I178" s="68">
        <f>'Cuota Artesanal'!L39</f>
        <v>0</v>
      </c>
      <c r="J178" s="68">
        <f>'Cuota Artesanal'!M39</f>
        <v>126</v>
      </c>
      <c r="K178" s="68">
        <f>'Cuota Artesanal'!N39</f>
        <v>24.062999999999999</v>
      </c>
      <c r="L178" s="68">
        <f>'Cuota Artesanal'!O39</f>
        <v>101.937</v>
      </c>
      <c r="M178" s="63">
        <f>'Cuota Artesanal'!P39</f>
        <v>0.19097619047619047</v>
      </c>
      <c r="N178" s="75" t="s">
        <v>156</v>
      </c>
      <c r="O178" s="82">
        <f>Resumen!$B$3</f>
        <v>43508</v>
      </c>
    </row>
    <row r="179" spans="1:15">
      <c r="A179" s="66" t="s">
        <v>130</v>
      </c>
      <c r="B179" s="67" t="s">
        <v>115</v>
      </c>
      <c r="C179" s="67" t="s">
        <v>146</v>
      </c>
      <c r="D179" s="67" t="s">
        <v>123</v>
      </c>
      <c r="E179" s="67" t="s">
        <v>147</v>
      </c>
      <c r="F179" s="67" t="s">
        <v>117</v>
      </c>
      <c r="G179" s="65" t="s">
        <v>118</v>
      </c>
      <c r="H179" s="68">
        <f>'Cuota Artesanal'!E42</f>
        <v>7790</v>
      </c>
      <c r="I179" s="68">
        <f>'Cuota Artesanal'!F42</f>
        <v>0</v>
      </c>
      <c r="J179" s="68">
        <f>'Cuota Artesanal'!G42</f>
        <v>7790</v>
      </c>
      <c r="K179" s="68">
        <f>'Cuota Artesanal'!H42</f>
        <v>9336.8189999999995</v>
      </c>
      <c r="L179" s="68">
        <f>'Cuota Artesanal'!I42</f>
        <v>-1546.8189999999995</v>
      </c>
      <c r="M179" s="63">
        <f>'Cuota Artesanal'!J42</f>
        <v>1.1985646983311937</v>
      </c>
      <c r="N179" s="75">
        <f>'Cuota Artesanal'!Q42</f>
        <v>43473</v>
      </c>
      <c r="O179" s="82">
        <f>Resumen!$B$3</f>
        <v>43508</v>
      </c>
    </row>
    <row r="180" spans="1:15">
      <c r="A180" s="66" t="s">
        <v>130</v>
      </c>
      <c r="B180" s="67" t="s">
        <v>115</v>
      </c>
      <c r="C180" s="67" t="s">
        <v>146</v>
      </c>
      <c r="D180" s="67" t="s">
        <v>123</v>
      </c>
      <c r="E180" s="67" t="s">
        <v>147</v>
      </c>
      <c r="F180" s="67" t="s">
        <v>119</v>
      </c>
      <c r="G180" s="67" t="s">
        <v>120</v>
      </c>
      <c r="H180" s="68">
        <f>'Cuota Artesanal'!E43</f>
        <v>410</v>
      </c>
      <c r="I180" s="68">
        <f>'Cuota Artesanal'!F43</f>
        <v>0</v>
      </c>
      <c r="J180" s="68">
        <f>'Cuota Artesanal'!G43</f>
        <v>-1136.8189999999995</v>
      </c>
      <c r="K180" s="68">
        <f>'Cuota Artesanal'!H43</f>
        <v>0</v>
      </c>
      <c r="L180" s="68">
        <f>'Cuota Artesanal'!I43</f>
        <v>-1136.8189999999995</v>
      </c>
      <c r="M180" s="63">
        <f>'Cuota Artesanal'!J43</f>
        <v>0</v>
      </c>
      <c r="N180" s="75">
        <f>'Cuota Artesanal'!Q43</f>
        <v>43479</v>
      </c>
      <c r="O180" s="82">
        <f>Resumen!$B$3</f>
        <v>43508</v>
      </c>
    </row>
    <row r="181" spans="1:15">
      <c r="A181" s="66" t="s">
        <v>130</v>
      </c>
      <c r="B181" s="67" t="s">
        <v>115</v>
      </c>
      <c r="C181" s="67" t="s">
        <v>146</v>
      </c>
      <c r="D181" s="67" t="s">
        <v>123</v>
      </c>
      <c r="E181" s="67" t="s">
        <v>147</v>
      </c>
      <c r="F181" s="67" t="s">
        <v>117</v>
      </c>
      <c r="G181" s="67" t="s">
        <v>120</v>
      </c>
      <c r="H181" s="68">
        <f>'Cuota Artesanal'!K42</f>
        <v>8200</v>
      </c>
      <c r="I181" s="68">
        <f>'Cuota Artesanal'!L42</f>
        <v>0</v>
      </c>
      <c r="J181" s="68">
        <f>'Cuota Artesanal'!M42</f>
        <v>8200</v>
      </c>
      <c r="K181" s="68">
        <f>'Cuota Artesanal'!N42</f>
        <v>9336.8189999999995</v>
      </c>
      <c r="L181" s="68">
        <f>'Cuota Artesanal'!O42</f>
        <v>-1136.8189999999995</v>
      </c>
      <c r="M181" s="63">
        <f>'Cuota Artesanal'!P42</f>
        <v>1.138636463414634</v>
      </c>
      <c r="N181" s="75" t="s">
        <v>156</v>
      </c>
      <c r="O181" s="82">
        <f>Resumen!$B$3</f>
        <v>43508</v>
      </c>
    </row>
    <row r="182" spans="1:15">
      <c r="A182" s="66" t="s">
        <v>130</v>
      </c>
      <c r="B182" s="67" t="s">
        <v>115</v>
      </c>
      <c r="C182" s="67" t="s">
        <v>45</v>
      </c>
      <c r="D182" s="67" t="s">
        <v>123</v>
      </c>
      <c r="E182" s="67" t="s">
        <v>148</v>
      </c>
      <c r="F182" s="67" t="s">
        <v>117</v>
      </c>
      <c r="G182" s="65" t="s">
        <v>118</v>
      </c>
      <c r="H182" s="68">
        <f>'Cuota Artesanal'!E45</f>
        <v>175</v>
      </c>
      <c r="I182" s="68">
        <f>'Cuota Artesanal'!F45</f>
        <v>0</v>
      </c>
      <c r="J182" s="68">
        <f>'Cuota Artesanal'!G45</f>
        <v>175</v>
      </c>
      <c r="K182" s="68">
        <f>'Cuota Artesanal'!H45</f>
        <v>1.24</v>
      </c>
      <c r="L182" s="68">
        <f>'Cuota Artesanal'!I45</f>
        <v>173.76</v>
      </c>
      <c r="M182" s="63">
        <f>'Cuota Artesanal'!J45</f>
        <v>7.0857142857142855E-3</v>
      </c>
      <c r="N182" s="75" t="str">
        <f>'Cuota Artesanal'!Q45</f>
        <v>-</v>
      </c>
      <c r="O182" s="82">
        <f>Resumen!$B$3</f>
        <v>43508</v>
      </c>
    </row>
    <row r="183" spans="1:15">
      <c r="A183" s="66" t="s">
        <v>130</v>
      </c>
      <c r="B183" s="67" t="s">
        <v>115</v>
      </c>
      <c r="C183" s="67" t="s">
        <v>45</v>
      </c>
      <c r="D183" s="67" t="s">
        <v>123</v>
      </c>
      <c r="E183" s="67" t="s">
        <v>148</v>
      </c>
      <c r="F183" s="67" t="s">
        <v>119</v>
      </c>
      <c r="G183" s="67" t="s">
        <v>120</v>
      </c>
      <c r="H183" s="68">
        <f>'Cuota Artesanal'!E46</f>
        <v>10</v>
      </c>
      <c r="I183" s="68">
        <f>'Cuota Artesanal'!F46</f>
        <v>0</v>
      </c>
      <c r="J183" s="68">
        <f>'Cuota Artesanal'!G46</f>
        <v>183.76</v>
      </c>
      <c r="K183" s="68">
        <f>'Cuota Artesanal'!H46</f>
        <v>0</v>
      </c>
      <c r="L183" s="68">
        <f>'Cuota Artesanal'!I46</f>
        <v>183.76</v>
      </c>
      <c r="M183" s="63">
        <f>'Cuota Artesanal'!J46</f>
        <v>0</v>
      </c>
      <c r="N183" s="75" t="str">
        <f>'Cuota Artesanal'!Q46</f>
        <v>-</v>
      </c>
      <c r="O183" s="82">
        <f>Resumen!$B$3</f>
        <v>43508</v>
      </c>
    </row>
    <row r="184" spans="1:15">
      <c r="A184" s="66" t="s">
        <v>130</v>
      </c>
      <c r="B184" s="67" t="s">
        <v>115</v>
      </c>
      <c r="C184" s="67" t="s">
        <v>45</v>
      </c>
      <c r="D184" s="67" t="s">
        <v>123</v>
      </c>
      <c r="E184" s="67" t="s">
        <v>148</v>
      </c>
      <c r="F184" s="67" t="s">
        <v>117</v>
      </c>
      <c r="G184" s="67" t="s">
        <v>120</v>
      </c>
      <c r="H184" s="68">
        <f>'Cuota Artesanal'!M45</f>
        <v>185</v>
      </c>
      <c r="I184" s="68">
        <f>'Cuota Artesanal'!L45</f>
        <v>0</v>
      </c>
      <c r="J184" s="68">
        <f>'Cuota Artesanal'!M45</f>
        <v>185</v>
      </c>
      <c r="K184" s="68">
        <f>'Cuota Artesanal'!N45</f>
        <v>1.24</v>
      </c>
      <c r="L184" s="68">
        <f>'Cuota Artesanal'!O45</f>
        <v>183.76</v>
      </c>
      <c r="M184" s="63">
        <f>'Cuota Artesanal'!P45</f>
        <v>6.7027027027027029E-3</v>
      </c>
      <c r="N184" s="75" t="s">
        <v>156</v>
      </c>
      <c r="O184" s="82">
        <f>Resumen!$B$3</f>
        <v>43508</v>
      </c>
    </row>
    <row r="185" spans="1:15">
      <c r="A185" s="67" t="s">
        <v>132</v>
      </c>
      <c r="B185" s="67" t="s">
        <v>115</v>
      </c>
      <c r="C185" s="67" t="s">
        <v>46</v>
      </c>
      <c r="D185" s="67" t="s">
        <v>123</v>
      </c>
      <c r="E185" s="67" t="s">
        <v>149</v>
      </c>
      <c r="F185" s="67" t="s">
        <v>117</v>
      </c>
      <c r="G185" s="65" t="s">
        <v>118</v>
      </c>
      <c r="H185" s="68">
        <f>'Cuota Artesanal'!E48</f>
        <v>911</v>
      </c>
      <c r="I185" s="68">
        <f>'Cuota Artesanal'!F48</f>
        <v>0</v>
      </c>
      <c r="J185" s="68">
        <f>'Cuota Artesanal'!G48</f>
        <v>911</v>
      </c>
      <c r="K185" s="68">
        <f>'Cuota Artesanal'!H48</f>
        <v>0</v>
      </c>
      <c r="L185" s="68">
        <f>'Cuota Artesanal'!I48</f>
        <v>911</v>
      </c>
      <c r="M185" s="63">
        <f>'Cuota Artesanal'!J48</f>
        <v>0</v>
      </c>
      <c r="N185" s="75" t="str">
        <f>'Cuota Artesanal'!Q48</f>
        <v>-</v>
      </c>
      <c r="O185" s="82">
        <f>Resumen!$B$3</f>
        <v>43508</v>
      </c>
    </row>
    <row r="186" spans="1:15">
      <c r="A186" s="67" t="s">
        <v>132</v>
      </c>
      <c r="B186" s="67" t="s">
        <v>115</v>
      </c>
      <c r="C186" s="67" t="s">
        <v>46</v>
      </c>
      <c r="D186" s="67" t="s">
        <v>123</v>
      </c>
      <c r="E186" s="67" t="s">
        <v>149</v>
      </c>
      <c r="F186" s="67" t="s">
        <v>119</v>
      </c>
      <c r="G186" s="67" t="s">
        <v>120</v>
      </c>
      <c r="H186" s="68">
        <f>'Cuota Artesanal'!E49</f>
        <v>48</v>
      </c>
      <c r="I186" s="68">
        <f>'Cuota Artesanal'!F49</f>
        <v>0</v>
      </c>
      <c r="J186" s="68">
        <f>'Cuota Artesanal'!G49</f>
        <v>959</v>
      </c>
      <c r="K186" s="68">
        <f>'Cuota Artesanal'!H49</f>
        <v>0</v>
      </c>
      <c r="L186" s="68">
        <f>'Cuota Artesanal'!I49</f>
        <v>959</v>
      </c>
      <c r="M186" s="63">
        <f>'Cuota Artesanal'!J49</f>
        <v>0</v>
      </c>
      <c r="N186" s="75" t="str">
        <f>'Cuota Artesanal'!Q49</f>
        <v>-</v>
      </c>
      <c r="O186" s="82">
        <f>Resumen!$B$3</f>
        <v>43508</v>
      </c>
    </row>
    <row r="187" spans="1:15">
      <c r="A187" s="67" t="s">
        <v>132</v>
      </c>
      <c r="B187" s="67" t="s">
        <v>115</v>
      </c>
      <c r="C187" s="67" t="s">
        <v>46</v>
      </c>
      <c r="D187" s="67" t="s">
        <v>123</v>
      </c>
      <c r="E187" s="67" t="s">
        <v>149</v>
      </c>
      <c r="F187" s="67" t="s">
        <v>117</v>
      </c>
      <c r="G187" s="67" t="s">
        <v>120</v>
      </c>
      <c r="H187" s="68">
        <f>'Cuota Artesanal'!K48</f>
        <v>959</v>
      </c>
      <c r="I187" s="68">
        <f>'Cuota Artesanal'!L48</f>
        <v>0</v>
      </c>
      <c r="J187" s="68">
        <f>'Cuota Artesanal'!M48</f>
        <v>959</v>
      </c>
      <c r="K187" s="68">
        <f>'Cuota Artesanal'!N48</f>
        <v>0</v>
      </c>
      <c r="L187" s="68">
        <f>'Cuota Artesanal'!O48</f>
        <v>959</v>
      </c>
      <c r="M187" s="63">
        <f>'Cuota Artesanal'!P48</f>
        <v>0</v>
      </c>
      <c r="N187" s="75" t="s">
        <v>156</v>
      </c>
      <c r="O187" s="82">
        <f>Resumen!$B$3</f>
        <v>43508</v>
      </c>
    </row>
    <row r="188" spans="1:15">
      <c r="A188" s="67" t="s">
        <v>132</v>
      </c>
      <c r="B188" s="67" t="s">
        <v>115</v>
      </c>
      <c r="C188" s="67" t="s">
        <v>75</v>
      </c>
      <c r="D188" s="67" t="s">
        <v>157</v>
      </c>
      <c r="E188" s="69" t="s">
        <v>150</v>
      </c>
      <c r="F188" s="67" t="s">
        <v>117</v>
      </c>
      <c r="G188" s="65" t="s">
        <v>118</v>
      </c>
      <c r="H188" s="68">
        <f>'Cuota Artesanal'!E51</f>
        <v>93.293999999999997</v>
      </c>
      <c r="I188" s="68">
        <f>'Cuota Artesanal'!F51</f>
        <v>0</v>
      </c>
      <c r="J188" s="68">
        <f>'Cuota Artesanal'!G51</f>
        <v>93.293999999999997</v>
      </c>
      <c r="K188" s="68">
        <f>'Cuota Artesanal'!H51</f>
        <v>0</v>
      </c>
      <c r="L188" s="68">
        <f>'Cuota Artesanal'!I51</f>
        <v>93.293999999999997</v>
      </c>
      <c r="M188" s="63">
        <f>'Cuota Artesanal'!J51</f>
        <v>0</v>
      </c>
      <c r="N188" s="75" t="str">
        <f>'Cuota Artesanal'!Q51</f>
        <v>-</v>
      </c>
      <c r="O188" s="82">
        <f>Resumen!$B$3</f>
        <v>43508</v>
      </c>
    </row>
    <row r="189" spans="1:15">
      <c r="A189" s="67" t="s">
        <v>132</v>
      </c>
      <c r="B189" s="67" t="s">
        <v>115</v>
      </c>
      <c r="C189" s="67" t="s">
        <v>75</v>
      </c>
      <c r="D189" s="67" t="s">
        <v>157</v>
      </c>
      <c r="E189" s="69" t="s">
        <v>150</v>
      </c>
      <c r="F189" s="67" t="s">
        <v>119</v>
      </c>
      <c r="G189" s="67" t="s">
        <v>120</v>
      </c>
      <c r="H189" s="68">
        <f>'Cuota Artesanal'!E52</f>
        <v>4.9130000000000003</v>
      </c>
      <c r="I189" s="68">
        <f>'Cuota Artesanal'!F52</f>
        <v>0</v>
      </c>
      <c r="J189" s="68">
        <f>'Cuota Artesanal'!G52</f>
        <v>98.206999999999994</v>
      </c>
      <c r="K189" s="68">
        <f>'Cuota Artesanal'!H52</f>
        <v>0</v>
      </c>
      <c r="L189" s="68">
        <f>'Cuota Artesanal'!I52</f>
        <v>98.206999999999994</v>
      </c>
      <c r="M189" s="63">
        <f>'Cuota Artesanal'!J52</f>
        <v>0</v>
      </c>
      <c r="N189" s="75" t="str">
        <f>'Cuota Artesanal'!Q52</f>
        <v>-</v>
      </c>
      <c r="O189" s="82">
        <f>Resumen!$B$3</f>
        <v>43508</v>
      </c>
    </row>
    <row r="190" spans="1:15">
      <c r="A190" s="67" t="s">
        <v>132</v>
      </c>
      <c r="B190" s="67" t="s">
        <v>115</v>
      </c>
      <c r="C190" s="67" t="s">
        <v>75</v>
      </c>
      <c r="D190" s="67" t="s">
        <v>157</v>
      </c>
      <c r="E190" s="69" t="s">
        <v>150</v>
      </c>
      <c r="F190" s="67" t="s">
        <v>117</v>
      </c>
      <c r="G190" s="67" t="s">
        <v>120</v>
      </c>
      <c r="H190" s="68">
        <f>'Cuota Artesanal'!K51</f>
        <v>98.206999999999994</v>
      </c>
      <c r="I190" s="68">
        <f>'Cuota Artesanal'!L51</f>
        <v>0</v>
      </c>
      <c r="J190" s="68">
        <f>'Cuota Artesanal'!M51</f>
        <v>98.206999999999994</v>
      </c>
      <c r="K190" s="68">
        <f>'Cuota Artesanal'!N51</f>
        <v>0</v>
      </c>
      <c r="L190" s="68">
        <f>'Cuota Artesanal'!O51</f>
        <v>98.206999999999994</v>
      </c>
      <c r="M190" s="63">
        <f>'Cuota Artesanal'!P51</f>
        <v>0</v>
      </c>
      <c r="N190" s="75" t="s">
        <v>156</v>
      </c>
      <c r="O190" s="82">
        <f>Resumen!$B$3</f>
        <v>43508</v>
      </c>
    </row>
    <row r="191" spans="1:15" ht="30">
      <c r="A191" s="67" t="s">
        <v>132</v>
      </c>
      <c r="B191" s="67" t="s">
        <v>115</v>
      </c>
      <c r="C191" s="67" t="s">
        <v>75</v>
      </c>
      <c r="D191" s="67" t="s">
        <v>157</v>
      </c>
      <c r="E191" s="69" t="s">
        <v>175</v>
      </c>
      <c r="F191" s="67" t="s">
        <v>117</v>
      </c>
      <c r="G191" s="65" t="s">
        <v>118</v>
      </c>
      <c r="H191" s="68">
        <f>'Cuota Artesanal'!E53</f>
        <v>440.75599999999997</v>
      </c>
      <c r="I191" s="68">
        <f>'Cuota Artesanal'!F53</f>
        <v>0</v>
      </c>
      <c r="J191" s="68">
        <f>'Cuota Artesanal'!G53</f>
        <v>440.75599999999997</v>
      </c>
      <c r="K191" s="68">
        <f>'Cuota Artesanal'!H53</f>
        <v>50.19</v>
      </c>
      <c r="L191" s="68">
        <f>'Cuota Artesanal'!I53</f>
        <v>390.56599999999997</v>
      </c>
      <c r="M191" s="63">
        <f>'Cuota Artesanal'!J53</f>
        <v>0.11387252811079146</v>
      </c>
      <c r="N191" s="75" t="str">
        <f>'Cuota Artesanal'!Q53</f>
        <v>-</v>
      </c>
      <c r="O191" s="82">
        <f>Resumen!$B$3</f>
        <v>43508</v>
      </c>
    </row>
    <row r="192" spans="1:15" ht="30">
      <c r="A192" s="67" t="s">
        <v>132</v>
      </c>
      <c r="B192" s="67" t="s">
        <v>115</v>
      </c>
      <c r="C192" s="67" t="s">
        <v>75</v>
      </c>
      <c r="D192" s="67" t="s">
        <v>157</v>
      </c>
      <c r="E192" s="69" t="s">
        <v>175</v>
      </c>
      <c r="F192" s="67" t="s">
        <v>119</v>
      </c>
      <c r="G192" s="67" t="s">
        <v>120</v>
      </c>
      <c r="H192" s="68">
        <f>'Cuota Artesanal'!E54</f>
        <v>23.213000000000001</v>
      </c>
      <c r="I192" s="68">
        <f>'Cuota Artesanal'!F54</f>
        <v>0</v>
      </c>
      <c r="J192" s="68">
        <f>'Cuota Artesanal'!G54</f>
        <v>413.779</v>
      </c>
      <c r="K192" s="68">
        <f>'Cuota Artesanal'!H54</f>
        <v>0</v>
      </c>
      <c r="L192" s="68">
        <f>'Cuota Artesanal'!I54</f>
        <v>413.779</v>
      </c>
      <c r="M192" s="63">
        <f>'Cuota Artesanal'!J54</f>
        <v>0</v>
      </c>
      <c r="N192" s="75" t="str">
        <f>'Cuota Artesanal'!Q54</f>
        <v>-</v>
      </c>
      <c r="O192" s="82">
        <f>Resumen!$B$3</f>
        <v>43508</v>
      </c>
    </row>
    <row r="193" spans="1:15" ht="30">
      <c r="A193" s="67" t="s">
        <v>132</v>
      </c>
      <c r="B193" s="67" t="s">
        <v>115</v>
      </c>
      <c r="C193" s="67" t="s">
        <v>75</v>
      </c>
      <c r="D193" s="67" t="s">
        <v>157</v>
      </c>
      <c r="E193" s="69" t="s">
        <v>175</v>
      </c>
      <c r="F193" s="67" t="s">
        <v>117</v>
      </c>
      <c r="G193" s="67" t="s">
        <v>120</v>
      </c>
      <c r="H193" s="68">
        <f>'Cuota Artesanal'!K53</f>
        <v>463.96899999999999</v>
      </c>
      <c r="I193" s="68">
        <f>'Cuota Artesanal'!L53</f>
        <v>0</v>
      </c>
      <c r="J193" s="68">
        <f>'Cuota Artesanal'!M53</f>
        <v>463.96899999999999</v>
      </c>
      <c r="K193" s="68">
        <f>'Cuota Artesanal'!N53</f>
        <v>50.19</v>
      </c>
      <c r="L193" s="68">
        <f>'Cuota Artesanal'!O53</f>
        <v>413.779</v>
      </c>
      <c r="M193" s="63">
        <f>'Cuota Artesanal'!P53</f>
        <v>0.1081753306794204</v>
      </c>
      <c r="N193" s="75" t="s">
        <v>156</v>
      </c>
      <c r="O193" s="82">
        <f>Resumen!$B$3</f>
        <v>43508</v>
      </c>
    </row>
    <row r="194" spans="1:15">
      <c r="A194" s="67" t="s">
        <v>132</v>
      </c>
      <c r="B194" s="67" t="s">
        <v>115</v>
      </c>
      <c r="C194" s="67" t="s">
        <v>75</v>
      </c>
      <c r="D194" s="67" t="s">
        <v>157</v>
      </c>
      <c r="E194" s="69" t="s">
        <v>176</v>
      </c>
      <c r="F194" s="67" t="s">
        <v>117</v>
      </c>
      <c r="G194" s="65" t="s">
        <v>118</v>
      </c>
      <c r="H194" s="68">
        <f>'Cuota Artesanal'!E55</f>
        <v>2690.7</v>
      </c>
      <c r="I194" s="68">
        <f>'Cuota Artesanal'!F55</f>
        <v>0</v>
      </c>
      <c r="J194" s="68">
        <f>'Cuota Artesanal'!G55</f>
        <v>2690.7</v>
      </c>
      <c r="K194" s="68">
        <f>'Cuota Artesanal'!H55</f>
        <v>65.27</v>
      </c>
      <c r="L194" s="68">
        <f>'Cuota Artesanal'!I55</f>
        <v>2625.43</v>
      </c>
      <c r="M194" s="63">
        <f>'Cuota Artesanal'!J55</f>
        <v>2.425762812650983E-2</v>
      </c>
      <c r="N194" s="75" t="str">
        <f>'Cuota Artesanal'!Q55</f>
        <v>-</v>
      </c>
      <c r="O194" s="82">
        <f>Resumen!$B$3</f>
        <v>43508</v>
      </c>
    </row>
    <row r="195" spans="1:15">
      <c r="A195" s="67" t="s">
        <v>132</v>
      </c>
      <c r="B195" s="67" t="s">
        <v>115</v>
      </c>
      <c r="C195" s="67" t="s">
        <v>75</v>
      </c>
      <c r="D195" s="67" t="s">
        <v>157</v>
      </c>
      <c r="E195" s="69" t="s">
        <v>176</v>
      </c>
      <c r="F195" s="67" t="s">
        <v>119</v>
      </c>
      <c r="G195" s="67" t="s">
        <v>120</v>
      </c>
      <c r="H195" s="68">
        <f>'Cuota Artesanal'!E56</f>
        <v>141.709</v>
      </c>
      <c r="I195" s="68">
        <f>'Cuota Artesanal'!F56</f>
        <v>0</v>
      </c>
      <c r="J195" s="68">
        <f>'Cuota Artesanal'!G56</f>
        <v>2767.1389999999997</v>
      </c>
      <c r="K195" s="68">
        <f>'Cuota Artesanal'!H56</f>
        <v>0</v>
      </c>
      <c r="L195" s="68">
        <f>'Cuota Artesanal'!I56</f>
        <v>2767.1389999999997</v>
      </c>
      <c r="M195" s="63">
        <f>'Cuota Artesanal'!J56</f>
        <v>0</v>
      </c>
      <c r="N195" s="75" t="str">
        <f>'Cuota Artesanal'!Q56</f>
        <v>-</v>
      </c>
      <c r="O195" s="82">
        <f>Resumen!$B$3</f>
        <v>43508</v>
      </c>
    </row>
    <row r="196" spans="1:15">
      <c r="A196" s="67" t="s">
        <v>132</v>
      </c>
      <c r="B196" s="67" t="s">
        <v>115</v>
      </c>
      <c r="C196" s="67" t="s">
        <v>75</v>
      </c>
      <c r="D196" s="67" t="s">
        <v>157</v>
      </c>
      <c r="E196" s="69" t="s">
        <v>176</v>
      </c>
      <c r="F196" s="67" t="s">
        <v>117</v>
      </c>
      <c r="G196" s="67" t="s">
        <v>120</v>
      </c>
      <c r="H196" s="68">
        <f>'Cuota Artesanal'!K55</f>
        <v>2832.4089999999997</v>
      </c>
      <c r="I196" s="68">
        <f>'Cuota Artesanal'!L55</f>
        <v>0</v>
      </c>
      <c r="J196" s="68">
        <f>'Cuota Artesanal'!M55</f>
        <v>2832.4089999999997</v>
      </c>
      <c r="K196" s="68">
        <f>'Cuota Artesanal'!N55</f>
        <v>65.27</v>
      </c>
      <c r="L196" s="68">
        <f>'Cuota Artesanal'!O55</f>
        <v>2767.1389999999997</v>
      </c>
      <c r="M196" s="63">
        <f>'Cuota Artesanal'!P55</f>
        <v>2.3043988350552481E-2</v>
      </c>
      <c r="N196" s="75" t="s">
        <v>156</v>
      </c>
      <c r="O196" s="82">
        <f>Resumen!$B$3</f>
        <v>43508</v>
      </c>
    </row>
    <row r="197" spans="1:15" ht="30">
      <c r="A197" s="67" t="s">
        <v>132</v>
      </c>
      <c r="B197" s="67" t="s">
        <v>115</v>
      </c>
      <c r="C197" s="67" t="s">
        <v>75</v>
      </c>
      <c r="D197" s="67" t="s">
        <v>157</v>
      </c>
      <c r="E197" s="69" t="s">
        <v>177</v>
      </c>
      <c r="F197" s="67" t="s">
        <v>117</v>
      </c>
      <c r="G197" s="65" t="s">
        <v>118</v>
      </c>
      <c r="H197" s="68">
        <f>'Cuota Artesanal'!E57</f>
        <v>449.62599999999998</v>
      </c>
      <c r="I197" s="68">
        <f>'Cuota Artesanal'!F57</f>
        <v>0</v>
      </c>
      <c r="J197" s="68">
        <f>'Cuota Artesanal'!G57</f>
        <v>449.62599999999998</v>
      </c>
      <c r="K197" s="68">
        <f>'Cuota Artesanal'!H57</f>
        <v>0</v>
      </c>
      <c r="L197" s="68">
        <f>'Cuota Artesanal'!I57</f>
        <v>449.62599999999998</v>
      </c>
      <c r="M197" s="63">
        <f>'Cuota Artesanal'!J57</f>
        <v>0</v>
      </c>
      <c r="N197" s="75" t="str">
        <f>'Cuota Artesanal'!Q57</f>
        <v>-</v>
      </c>
      <c r="O197" s="82">
        <f>Resumen!$B$3</f>
        <v>43508</v>
      </c>
    </row>
    <row r="198" spans="1:15" ht="30">
      <c r="A198" s="67" t="s">
        <v>132</v>
      </c>
      <c r="B198" s="67" t="s">
        <v>115</v>
      </c>
      <c r="C198" s="67" t="s">
        <v>75</v>
      </c>
      <c r="D198" s="67" t="s">
        <v>157</v>
      </c>
      <c r="E198" s="69" t="s">
        <v>177</v>
      </c>
      <c r="F198" s="67" t="s">
        <v>119</v>
      </c>
      <c r="G198" s="67" t="s">
        <v>120</v>
      </c>
      <c r="H198" s="68">
        <f>'Cuota Artesanal'!E58</f>
        <v>23.68</v>
      </c>
      <c r="I198" s="68">
        <f>'Cuota Artesanal'!F58</f>
        <v>0</v>
      </c>
      <c r="J198" s="68">
        <f>'Cuota Artesanal'!G58</f>
        <v>473.30599999999998</v>
      </c>
      <c r="K198" s="68">
        <f>'Cuota Artesanal'!H58</f>
        <v>0</v>
      </c>
      <c r="L198" s="68">
        <f>'Cuota Artesanal'!I58</f>
        <v>473.30599999999998</v>
      </c>
      <c r="M198" s="63">
        <f>'Cuota Artesanal'!J58</f>
        <v>0</v>
      </c>
      <c r="N198" s="75" t="str">
        <f>'Cuota Artesanal'!Q58</f>
        <v>-</v>
      </c>
      <c r="O198" s="82">
        <f>Resumen!$B$3</f>
        <v>43508</v>
      </c>
    </row>
    <row r="199" spans="1:15" ht="30">
      <c r="A199" s="67" t="s">
        <v>132</v>
      </c>
      <c r="B199" s="67" t="s">
        <v>115</v>
      </c>
      <c r="C199" s="67" t="s">
        <v>75</v>
      </c>
      <c r="D199" s="67" t="s">
        <v>157</v>
      </c>
      <c r="E199" s="69" t="s">
        <v>177</v>
      </c>
      <c r="F199" s="67" t="s">
        <v>117</v>
      </c>
      <c r="G199" s="67" t="s">
        <v>120</v>
      </c>
      <c r="H199" s="68">
        <f>'Cuota Artesanal'!K57</f>
        <v>473.30599999999998</v>
      </c>
      <c r="I199" s="68">
        <f>'Cuota Artesanal'!L57</f>
        <v>0</v>
      </c>
      <c r="J199" s="68">
        <f>'Cuota Artesanal'!M57</f>
        <v>473.30599999999998</v>
      </c>
      <c r="K199" s="68">
        <f>'Cuota Artesanal'!N57</f>
        <v>0</v>
      </c>
      <c r="L199" s="68">
        <f>'Cuota Artesanal'!O57</f>
        <v>473.30599999999998</v>
      </c>
      <c r="M199" s="63">
        <f>'Cuota Artesanal'!P57</f>
        <v>0</v>
      </c>
      <c r="N199" s="75" t="s">
        <v>156</v>
      </c>
      <c r="O199" s="82">
        <f>Resumen!$B$3</f>
        <v>43508</v>
      </c>
    </row>
    <row r="200" spans="1:15" ht="30">
      <c r="A200" s="67" t="s">
        <v>132</v>
      </c>
      <c r="B200" s="67" t="s">
        <v>115</v>
      </c>
      <c r="C200" s="67" t="s">
        <v>75</v>
      </c>
      <c r="D200" s="67" t="s">
        <v>157</v>
      </c>
      <c r="E200" s="69" t="s">
        <v>178</v>
      </c>
      <c r="F200" s="67" t="s">
        <v>117</v>
      </c>
      <c r="G200" s="65" t="s">
        <v>118</v>
      </c>
      <c r="H200" s="68">
        <f>'Cuota Artesanal'!E59</f>
        <v>1425.646</v>
      </c>
      <c r="I200" s="68">
        <f>'Cuota Artesanal'!F59</f>
        <v>0</v>
      </c>
      <c r="J200" s="68">
        <f>'Cuota Artesanal'!G59</f>
        <v>1425.646</v>
      </c>
      <c r="K200" s="68">
        <f>'Cuota Artesanal'!H59</f>
        <v>0</v>
      </c>
      <c r="L200" s="68">
        <f>'Cuota Artesanal'!I59</f>
        <v>1425.646</v>
      </c>
      <c r="M200" s="63">
        <f>'Cuota Artesanal'!J59</f>
        <v>0</v>
      </c>
      <c r="N200" s="75" t="str">
        <f>'Cuota Artesanal'!Q59</f>
        <v>-</v>
      </c>
      <c r="O200" s="82">
        <f>Resumen!$B$3</f>
        <v>43508</v>
      </c>
    </row>
    <row r="201" spans="1:15" ht="30">
      <c r="A201" s="67" t="s">
        <v>132</v>
      </c>
      <c r="B201" s="67" t="s">
        <v>115</v>
      </c>
      <c r="C201" s="67" t="s">
        <v>75</v>
      </c>
      <c r="D201" s="67" t="s">
        <v>157</v>
      </c>
      <c r="E201" s="69" t="s">
        <v>178</v>
      </c>
      <c r="F201" s="67" t="s">
        <v>119</v>
      </c>
      <c r="G201" s="67" t="s">
        <v>120</v>
      </c>
      <c r="H201" s="68">
        <f>'Cuota Artesanal'!E60</f>
        <v>75.082999999999998</v>
      </c>
      <c r="I201" s="68">
        <f>'Cuota Artesanal'!F60</f>
        <v>0</v>
      </c>
      <c r="J201" s="68">
        <f>'Cuota Artesanal'!G60</f>
        <v>1500.729</v>
      </c>
      <c r="K201" s="68">
        <f>'Cuota Artesanal'!H60</f>
        <v>0</v>
      </c>
      <c r="L201" s="68">
        <f>'Cuota Artesanal'!I60</f>
        <v>1500.729</v>
      </c>
      <c r="M201" s="63">
        <f>'Cuota Artesanal'!J60</f>
        <v>0</v>
      </c>
      <c r="N201" s="75" t="str">
        <f>'Cuota Artesanal'!Q60</f>
        <v>-</v>
      </c>
      <c r="O201" s="82">
        <f>Resumen!$B$3</f>
        <v>43508</v>
      </c>
    </row>
    <row r="202" spans="1:15" ht="30">
      <c r="A202" s="67" t="s">
        <v>132</v>
      </c>
      <c r="B202" s="67" t="s">
        <v>115</v>
      </c>
      <c r="C202" s="67" t="s">
        <v>75</v>
      </c>
      <c r="D202" s="67" t="s">
        <v>157</v>
      </c>
      <c r="E202" s="69" t="s">
        <v>178</v>
      </c>
      <c r="F202" s="67" t="s">
        <v>117</v>
      </c>
      <c r="G202" s="67" t="s">
        <v>120</v>
      </c>
      <c r="H202" s="68">
        <f>'Cuota Artesanal'!K59</f>
        <v>1500.729</v>
      </c>
      <c r="I202" s="68">
        <f>'Cuota Artesanal'!L59</f>
        <v>0</v>
      </c>
      <c r="J202" s="68">
        <f>'Cuota Artesanal'!M59</f>
        <v>1500.729</v>
      </c>
      <c r="K202" s="68">
        <f>'Cuota Artesanal'!N59</f>
        <v>0</v>
      </c>
      <c r="L202" s="68">
        <f>'Cuota Artesanal'!O59</f>
        <v>1500.729</v>
      </c>
      <c r="M202" s="63">
        <f>'Cuota Artesanal'!P59</f>
        <v>0</v>
      </c>
      <c r="N202" s="75" t="s">
        <v>156</v>
      </c>
      <c r="O202" s="82">
        <f>Resumen!$B$3</f>
        <v>43508</v>
      </c>
    </row>
    <row r="203" spans="1:15" ht="30">
      <c r="A203" s="67" t="s">
        <v>132</v>
      </c>
      <c r="B203" s="67" t="s">
        <v>115</v>
      </c>
      <c r="C203" s="67" t="s">
        <v>75</v>
      </c>
      <c r="D203" s="67" t="s">
        <v>157</v>
      </c>
      <c r="E203" s="69" t="s">
        <v>183</v>
      </c>
      <c r="F203" s="67" t="s">
        <v>117</v>
      </c>
      <c r="G203" s="65" t="s">
        <v>118</v>
      </c>
      <c r="H203" s="68">
        <f>'Cuota Artesanal'!E61</f>
        <v>2.3660000000000001</v>
      </c>
      <c r="I203" s="68">
        <f>'Cuota Artesanal'!F61</f>
        <v>0</v>
      </c>
      <c r="J203" s="68">
        <f>'Cuota Artesanal'!G61</f>
        <v>2.3660000000000001</v>
      </c>
      <c r="K203" s="68">
        <f>'Cuota Artesanal'!H61</f>
        <v>0</v>
      </c>
      <c r="L203" s="68">
        <f>'Cuota Artesanal'!I61</f>
        <v>2.3660000000000001</v>
      </c>
      <c r="M203" s="63">
        <f>'Cuota Artesanal'!J61</f>
        <v>0</v>
      </c>
      <c r="N203" s="75" t="str">
        <f>'Cuota Artesanal'!Q61</f>
        <v>-</v>
      </c>
      <c r="O203" s="82">
        <f>Resumen!$B$3</f>
        <v>43508</v>
      </c>
    </row>
    <row r="204" spans="1:15" ht="30">
      <c r="A204" s="67" t="s">
        <v>132</v>
      </c>
      <c r="B204" s="67" t="s">
        <v>115</v>
      </c>
      <c r="C204" s="67" t="s">
        <v>75</v>
      </c>
      <c r="D204" s="67" t="s">
        <v>157</v>
      </c>
      <c r="E204" s="69" t="s">
        <v>183</v>
      </c>
      <c r="F204" s="67" t="s">
        <v>119</v>
      </c>
      <c r="G204" s="67" t="s">
        <v>120</v>
      </c>
      <c r="H204" s="68">
        <f>'Cuota Artesanal'!E62</f>
        <v>0.125</v>
      </c>
      <c r="I204" s="68">
        <f>'Cuota Artesanal'!F62</f>
        <v>0</v>
      </c>
      <c r="J204" s="68">
        <f>'Cuota Artesanal'!G62</f>
        <v>2.4910000000000001</v>
      </c>
      <c r="K204" s="68">
        <f>'Cuota Artesanal'!H62</f>
        <v>0</v>
      </c>
      <c r="L204" s="68">
        <f>'Cuota Artesanal'!I62</f>
        <v>2.4910000000000001</v>
      </c>
      <c r="M204" s="63">
        <f>'Cuota Artesanal'!J62</f>
        <v>0</v>
      </c>
      <c r="N204" s="75" t="str">
        <f>'Cuota Artesanal'!Q62</f>
        <v>-</v>
      </c>
      <c r="O204" s="82">
        <f>Resumen!$B$3</f>
        <v>43508</v>
      </c>
    </row>
    <row r="205" spans="1:15" ht="30">
      <c r="A205" s="67" t="s">
        <v>132</v>
      </c>
      <c r="B205" s="67" t="s">
        <v>115</v>
      </c>
      <c r="C205" s="67" t="s">
        <v>75</v>
      </c>
      <c r="D205" s="67" t="s">
        <v>157</v>
      </c>
      <c r="E205" s="69" t="s">
        <v>183</v>
      </c>
      <c r="F205" s="67" t="s">
        <v>117</v>
      </c>
      <c r="G205" s="67" t="s">
        <v>120</v>
      </c>
      <c r="H205" s="68">
        <f>'Cuota Artesanal'!K61</f>
        <v>2.4910000000000001</v>
      </c>
      <c r="I205" s="68">
        <f>'Cuota Artesanal'!L61</f>
        <v>0</v>
      </c>
      <c r="J205" s="68">
        <f>'Cuota Artesanal'!M61</f>
        <v>2.4910000000000001</v>
      </c>
      <c r="K205" s="68">
        <f>'Cuota Artesanal'!N61</f>
        <v>0</v>
      </c>
      <c r="L205" s="68">
        <f>'Cuota Artesanal'!O61</f>
        <v>2.4910000000000001</v>
      </c>
      <c r="M205" s="63">
        <f>'Cuota Artesanal'!P61</f>
        <v>0</v>
      </c>
      <c r="N205" s="75" t="s">
        <v>156</v>
      </c>
      <c r="O205" s="82">
        <f>Resumen!$B$3</f>
        <v>43508</v>
      </c>
    </row>
    <row r="206" spans="1:15" ht="30">
      <c r="A206" s="67" t="s">
        <v>132</v>
      </c>
      <c r="B206" s="67" t="s">
        <v>115</v>
      </c>
      <c r="C206" s="67" t="s">
        <v>75</v>
      </c>
      <c r="D206" s="67" t="s">
        <v>157</v>
      </c>
      <c r="E206" s="69" t="s">
        <v>151</v>
      </c>
      <c r="F206" s="67" t="s">
        <v>117</v>
      </c>
      <c r="G206" s="65" t="s">
        <v>118</v>
      </c>
      <c r="H206" s="68">
        <f>'Cuota Artesanal'!E63</f>
        <v>677.51599999999996</v>
      </c>
      <c r="I206" s="68">
        <f>'Cuota Artesanal'!F63</f>
        <v>-713.13099999999997</v>
      </c>
      <c r="J206" s="68">
        <f>'Cuota Artesanal'!G63</f>
        <v>-35.615000000000009</v>
      </c>
      <c r="K206" s="68">
        <f>'Cuota Artesanal'!H63</f>
        <v>0</v>
      </c>
      <c r="L206" s="68">
        <f>'Cuota Artesanal'!I63</f>
        <v>-35.615000000000009</v>
      </c>
      <c r="M206" s="63">
        <f>'Cuota Artesanal'!J63</f>
        <v>0</v>
      </c>
      <c r="N206" s="75" t="str">
        <f>'Cuota Artesanal'!Q63</f>
        <v>-</v>
      </c>
      <c r="O206" s="82">
        <f>Resumen!$B$3</f>
        <v>43508</v>
      </c>
    </row>
    <row r="207" spans="1:15" ht="30">
      <c r="A207" s="67" t="s">
        <v>132</v>
      </c>
      <c r="B207" s="67" t="s">
        <v>115</v>
      </c>
      <c r="C207" s="67" t="s">
        <v>75</v>
      </c>
      <c r="D207" s="67" t="s">
        <v>157</v>
      </c>
      <c r="E207" s="69" t="s">
        <v>151</v>
      </c>
      <c r="F207" s="67" t="s">
        <v>119</v>
      </c>
      <c r="G207" s="67" t="s">
        <v>120</v>
      </c>
      <c r="H207" s="68">
        <f>'Cuota Artesanal'!E64</f>
        <v>35.682000000000002</v>
      </c>
      <c r="I207" s="68">
        <f>'Cuota Artesanal'!F64</f>
        <v>0</v>
      </c>
      <c r="J207" s="68">
        <f>'Cuota Artesanal'!G64</f>
        <v>6.6999999999993065E-2</v>
      </c>
      <c r="K207" s="68">
        <f>'Cuota Artesanal'!H64</f>
        <v>0</v>
      </c>
      <c r="L207" s="68">
        <f>'Cuota Artesanal'!I64</f>
        <v>6.6999999999993065E-2</v>
      </c>
      <c r="M207" s="63">
        <f>'Cuota Artesanal'!J64</f>
        <v>0</v>
      </c>
      <c r="N207" s="75" t="str">
        <f>'Cuota Artesanal'!Q64</f>
        <v>-</v>
      </c>
      <c r="O207" s="82">
        <f>Resumen!$B$3</f>
        <v>43508</v>
      </c>
    </row>
    <row r="208" spans="1:15" ht="30">
      <c r="A208" s="67" t="s">
        <v>132</v>
      </c>
      <c r="B208" s="67" t="s">
        <v>115</v>
      </c>
      <c r="C208" s="67" t="s">
        <v>75</v>
      </c>
      <c r="D208" s="67" t="s">
        <v>157</v>
      </c>
      <c r="E208" s="69" t="s">
        <v>151</v>
      </c>
      <c r="F208" s="67" t="s">
        <v>117</v>
      </c>
      <c r="G208" s="67" t="s">
        <v>120</v>
      </c>
      <c r="H208" s="68">
        <f>'Cuota Artesanal'!K63</f>
        <v>713.19799999999998</v>
      </c>
      <c r="I208" s="68">
        <f>'Cuota Artesanal'!L63</f>
        <v>-713.13099999999997</v>
      </c>
      <c r="J208" s="68">
        <f>'Cuota Artesanal'!M63</f>
        <v>6.7000000000007276E-2</v>
      </c>
      <c r="K208" s="68">
        <f>'Cuota Artesanal'!N63</f>
        <v>0</v>
      </c>
      <c r="L208" s="68">
        <f>'Cuota Artesanal'!O63</f>
        <v>6.7000000000007276E-2</v>
      </c>
      <c r="M208" s="63">
        <f>'Cuota Artesanal'!P63</f>
        <v>0</v>
      </c>
      <c r="N208" s="75" t="s">
        <v>156</v>
      </c>
      <c r="O208" s="82">
        <f>Resumen!$B$3</f>
        <v>43508</v>
      </c>
    </row>
    <row r="209" spans="1:15" ht="45">
      <c r="A209" s="67" t="s">
        <v>132</v>
      </c>
      <c r="B209" s="67" t="s">
        <v>115</v>
      </c>
      <c r="C209" s="67" t="s">
        <v>75</v>
      </c>
      <c r="D209" s="67" t="s">
        <v>157</v>
      </c>
      <c r="E209" s="69" t="s">
        <v>179</v>
      </c>
      <c r="F209" s="67" t="s">
        <v>117</v>
      </c>
      <c r="G209" s="65" t="s">
        <v>118</v>
      </c>
      <c r="H209" s="68">
        <f>'Cuota Artesanal'!E65</f>
        <v>90.896000000000001</v>
      </c>
      <c r="I209" s="68">
        <f>'Cuota Artesanal'!F65</f>
        <v>0</v>
      </c>
      <c r="J209" s="68">
        <f>'Cuota Artesanal'!G65</f>
        <v>90.896000000000001</v>
      </c>
      <c r="K209" s="68">
        <f>'Cuota Artesanal'!H65</f>
        <v>0</v>
      </c>
      <c r="L209" s="68">
        <f>'Cuota Artesanal'!I65</f>
        <v>90.896000000000001</v>
      </c>
      <c r="M209" s="63">
        <f>'Cuota Artesanal'!J65</f>
        <v>0</v>
      </c>
      <c r="N209" s="75" t="str">
        <f>'Cuota Artesanal'!Q65</f>
        <v>-</v>
      </c>
      <c r="O209" s="82">
        <f>Resumen!$B$3</f>
        <v>43508</v>
      </c>
    </row>
    <row r="210" spans="1:15" ht="45">
      <c r="A210" s="67" t="s">
        <v>132</v>
      </c>
      <c r="B210" s="67" t="s">
        <v>115</v>
      </c>
      <c r="C210" s="67" t="s">
        <v>75</v>
      </c>
      <c r="D210" s="67" t="s">
        <v>157</v>
      </c>
      <c r="E210" s="69" t="s">
        <v>180</v>
      </c>
      <c r="F210" s="67" t="s">
        <v>119</v>
      </c>
      <c r="G210" s="67" t="s">
        <v>120</v>
      </c>
      <c r="H210" s="68">
        <f>'Cuota Artesanal'!E66</f>
        <v>4.7869999999999999</v>
      </c>
      <c r="I210" s="68">
        <f>'Cuota Artesanal'!F66</f>
        <v>0</v>
      </c>
      <c r="J210" s="68">
        <f>'Cuota Artesanal'!G66</f>
        <v>95.683000000000007</v>
      </c>
      <c r="K210" s="68">
        <f>'Cuota Artesanal'!H66</f>
        <v>0</v>
      </c>
      <c r="L210" s="68">
        <f>'Cuota Artesanal'!I66</f>
        <v>95.683000000000007</v>
      </c>
      <c r="M210" s="63">
        <f>'Cuota Artesanal'!J66</f>
        <v>0</v>
      </c>
      <c r="N210" s="75" t="str">
        <f>'Cuota Artesanal'!Q66</f>
        <v>-</v>
      </c>
      <c r="O210" s="82">
        <f>Resumen!$B$3</f>
        <v>43508</v>
      </c>
    </row>
    <row r="211" spans="1:15" ht="45">
      <c r="A211" s="67" t="s">
        <v>132</v>
      </c>
      <c r="B211" s="67" t="s">
        <v>115</v>
      </c>
      <c r="C211" s="67" t="s">
        <v>75</v>
      </c>
      <c r="D211" s="67" t="s">
        <v>157</v>
      </c>
      <c r="E211" s="69" t="s">
        <v>181</v>
      </c>
      <c r="F211" s="67" t="s">
        <v>117</v>
      </c>
      <c r="G211" s="67" t="s">
        <v>120</v>
      </c>
      <c r="H211" s="68">
        <f>'Cuota Artesanal'!K65</f>
        <v>95.683000000000007</v>
      </c>
      <c r="I211" s="68">
        <f>'Cuota Artesanal'!L65</f>
        <v>0</v>
      </c>
      <c r="J211" s="68">
        <f>'Cuota Artesanal'!M65</f>
        <v>95.683000000000007</v>
      </c>
      <c r="K211" s="68">
        <f>'Cuota Artesanal'!N65</f>
        <v>0</v>
      </c>
      <c r="L211" s="68">
        <f>'Cuota Artesanal'!O65</f>
        <v>95.683000000000007</v>
      </c>
      <c r="M211" s="63">
        <f>'Cuota Artesanal'!P65</f>
        <v>0</v>
      </c>
      <c r="N211" s="75" t="s">
        <v>156</v>
      </c>
      <c r="O211" s="82">
        <f>Resumen!$B$3</f>
        <v>43508</v>
      </c>
    </row>
    <row r="212" spans="1:15">
      <c r="A212" s="67" t="s">
        <v>132</v>
      </c>
      <c r="B212" s="67" t="s">
        <v>115</v>
      </c>
      <c r="C212" s="67" t="s">
        <v>75</v>
      </c>
      <c r="D212" s="67" t="s">
        <v>152</v>
      </c>
      <c r="E212" s="67" t="s">
        <v>152</v>
      </c>
      <c r="F212" s="67" t="s">
        <v>117</v>
      </c>
      <c r="G212" s="65" t="s">
        <v>118</v>
      </c>
      <c r="H212" s="68">
        <f>'Cuota Artesanal'!E67</f>
        <v>224.19900000000001</v>
      </c>
      <c r="I212" s="68">
        <f>'Cuota Artesanal'!F67</f>
        <v>0</v>
      </c>
      <c r="J212" s="68">
        <f>'Cuota Artesanal'!G67</f>
        <v>224.19900000000001</v>
      </c>
      <c r="K212" s="68">
        <f>'Cuota Artesanal'!H67</f>
        <v>16.350000000000001</v>
      </c>
      <c r="L212" s="68">
        <f>'Cuota Artesanal'!I67</f>
        <v>207.84900000000002</v>
      </c>
      <c r="M212" s="63">
        <f>'Cuota Artesanal'!J67</f>
        <v>7.2926284238555933E-2</v>
      </c>
      <c r="N212" s="75" t="str">
        <f>'Cuota Artesanal'!Q67</f>
        <v>-</v>
      </c>
      <c r="O212" s="82">
        <f>Resumen!$B$3</f>
        <v>43508</v>
      </c>
    </row>
    <row r="213" spans="1:15">
      <c r="A213" s="67" t="s">
        <v>132</v>
      </c>
      <c r="B213" s="67" t="s">
        <v>115</v>
      </c>
      <c r="C213" s="67" t="s">
        <v>75</v>
      </c>
      <c r="D213" s="67" t="s">
        <v>152</v>
      </c>
      <c r="E213" s="67" t="s">
        <v>152</v>
      </c>
      <c r="F213" s="67" t="s">
        <v>119</v>
      </c>
      <c r="G213" s="67" t="s">
        <v>120</v>
      </c>
      <c r="H213" s="68">
        <f>'Cuota Artesanal'!E68</f>
        <v>11.808</v>
      </c>
      <c r="I213" s="68">
        <f>'Cuota Artesanal'!F68</f>
        <v>0</v>
      </c>
      <c r="J213" s="68">
        <f>'Cuota Artesanal'!G68</f>
        <v>219.65700000000001</v>
      </c>
      <c r="K213" s="68">
        <f>'Cuota Artesanal'!H68</f>
        <v>0</v>
      </c>
      <c r="L213" s="68">
        <f>'Cuota Artesanal'!I68</f>
        <v>219.65700000000001</v>
      </c>
      <c r="M213" s="63">
        <f>'Cuota Artesanal'!J68</f>
        <v>0</v>
      </c>
      <c r="N213" s="75" t="str">
        <f>'Cuota Artesanal'!Q68</f>
        <v>-</v>
      </c>
      <c r="O213" s="82">
        <f>Resumen!$B$3</f>
        <v>43508</v>
      </c>
    </row>
    <row r="214" spans="1:15">
      <c r="A214" s="67" t="s">
        <v>132</v>
      </c>
      <c r="B214" s="67" t="s">
        <v>115</v>
      </c>
      <c r="C214" s="67" t="s">
        <v>75</v>
      </c>
      <c r="D214" s="67" t="s">
        <v>152</v>
      </c>
      <c r="E214" s="67" t="s">
        <v>152</v>
      </c>
      <c r="F214" s="67" t="s">
        <v>117</v>
      </c>
      <c r="G214" s="67" t="s">
        <v>120</v>
      </c>
      <c r="H214" s="68">
        <f>'Cuota Artesanal'!K67</f>
        <v>236.00700000000001</v>
      </c>
      <c r="I214" s="68">
        <f>'Cuota Artesanal'!L67</f>
        <v>0</v>
      </c>
      <c r="J214" s="68">
        <f>'Cuota Artesanal'!M67</f>
        <v>236.00700000000001</v>
      </c>
      <c r="K214" s="68">
        <f>'Cuota Artesanal'!N67</f>
        <v>16.350000000000001</v>
      </c>
      <c r="L214" s="68">
        <f>'Cuota Artesanal'!O67</f>
        <v>219.65700000000001</v>
      </c>
      <c r="M214" s="63">
        <f>'Cuota Artesanal'!P67</f>
        <v>6.9277606172698278E-2</v>
      </c>
      <c r="N214" s="75" t="s">
        <v>156</v>
      </c>
      <c r="O214" s="82">
        <f>Resumen!$B$3</f>
        <v>43508</v>
      </c>
    </row>
    <row r="215" spans="1:15">
      <c r="A215" s="66" t="s">
        <v>114</v>
      </c>
      <c r="B215" s="67" t="s">
        <v>115</v>
      </c>
      <c r="C215" s="67" t="s">
        <v>63</v>
      </c>
      <c r="D215" s="64" t="s">
        <v>153</v>
      </c>
      <c r="E215" s="64" t="s">
        <v>154</v>
      </c>
      <c r="F215" s="67" t="s">
        <v>117</v>
      </c>
      <c r="G215" s="67" t="s">
        <v>120</v>
      </c>
      <c r="H215" s="68">
        <f>Resumen!D23</f>
        <v>53236.006999999998</v>
      </c>
      <c r="I215" s="68">
        <f>Resumen!E23</f>
        <v>-2475.4740000000002</v>
      </c>
      <c r="J215" s="68">
        <f>Resumen!F23</f>
        <v>50760.532999999996</v>
      </c>
      <c r="K215" s="68">
        <f>Resumen!G23</f>
        <v>0</v>
      </c>
      <c r="L215" s="68">
        <f>Resumen!H23</f>
        <v>50760.532999999996</v>
      </c>
      <c r="M215" s="63">
        <f>Resumen!I23</f>
        <v>0</v>
      </c>
      <c r="N215" s="75" t="s">
        <v>156</v>
      </c>
      <c r="O215" s="82">
        <f>Resumen!$B$3</f>
        <v>43508</v>
      </c>
    </row>
    <row r="216" spans="1:15">
      <c r="A216" s="110" t="s">
        <v>126</v>
      </c>
      <c r="B216" s="111" t="s">
        <v>115</v>
      </c>
      <c r="C216" s="111" t="s">
        <v>127</v>
      </c>
      <c r="D216" s="112" t="s">
        <v>153</v>
      </c>
      <c r="E216" s="112" t="s">
        <v>154</v>
      </c>
      <c r="F216" s="111" t="s">
        <v>117</v>
      </c>
      <c r="G216" s="111" t="s">
        <v>120</v>
      </c>
      <c r="H216" s="218">
        <f>Resumen!D24</f>
        <v>11235.004000000001</v>
      </c>
      <c r="I216" s="218">
        <f>Resumen!E24</f>
        <v>0</v>
      </c>
      <c r="J216" s="218">
        <f>Resumen!F24</f>
        <v>11235.004000000001</v>
      </c>
      <c r="K216" s="218">
        <f>Resumen!G24</f>
        <v>0</v>
      </c>
      <c r="L216" s="218">
        <f>Resumen!H24</f>
        <v>11235.004000000001</v>
      </c>
      <c r="M216" s="113">
        <f>Resumen!I24</f>
        <v>0</v>
      </c>
      <c r="N216" s="114" t="s">
        <v>156</v>
      </c>
      <c r="O216" s="82">
        <f>Resumen!$B$3</f>
        <v>43508</v>
      </c>
    </row>
    <row r="217" spans="1:15">
      <c r="A217" s="66" t="s">
        <v>130</v>
      </c>
      <c r="B217" s="67" t="s">
        <v>115</v>
      </c>
      <c r="C217" s="67" t="s">
        <v>80</v>
      </c>
      <c r="D217" s="64" t="s">
        <v>153</v>
      </c>
      <c r="E217" s="64" t="s">
        <v>154</v>
      </c>
      <c r="F217" s="67" t="s">
        <v>117</v>
      </c>
      <c r="G217" s="67" t="s">
        <v>120</v>
      </c>
      <c r="H217" s="68">
        <f>Resumen!D25</f>
        <v>241000.024</v>
      </c>
      <c r="I217" s="68">
        <f>Resumen!E25</f>
        <v>2475.4740000000002</v>
      </c>
      <c r="J217" s="68">
        <f>Resumen!F25</f>
        <v>243475.49799999999</v>
      </c>
      <c r="K217" s="68">
        <f>Resumen!G25</f>
        <v>63853.065999999999</v>
      </c>
      <c r="L217" s="68">
        <f>Resumen!H25</f>
        <v>179622.432</v>
      </c>
      <c r="M217" s="63">
        <f>Resumen!I25</f>
        <v>0.26225663988579256</v>
      </c>
      <c r="N217" s="75" t="s">
        <v>156</v>
      </c>
      <c r="O217" s="82">
        <f>Resumen!$B$3</f>
        <v>43508</v>
      </c>
    </row>
    <row r="218" spans="1:15">
      <c r="A218" s="66" t="s">
        <v>132</v>
      </c>
      <c r="B218" s="67" t="s">
        <v>115</v>
      </c>
      <c r="C218" s="67" t="s">
        <v>86</v>
      </c>
      <c r="D218" s="64" t="s">
        <v>153</v>
      </c>
      <c r="E218" s="64" t="s">
        <v>154</v>
      </c>
      <c r="F218" s="67" t="s">
        <v>117</v>
      </c>
      <c r="G218" s="67" t="s">
        <v>120</v>
      </c>
      <c r="H218" s="68">
        <f>Resumen!D26</f>
        <v>33560.999000000003</v>
      </c>
      <c r="I218" s="68">
        <f>Resumen!E26</f>
        <v>713.13099999999997</v>
      </c>
      <c r="J218" s="68">
        <f>Resumen!F26</f>
        <v>34274.130000000005</v>
      </c>
      <c r="K218" s="68">
        <f>Resumen!G26</f>
        <v>0</v>
      </c>
      <c r="L218" s="68">
        <f>Resumen!H26</f>
        <v>34274.130000000005</v>
      </c>
      <c r="M218" s="63">
        <f>Resumen!I26</f>
        <v>0</v>
      </c>
      <c r="N218" s="75" t="s">
        <v>156</v>
      </c>
      <c r="O218" s="82">
        <f>Resumen!$B$3</f>
        <v>43508</v>
      </c>
    </row>
    <row r="219" spans="1:15">
      <c r="A219" s="66" t="s">
        <v>114</v>
      </c>
      <c r="B219" s="67" t="s">
        <v>115</v>
      </c>
      <c r="C219" s="67" t="s">
        <v>133</v>
      </c>
      <c r="D219" s="67" t="s">
        <v>158</v>
      </c>
      <c r="E219" s="73" t="s">
        <v>155</v>
      </c>
      <c r="F219" s="67" t="s">
        <v>117</v>
      </c>
      <c r="G219" s="67" t="s">
        <v>120</v>
      </c>
      <c r="H219" s="68">
        <f>Resumen!D6</f>
        <v>1326</v>
      </c>
      <c r="I219" s="68">
        <f>Resumen!E6</f>
        <v>0</v>
      </c>
      <c r="J219" s="68">
        <f>Resumen!F6</f>
        <v>1326</v>
      </c>
      <c r="K219" s="68">
        <f>Resumen!G6</f>
        <v>0</v>
      </c>
      <c r="L219" s="68">
        <f>Resumen!H6</f>
        <v>1326</v>
      </c>
      <c r="M219" s="63">
        <f>Resumen!I6</f>
        <v>0</v>
      </c>
      <c r="N219" s="75" t="s">
        <v>156</v>
      </c>
      <c r="O219" s="82">
        <f>Resumen!$B$3</f>
        <v>43508</v>
      </c>
    </row>
    <row r="220" spans="1:15">
      <c r="A220" s="66" t="s">
        <v>114</v>
      </c>
      <c r="B220" s="67" t="s">
        <v>115</v>
      </c>
      <c r="C220" s="67" t="s">
        <v>35</v>
      </c>
      <c r="D220" s="67" t="s">
        <v>123</v>
      </c>
      <c r="E220" s="67" t="s">
        <v>158</v>
      </c>
      <c r="F220" s="67" t="s">
        <v>117</v>
      </c>
      <c r="G220" s="67" t="s">
        <v>120</v>
      </c>
      <c r="H220" s="68">
        <f>Resumen!D7</f>
        <v>1326</v>
      </c>
      <c r="I220" s="68">
        <f>Resumen!E7</f>
        <v>0</v>
      </c>
      <c r="J220" s="68">
        <f>Resumen!F7</f>
        <v>1326</v>
      </c>
      <c r="K220" s="68">
        <f>Resumen!G7</f>
        <v>2.5000000000000001E-2</v>
      </c>
      <c r="L220" s="68">
        <f>Resumen!H7</f>
        <v>1325.9749999999999</v>
      </c>
      <c r="M220" s="63">
        <f>Resumen!I7</f>
        <v>1.885369532428356E-5</v>
      </c>
      <c r="N220" s="75" t="s">
        <v>156</v>
      </c>
      <c r="O220" s="82">
        <f>Resumen!$B$3</f>
        <v>43508</v>
      </c>
    </row>
    <row r="221" spans="1:15">
      <c r="A221" s="66" t="s">
        <v>126</v>
      </c>
      <c r="B221" s="65" t="s">
        <v>115</v>
      </c>
      <c r="C221" s="65" t="s">
        <v>138</v>
      </c>
      <c r="D221" s="65" t="s">
        <v>134</v>
      </c>
      <c r="E221" s="65" t="s">
        <v>207</v>
      </c>
      <c r="F221" s="65" t="s">
        <v>135</v>
      </c>
      <c r="G221" s="65" t="s">
        <v>120</v>
      </c>
      <c r="H221" s="219">
        <f>'Cuota Artesanal'!K82</f>
        <v>0</v>
      </c>
      <c r="I221" s="219">
        <f>'Cuota Artesanal'!L82</f>
        <v>0</v>
      </c>
      <c r="J221" s="219">
        <f>'Cuota Artesanal'!M82</f>
        <v>0</v>
      </c>
      <c r="K221" s="219">
        <f>'Cuota Artesanal'!N82</f>
        <v>0</v>
      </c>
      <c r="L221" s="219">
        <f>'Cuota Artesanal'!O82</f>
        <v>0</v>
      </c>
      <c r="M221" s="86">
        <f>'Cuota Artesanal'!P82</f>
        <v>0</v>
      </c>
      <c r="N221" s="65" t="s">
        <v>156</v>
      </c>
      <c r="O221" s="82">
        <f>Resumen!$B$3</f>
        <v>43508</v>
      </c>
    </row>
    <row r="222" spans="1:15">
      <c r="A222" s="66" t="s">
        <v>126</v>
      </c>
      <c r="B222" s="67" t="s">
        <v>115</v>
      </c>
      <c r="C222" s="67" t="s">
        <v>137</v>
      </c>
      <c r="D222" s="67" t="s">
        <v>158</v>
      </c>
      <c r="E222" s="104" t="s">
        <v>155</v>
      </c>
      <c r="F222" s="67" t="s">
        <v>117</v>
      </c>
      <c r="G222" s="67" t="s">
        <v>120</v>
      </c>
      <c r="H222" s="68">
        <f>Resumen!D10</f>
        <v>8174.9989999999998</v>
      </c>
      <c r="I222" s="68">
        <f>Resumen!E10</f>
        <v>0</v>
      </c>
      <c r="J222" s="68">
        <f>Resumen!F10</f>
        <v>8174.9989999999998</v>
      </c>
      <c r="K222" s="68">
        <f>Resumen!G10</f>
        <v>1934.355</v>
      </c>
      <c r="L222" s="68">
        <f>Resumen!H10</f>
        <v>6240.6440000000002</v>
      </c>
      <c r="M222" s="63">
        <f>Resumen!I10</f>
        <v>0.23661837756799725</v>
      </c>
      <c r="N222" s="75" t="s">
        <v>156</v>
      </c>
      <c r="O222" s="82">
        <f>Resumen!$B$3</f>
        <v>43508</v>
      </c>
    </row>
    <row r="223" spans="1:15">
      <c r="A223" s="66" t="s">
        <v>130</v>
      </c>
      <c r="B223" s="67" t="s">
        <v>115</v>
      </c>
      <c r="C223" s="67" t="s">
        <v>140</v>
      </c>
      <c r="D223" s="67" t="s">
        <v>158</v>
      </c>
      <c r="E223" s="73" t="s">
        <v>155</v>
      </c>
      <c r="F223" s="67" t="s">
        <v>117</v>
      </c>
      <c r="G223" s="67" t="s">
        <v>120</v>
      </c>
      <c r="H223" s="68">
        <f>Resumen!D11</f>
        <v>3849.0010000000002</v>
      </c>
      <c r="I223" s="68">
        <f>Resumen!E11</f>
        <v>0</v>
      </c>
      <c r="J223" s="68">
        <f>Resumen!F11</f>
        <v>3849.0010000000002</v>
      </c>
      <c r="K223" s="68">
        <f>Resumen!G11</f>
        <v>82.55</v>
      </c>
      <c r="L223" s="68">
        <f>Resumen!H11</f>
        <v>3766.451</v>
      </c>
      <c r="M223" s="63">
        <f>Resumen!I11</f>
        <v>2.1447123552319158E-2</v>
      </c>
      <c r="N223" s="75" t="s">
        <v>156</v>
      </c>
      <c r="O223" s="82">
        <f>Resumen!$B$3</f>
        <v>43508</v>
      </c>
    </row>
    <row r="224" spans="1:15">
      <c r="A224" s="66" t="s">
        <v>130</v>
      </c>
      <c r="B224" s="67" t="s">
        <v>115</v>
      </c>
      <c r="C224" s="67" t="s">
        <v>143</v>
      </c>
      <c r="D224" s="67" t="s">
        <v>158</v>
      </c>
      <c r="E224" s="73" t="s">
        <v>155</v>
      </c>
      <c r="F224" s="67" t="s">
        <v>117</v>
      </c>
      <c r="G224" s="67" t="s">
        <v>120</v>
      </c>
      <c r="H224" s="68">
        <f>Resumen!D12</f>
        <v>15</v>
      </c>
      <c r="I224" s="68">
        <f>Resumen!E12</f>
        <v>0</v>
      </c>
      <c r="J224" s="68">
        <f>Resumen!F12</f>
        <v>15</v>
      </c>
      <c r="K224" s="68">
        <f>Resumen!G12</f>
        <v>4.34</v>
      </c>
      <c r="L224" s="68">
        <f>Resumen!H12</f>
        <v>10.66</v>
      </c>
      <c r="M224" s="63">
        <f>Resumen!I12</f>
        <v>0.28933333333333333</v>
      </c>
      <c r="N224" s="75" t="s">
        <v>156</v>
      </c>
      <c r="O224" s="82">
        <f>Resumen!$B$3</f>
        <v>43508</v>
      </c>
    </row>
    <row r="225" spans="1:15">
      <c r="A225" s="66" t="s">
        <v>130</v>
      </c>
      <c r="B225" s="67" t="s">
        <v>115</v>
      </c>
      <c r="C225" s="67" t="s">
        <v>87</v>
      </c>
      <c r="D225" s="67" t="s">
        <v>158</v>
      </c>
      <c r="E225" s="73" t="s">
        <v>155</v>
      </c>
      <c r="F225" s="67" t="s">
        <v>117</v>
      </c>
      <c r="G225" s="67" t="s">
        <v>120</v>
      </c>
      <c r="H225" s="68">
        <f>Resumen!D13</f>
        <v>126</v>
      </c>
      <c r="I225" s="68">
        <f>Resumen!E13</f>
        <v>0</v>
      </c>
      <c r="J225" s="68">
        <f>Resumen!F13</f>
        <v>126</v>
      </c>
      <c r="K225" s="68">
        <f>Resumen!G13</f>
        <v>24.062999999999999</v>
      </c>
      <c r="L225" s="68">
        <f>Resumen!H13</f>
        <v>101.937</v>
      </c>
      <c r="M225" s="63">
        <f>Resumen!I13</f>
        <v>0.19097619047619047</v>
      </c>
      <c r="N225" s="75" t="s">
        <v>156</v>
      </c>
      <c r="O225" s="82">
        <f>Resumen!$B$3</f>
        <v>43508</v>
      </c>
    </row>
    <row r="226" spans="1:15">
      <c r="A226" s="66" t="s">
        <v>130</v>
      </c>
      <c r="B226" s="67" t="s">
        <v>115</v>
      </c>
      <c r="C226" s="67" t="s">
        <v>146</v>
      </c>
      <c r="D226" s="67" t="s">
        <v>158</v>
      </c>
      <c r="E226" s="73" t="s">
        <v>155</v>
      </c>
      <c r="F226" s="67" t="s">
        <v>117</v>
      </c>
      <c r="G226" s="67" t="s">
        <v>120</v>
      </c>
      <c r="H226" s="68">
        <f>Resumen!D14</f>
        <v>8200</v>
      </c>
      <c r="I226" s="68">
        <f>Resumen!E14</f>
        <v>0</v>
      </c>
      <c r="J226" s="68">
        <f>Resumen!F14</f>
        <v>8200</v>
      </c>
      <c r="K226" s="68">
        <f>Resumen!G14</f>
        <v>9336.8189999999995</v>
      </c>
      <c r="L226" s="68">
        <f>Resumen!H14</f>
        <v>-1136.8189999999995</v>
      </c>
      <c r="M226" s="63">
        <f>Resumen!I14</f>
        <v>1.138636463414634</v>
      </c>
      <c r="N226" s="75" t="s">
        <v>156</v>
      </c>
      <c r="O226" s="82">
        <f>Resumen!$B$3</f>
        <v>43508</v>
      </c>
    </row>
    <row r="227" spans="1:15">
      <c r="A227" s="66" t="s">
        <v>130</v>
      </c>
      <c r="B227" s="67" t="s">
        <v>115</v>
      </c>
      <c r="C227" s="67" t="s">
        <v>45</v>
      </c>
      <c r="D227" s="67" t="s">
        <v>158</v>
      </c>
      <c r="E227" s="73" t="s">
        <v>155</v>
      </c>
      <c r="F227" s="67" t="s">
        <v>117</v>
      </c>
      <c r="G227" s="67" t="s">
        <v>120</v>
      </c>
      <c r="H227" s="68">
        <f>Resumen!D15</f>
        <v>185</v>
      </c>
      <c r="I227" s="68">
        <f>Resumen!E15</f>
        <v>0</v>
      </c>
      <c r="J227" s="68">
        <f>Resumen!F15</f>
        <v>185</v>
      </c>
      <c r="K227" s="68">
        <f>Resumen!G15</f>
        <v>1.24</v>
      </c>
      <c r="L227" s="68">
        <f>Resumen!H15</f>
        <v>183.76</v>
      </c>
      <c r="M227" s="63">
        <f>Resumen!I15</f>
        <v>6.7027027027027029E-3</v>
      </c>
      <c r="N227" s="75" t="s">
        <v>156</v>
      </c>
      <c r="O227" s="82">
        <f>Resumen!$B$3</f>
        <v>43508</v>
      </c>
    </row>
    <row r="228" spans="1:15">
      <c r="A228" s="67" t="s">
        <v>132</v>
      </c>
      <c r="B228" s="67" t="s">
        <v>115</v>
      </c>
      <c r="C228" s="67" t="s">
        <v>46</v>
      </c>
      <c r="D228" s="67" t="s">
        <v>158</v>
      </c>
      <c r="E228" s="73" t="s">
        <v>155</v>
      </c>
      <c r="F228" s="67" t="s">
        <v>117</v>
      </c>
      <c r="G228" s="67" t="s">
        <v>120</v>
      </c>
      <c r="H228" s="68">
        <f>Resumen!D16</f>
        <v>959</v>
      </c>
      <c r="I228" s="68">
        <f>Resumen!E16</f>
        <v>0</v>
      </c>
      <c r="J228" s="68">
        <f>Resumen!F16</f>
        <v>959</v>
      </c>
      <c r="K228" s="68">
        <f>Resumen!G16</f>
        <v>0</v>
      </c>
      <c r="L228" s="68">
        <f>Resumen!H16</f>
        <v>959</v>
      </c>
      <c r="M228" s="63">
        <f>Resumen!I16</f>
        <v>0</v>
      </c>
      <c r="N228" s="75" t="s">
        <v>156</v>
      </c>
      <c r="O228" s="82">
        <f>Resumen!$B$3</f>
        <v>43508</v>
      </c>
    </row>
    <row r="229" spans="1:15">
      <c r="A229" s="67" t="s">
        <v>132</v>
      </c>
      <c r="B229" s="67" t="s">
        <v>115</v>
      </c>
      <c r="C229" s="67" t="s">
        <v>75</v>
      </c>
      <c r="D229" s="67" t="s">
        <v>158</v>
      </c>
      <c r="E229" s="73" t="s">
        <v>155</v>
      </c>
      <c r="F229" s="67" t="s">
        <v>117</v>
      </c>
      <c r="G229" s="67" t="s">
        <v>120</v>
      </c>
      <c r="H229" s="68">
        <f>Resumen!D17</f>
        <v>6415.998999999998</v>
      </c>
      <c r="I229" s="68">
        <f>Resumen!E17</f>
        <v>-713.13099999999997</v>
      </c>
      <c r="J229" s="68">
        <f>Resumen!F17</f>
        <v>5702.8679999999995</v>
      </c>
      <c r="K229" s="68">
        <f>Resumen!G17</f>
        <v>131.81</v>
      </c>
      <c r="L229" s="68">
        <f>Resumen!H17</f>
        <v>5571.0579999999991</v>
      </c>
      <c r="M229" s="63">
        <f>Resumen!I17</f>
        <v>2.3112931949327956E-2</v>
      </c>
      <c r="N229" s="75" t="s">
        <v>156</v>
      </c>
      <c r="O229" s="82">
        <f>Resumen!$B$3</f>
        <v>43508</v>
      </c>
    </row>
    <row r="230" spans="1:15">
      <c r="A230" s="66" t="s">
        <v>114</v>
      </c>
      <c r="B230" s="67" t="s">
        <v>115</v>
      </c>
      <c r="C230" s="67" t="s">
        <v>63</v>
      </c>
      <c r="D230" s="67" t="s">
        <v>116</v>
      </c>
      <c r="E230" s="67" t="s">
        <v>166</v>
      </c>
      <c r="F230" s="67" t="s">
        <v>117</v>
      </c>
      <c r="G230" s="65" t="s">
        <v>118</v>
      </c>
      <c r="H230" s="68">
        <f>'Cuota Industrial'!E22</f>
        <v>1252.106</v>
      </c>
      <c r="I230" s="68">
        <f>'Cuota Industrial'!F22</f>
        <v>0</v>
      </c>
      <c r="J230" s="68">
        <f>'Cuota Industrial'!G22</f>
        <v>1252.106</v>
      </c>
      <c r="K230" s="68">
        <f>'Cuota Industrial'!H22</f>
        <v>0</v>
      </c>
      <c r="L230" s="68">
        <f>'Cuota Industrial'!I22</f>
        <v>1252.106</v>
      </c>
      <c r="M230" s="63">
        <f>'Cuota Industrial'!J22</f>
        <v>0</v>
      </c>
      <c r="N230" s="63" t="s">
        <v>156</v>
      </c>
      <c r="O230" s="82">
        <f>Resumen!$B$3</f>
        <v>43508</v>
      </c>
    </row>
    <row r="231" spans="1:15">
      <c r="A231" s="66" t="s">
        <v>114</v>
      </c>
      <c r="B231" s="67" t="s">
        <v>115</v>
      </c>
      <c r="C231" s="67" t="s">
        <v>63</v>
      </c>
      <c r="D231" s="67" t="s">
        <v>116</v>
      </c>
      <c r="E231" s="67" t="s">
        <v>166</v>
      </c>
      <c r="F231" s="67" t="s">
        <v>119</v>
      </c>
      <c r="G231" s="67" t="s">
        <v>120</v>
      </c>
      <c r="H231" s="68">
        <f>'Cuota Industrial'!E23</f>
        <v>25.562000000000001</v>
      </c>
      <c r="I231" s="68">
        <f>'Cuota Industrial'!F23</f>
        <v>0</v>
      </c>
      <c r="J231" s="68">
        <f>'Cuota Industrial'!G23</f>
        <v>1277.6679999999999</v>
      </c>
      <c r="K231" s="68">
        <f>'Cuota Industrial'!H23</f>
        <v>0</v>
      </c>
      <c r="L231" s="68">
        <f>'Cuota Industrial'!I23</f>
        <v>1277.6679999999999</v>
      </c>
      <c r="M231" s="63">
        <f>'Cuota Industrial'!J23</f>
        <v>0</v>
      </c>
      <c r="N231" s="75" t="s">
        <v>156</v>
      </c>
      <c r="O231" s="82">
        <f>Resumen!$B$3</f>
        <v>43508</v>
      </c>
    </row>
    <row r="232" spans="1:15">
      <c r="A232" s="66" t="s">
        <v>114</v>
      </c>
      <c r="B232" s="67" t="s">
        <v>115</v>
      </c>
      <c r="C232" s="67" t="s">
        <v>63</v>
      </c>
      <c r="D232" s="67" t="s">
        <v>116</v>
      </c>
      <c r="E232" s="67" t="s">
        <v>166</v>
      </c>
      <c r="F232" s="67" t="s">
        <v>117</v>
      </c>
      <c r="G232" s="67" t="s">
        <v>120</v>
      </c>
      <c r="H232" s="68">
        <f>'Cuota Industrial'!K22</f>
        <v>1277.6679999999999</v>
      </c>
      <c r="I232" s="68">
        <f>'Cuota Industrial'!L22</f>
        <v>0</v>
      </c>
      <c r="J232" s="68">
        <f>'Cuota Industrial'!M22</f>
        <v>1277.6679999999999</v>
      </c>
      <c r="K232" s="68">
        <f>'Cuota Industrial'!N22</f>
        <v>0</v>
      </c>
      <c r="L232" s="68">
        <f>'Cuota Industrial'!O22</f>
        <v>1277.6679999999999</v>
      </c>
      <c r="M232" s="63">
        <f>'Cuota Industrial'!P22</f>
        <v>0</v>
      </c>
      <c r="N232" s="75" t="s">
        <v>156</v>
      </c>
      <c r="O232" s="82">
        <f>Resumen!$B$3</f>
        <v>43508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Jurel-ORP</vt:lpstr>
      <vt:lpstr>Cesiones Cuota Individual</vt:lpstr>
      <vt:lpstr>Consumo Humano</vt:lpstr>
      <vt:lpstr>Pag.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2018-02-08T15:15:02Z</dcterms:created>
  <dcterms:modified xsi:type="dcterms:W3CDTF">2019-02-14T18:34:36Z</dcterms:modified>
</cp:coreProperties>
</file>