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817" activeTab="1"/>
  </bookViews>
  <sheets>
    <sheet name="Resumen" sheetId="3" r:id="rId1"/>
    <sheet name="Cuota Artesanal" sheetId="1" r:id="rId2"/>
    <sheet name="Cuota Industrial" sheetId="2" r:id="rId3"/>
    <sheet name="Jurel OROP-PS" sheetId="4" r:id="rId4"/>
    <sheet name="Consumo Humano" sheetId="7" r:id="rId5"/>
    <sheet name="Cesiones Cuota Individual" sheetId="5" r:id="rId6"/>
    <sheet name="Pag. Web" sheetId="6" r:id="rId7"/>
  </sheets>
  <definedNames>
    <definedName name="_xlnm._FilterDatabase" localSheetId="5" hidden="1">'Cesiones Cuota Individual'!$B$6:$H$8</definedName>
    <definedName name="_xlnm._FilterDatabase" localSheetId="1" hidden="1">'Cuota Artesanal'!$B$5:$P$6</definedName>
    <definedName name="_xlnm._FilterDatabase" localSheetId="2" hidden="1">'Cuota Industrial'!$B$5:$Q$115</definedName>
    <definedName name="_xlnm._FilterDatabase" localSheetId="6" hidden="1">'Pag. Web'!$A$1:$O$247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6" i="4" l="1"/>
  <c r="E79" i="4" l="1"/>
  <c r="H79" i="4"/>
  <c r="G79" i="4"/>
  <c r="I76" i="4"/>
  <c r="H76" i="4"/>
  <c r="F18" i="1"/>
  <c r="F56" i="2" l="1"/>
  <c r="F91" i="2"/>
  <c r="F45" i="2"/>
  <c r="G42" i="3"/>
  <c r="F42" i="3"/>
  <c r="B3" i="2" l="1"/>
  <c r="F62" i="2" l="1"/>
  <c r="F66" i="2" l="1"/>
  <c r="F105" i="2"/>
  <c r="E26" i="1"/>
  <c r="E25" i="1"/>
  <c r="F70" i="2" l="1"/>
  <c r="F43" i="2"/>
  <c r="F109" i="2"/>
  <c r="H72" i="4" l="1"/>
  <c r="J72" i="4" l="1"/>
  <c r="I72" i="4"/>
  <c r="F101" i="2" l="1"/>
  <c r="H67" i="4" l="1"/>
  <c r="F54" i="2" l="1"/>
  <c r="I67" i="4" l="1"/>
  <c r="J67" i="4" l="1"/>
  <c r="H48" i="4"/>
  <c r="L101" i="2" l="1"/>
  <c r="F52" i="2" l="1"/>
  <c r="K116" i="6" l="1"/>
  <c r="I117" i="6"/>
  <c r="K117" i="6"/>
  <c r="H117" i="6"/>
  <c r="H116" i="6"/>
  <c r="I113" i="6"/>
  <c r="K113" i="6"/>
  <c r="M113" i="6"/>
  <c r="I114" i="6"/>
  <c r="K114" i="6"/>
  <c r="M115" i="6"/>
  <c r="H114" i="6"/>
  <c r="H113" i="6"/>
  <c r="I110" i="6"/>
  <c r="K110" i="6"/>
  <c r="M110" i="6"/>
  <c r="I111" i="6"/>
  <c r="K111" i="6"/>
  <c r="M112" i="6"/>
  <c r="H111" i="6"/>
  <c r="H110" i="6"/>
  <c r="I107" i="6"/>
  <c r="K107" i="6"/>
  <c r="I108" i="6"/>
  <c r="K108" i="6"/>
  <c r="H107" i="6"/>
  <c r="I104" i="6"/>
  <c r="K104" i="6"/>
  <c r="I105" i="6"/>
  <c r="K105" i="6"/>
  <c r="M105" i="6"/>
  <c r="M106" i="6"/>
  <c r="H104" i="6"/>
  <c r="I101" i="6"/>
  <c r="K101" i="6"/>
  <c r="I102" i="6"/>
  <c r="K102" i="6"/>
  <c r="H101" i="6"/>
  <c r="I98" i="6"/>
  <c r="K98" i="6"/>
  <c r="I99" i="6"/>
  <c r="K99" i="6"/>
  <c r="M100" i="6"/>
  <c r="H99" i="6"/>
  <c r="H98" i="6"/>
  <c r="I95" i="6"/>
  <c r="K95" i="6"/>
  <c r="I96" i="6"/>
  <c r="K96" i="6"/>
  <c r="H95" i="6"/>
  <c r="I92" i="6"/>
  <c r="K92" i="6"/>
  <c r="I93" i="6"/>
  <c r="K93" i="6"/>
  <c r="H92" i="6"/>
  <c r="K89" i="6"/>
  <c r="I90" i="6"/>
  <c r="K90" i="6"/>
  <c r="H90" i="6"/>
  <c r="H89" i="6"/>
  <c r="I86" i="6"/>
  <c r="K86" i="6"/>
  <c r="I87" i="6"/>
  <c r="K87" i="6"/>
  <c r="H86" i="6"/>
  <c r="I83" i="6"/>
  <c r="K83" i="6"/>
  <c r="I84" i="6"/>
  <c r="K84" i="6"/>
  <c r="H83" i="6"/>
  <c r="K80" i="6"/>
  <c r="I81" i="6"/>
  <c r="K81" i="6"/>
  <c r="H81" i="6"/>
  <c r="H80" i="6"/>
  <c r="K77" i="6"/>
  <c r="I78" i="6"/>
  <c r="K78" i="6"/>
  <c r="H77" i="6"/>
  <c r="K74" i="6"/>
  <c r="I75" i="6"/>
  <c r="K75" i="6"/>
  <c r="H74" i="6"/>
  <c r="I71" i="6"/>
  <c r="K71" i="6"/>
  <c r="I72" i="6"/>
  <c r="K72" i="6"/>
  <c r="H72" i="6"/>
  <c r="H71" i="6"/>
  <c r="I68" i="6"/>
  <c r="K68" i="6"/>
  <c r="I69" i="6"/>
  <c r="K69" i="6"/>
  <c r="H69" i="6"/>
  <c r="O140" i="6"/>
  <c r="P140" i="6" s="1"/>
  <c r="O141" i="6"/>
  <c r="P141" i="6" s="1"/>
  <c r="O142" i="6"/>
  <c r="P142" i="6" s="1"/>
  <c r="O29" i="6"/>
  <c r="P29" i="6" s="1"/>
  <c r="O30" i="6"/>
  <c r="P30" i="6" s="1"/>
  <c r="O31" i="6"/>
  <c r="P31" i="6" s="1"/>
  <c r="O113" i="6"/>
  <c r="P113" i="6" s="1"/>
  <c r="O114" i="6"/>
  <c r="P114" i="6" s="1"/>
  <c r="O115" i="6"/>
  <c r="P115" i="6" s="1"/>
  <c r="O116" i="6"/>
  <c r="P116" i="6" s="1"/>
  <c r="O117" i="6"/>
  <c r="P117" i="6" s="1"/>
  <c r="O118" i="6"/>
  <c r="P118" i="6" s="1"/>
  <c r="B3" i="5"/>
  <c r="C4" i="7"/>
  <c r="B3" i="4"/>
  <c r="H53" i="4" l="1"/>
  <c r="J53" i="4" s="1"/>
  <c r="H43" i="4"/>
  <c r="I53" i="4" l="1"/>
  <c r="F20" i="2"/>
  <c r="F18" i="2"/>
  <c r="F16" i="2"/>
  <c r="F12" i="2"/>
  <c r="F10" i="2"/>
  <c r="I158" i="6"/>
  <c r="K158" i="6"/>
  <c r="I159" i="6"/>
  <c r="K159" i="6"/>
  <c r="H159" i="6"/>
  <c r="H158" i="6"/>
  <c r="I155" i="6"/>
  <c r="K155" i="6"/>
  <c r="I156" i="6"/>
  <c r="K156" i="6"/>
  <c r="H156" i="6"/>
  <c r="H155" i="6"/>
  <c r="I152" i="6"/>
  <c r="K152" i="6"/>
  <c r="I153" i="6"/>
  <c r="K153" i="6"/>
  <c r="H153" i="6"/>
  <c r="H152" i="6"/>
  <c r="I149" i="6"/>
  <c r="K149" i="6"/>
  <c r="I150" i="6"/>
  <c r="K150" i="6"/>
  <c r="H150" i="6"/>
  <c r="H149" i="6"/>
  <c r="K146" i="6"/>
  <c r="I147" i="6"/>
  <c r="K147" i="6"/>
  <c r="H147" i="6"/>
  <c r="H146" i="6"/>
  <c r="I143" i="6"/>
  <c r="K143" i="6"/>
  <c r="I144" i="6"/>
  <c r="K144" i="6"/>
  <c r="H144" i="6"/>
  <c r="H143" i="6"/>
  <c r="I140" i="6"/>
  <c r="K140" i="6"/>
  <c r="I141" i="6"/>
  <c r="K141" i="6"/>
  <c r="M142" i="6"/>
  <c r="H141" i="6"/>
  <c r="H140" i="6"/>
  <c r="K137" i="6"/>
  <c r="I138" i="6"/>
  <c r="K138" i="6"/>
  <c r="M139" i="6"/>
  <c r="H138" i="6"/>
  <c r="H137" i="6"/>
  <c r="I134" i="6"/>
  <c r="K134" i="6"/>
  <c r="I135" i="6"/>
  <c r="K135" i="6"/>
  <c r="M135" i="6"/>
  <c r="M136" i="6"/>
  <c r="H135" i="6"/>
  <c r="H134" i="6"/>
  <c r="I131" i="6"/>
  <c r="K131" i="6"/>
  <c r="I132" i="6"/>
  <c r="K132" i="6"/>
  <c r="H132" i="6"/>
  <c r="H131" i="6"/>
  <c r="I128" i="6"/>
  <c r="K128" i="6"/>
  <c r="I129" i="6"/>
  <c r="K129" i="6"/>
  <c r="H129" i="6"/>
  <c r="H128" i="6"/>
  <c r="I125" i="6"/>
  <c r="K125" i="6"/>
  <c r="I126" i="6"/>
  <c r="K126" i="6"/>
  <c r="H126" i="6"/>
  <c r="H125" i="6"/>
  <c r="I122" i="6"/>
  <c r="K122" i="6"/>
  <c r="I123" i="6"/>
  <c r="K123" i="6"/>
  <c r="H123" i="6"/>
  <c r="H122" i="6"/>
  <c r="K119" i="6"/>
  <c r="I120" i="6"/>
  <c r="K120" i="6"/>
  <c r="H120" i="6"/>
  <c r="H119" i="6"/>
  <c r="I65" i="6"/>
  <c r="K65" i="6"/>
  <c r="I66" i="6"/>
  <c r="K66" i="6"/>
  <c r="M67" i="6"/>
  <c r="H66" i="6"/>
  <c r="H65" i="6"/>
  <c r="I62" i="6"/>
  <c r="K62" i="6"/>
  <c r="I63" i="6"/>
  <c r="K63" i="6"/>
  <c r="H63" i="6"/>
  <c r="H62" i="6"/>
  <c r="I59" i="6"/>
  <c r="K59" i="6"/>
  <c r="I60" i="6"/>
  <c r="K60" i="6"/>
  <c r="H60" i="6"/>
  <c r="H59" i="6"/>
  <c r="I56" i="6"/>
  <c r="K56" i="6"/>
  <c r="I57" i="6"/>
  <c r="K57" i="6"/>
  <c r="H57" i="6"/>
  <c r="H56" i="6"/>
  <c r="I53" i="6"/>
  <c r="K53" i="6"/>
  <c r="I54" i="6"/>
  <c r="K54" i="6"/>
  <c r="H54" i="6"/>
  <c r="H53" i="6"/>
  <c r="K50" i="6"/>
  <c r="I51" i="6"/>
  <c r="K51" i="6"/>
  <c r="H51" i="6"/>
  <c r="H50" i="6"/>
  <c r="I47" i="6"/>
  <c r="K47" i="6"/>
  <c r="I48" i="6"/>
  <c r="K48" i="6"/>
  <c r="H48" i="6"/>
  <c r="H47" i="6"/>
  <c r="I44" i="6"/>
  <c r="K44" i="6"/>
  <c r="I45" i="6"/>
  <c r="K45" i="6"/>
  <c r="H45" i="6"/>
  <c r="H44" i="6"/>
  <c r="I41" i="6"/>
  <c r="K41" i="6"/>
  <c r="I42" i="6"/>
  <c r="K42" i="6"/>
  <c r="H42" i="6"/>
  <c r="H41" i="6"/>
  <c r="I38" i="6"/>
  <c r="K38" i="6"/>
  <c r="I39" i="6"/>
  <c r="K39" i="6"/>
  <c r="M39" i="6"/>
  <c r="M40" i="6"/>
  <c r="H39" i="6"/>
  <c r="H38" i="6"/>
  <c r="I35" i="6"/>
  <c r="K35" i="6"/>
  <c r="I36" i="6"/>
  <c r="K36" i="6"/>
  <c r="H36" i="6"/>
  <c r="H35" i="6"/>
  <c r="E66" i="6"/>
  <c r="E67" i="6"/>
  <c r="E65" i="6"/>
  <c r="E63" i="6"/>
  <c r="E64" i="6"/>
  <c r="E62" i="6"/>
  <c r="E60" i="6"/>
  <c r="E61" i="6"/>
  <c r="E59" i="6"/>
  <c r="E57" i="6"/>
  <c r="E58" i="6"/>
  <c r="E56" i="6"/>
  <c r="E54" i="6"/>
  <c r="E55" i="6"/>
  <c r="E53" i="6"/>
  <c r="E51" i="6"/>
  <c r="E52" i="6"/>
  <c r="E50" i="6"/>
  <c r="E48" i="6"/>
  <c r="E49" i="6"/>
  <c r="E47" i="6"/>
  <c r="E45" i="6"/>
  <c r="E46" i="6"/>
  <c r="E44" i="6"/>
  <c r="E42" i="6"/>
  <c r="E43" i="6"/>
  <c r="E41" i="6"/>
  <c r="E39" i="6"/>
  <c r="E40" i="6"/>
  <c r="E38" i="6"/>
  <c r="E37" i="6"/>
  <c r="E36" i="6"/>
  <c r="E35" i="6"/>
  <c r="E33" i="6"/>
  <c r="E34" i="6"/>
  <c r="E32" i="6"/>
  <c r="E30" i="6"/>
  <c r="E31" i="6"/>
  <c r="E29" i="6"/>
  <c r="E27" i="6"/>
  <c r="E28" i="6"/>
  <c r="E26" i="6"/>
  <c r="I32" i="6"/>
  <c r="K32" i="6"/>
  <c r="I33" i="6"/>
  <c r="K33" i="6"/>
  <c r="I29" i="6"/>
  <c r="K29" i="6"/>
  <c r="I30" i="6"/>
  <c r="K30" i="6"/>
  <c r="H30" i="6"/>
  <c r="H29" i="6"/>
  <c r="H33" i="6"/>
  <c r="H32" i="6"/>
  <c r="I26" i="6"/>
  <c r="K26" i="6"/>
  <c r="I27" i="6"/>
  <c r="K27" i="6"/>
  <c r="E159" i="6"/>
  <c r="E160" i="6"/>
  <c r="E158" i="6"/>
  <c r="E156" i="6"/>
  <c r="E157" i="6"/>
  <c r="E155" i="6"/>
  <c r="E153" i="6"/>
  <c r="E154" i="6"/>
  <c r="E152" i="6"/>
  <c r="E150" i="6"/>
  <c r="E151" i="6"/>
  <c r="E149" i="6"/>
  <c r="E147" i="6"/>
  <c r="E148" i="6"/>
  <c r="E146" i="6"/>
  <c r="E144" i="6"/>
  <c r="E145" i="6"/>
  <c r="E143" i="6"/>
  <c r="E141" i="6"/>
  <c r="E142" i="6"/>
  <c r="E140" i="6"/>
  <c r="E138" i="6"/>
  <c r="E139" i="6"/>
  <c r="E137" i="6"/>
  <c r="E135" i="6"/>
  <c r="E136" i="6"/>
  <c r="E134" i="6"/>
  <c r="E132" i="6"/>
  <c r="E133" i="6"/>
  <c r="E131" i="6"/>
  <c r="E129" i="6"/>
  <c r="E130" i="6"/>
  <c r="E128" i="6"/>
  <c r="E126" i="6"/>
  <c r="E127" i="6"/>
  <c r="E125" i="6"/>
  <c r="E123" i="6"/>
  <c r="E124" i="6"/>
  <c r="E122" i="6"/>
  <c r="E120" i="6"/>
  <c r="E121" i="6"/>
  <c r="E119" i="6"/>
  <c r="E117" i="6"/>
  <c r="E118" i="6"/>
  <c r="E116" i="6"/>
  <c r="E114" i="6"/>
  <c r="E115" i="6"/>
  <c r="E113" i="6"/>
  <c r="E111" i="6"/>
  <c r="E112" i="6"/>
  <c r="E110" i="6"/>
  <c r="E108" i="6"/>
  <c r="E109" i="6"/>
  <c r="E107" i="6"/>
  <c r="E105" i="6"/>
  <c r="E106" i="6"/>
  <c r="E104" i="6"/>
  <c r="E102" i="6"/>
  <c r="E103" i="6"/>
  <c r="E101" i="6"/>
  <c r="E99" i="6"/>
  <c r="E100" i="6"/>
  <c r="E98" i="6"/>
  <c r="E96" i="6"/>
  <c r="E97" i="6"/>
  <c r="E95" i="6"/>
  <c r="E93" i="6"/>
  <c r="E94" i="6"/>
  <c r="E92" i="6"/>
  <c r="E90" i="6"/>
  <c r="E91" i="6"/>
  <c r="E89" i="6"/>
  <c r="E87" i="6"/>
  <c r="E88" i="6"/>
  <c r="E86" i="6"/>
  <c r="E84" i="6"/>
  <c r="E85" i="6"/>
  <c r="E83" i="6"/>
  <c r="E81" i="6"/>
  <c r="E82" i="6"/>
  <c r="E80" i="6"/>
  <c r="E78" i="6"/>
  <c r="E79" i="6"/>
  <c r="E77" i="6"/>
  <c r="E75" i="6"/>
  <c r="E76" i="6"/>
  <c r="E74" i="6"/>
  <c r="E72" i="6"/>
  <c r="E73" i="6"/>
  <c r="E71" i="6"/>
  <c r="E69" i="6"/>
  <c r="E70" i="6"/>
  <c r="E68" i="6"/>
  <c r="N7" i="1" l="1"/>
  <c r="L7" i="1"/>
  <c r="K7" i="1"/>
  <c r="G18" i="1"/>
  <c r="G7" i="1"/>
  <c r="J7" i="1" s="1"/>
  <c r="G6" i="3"/>
  <c r="I7" i="1" l="1"/>
  <c r="M7" i="1"/>
  <c r="O7" i="1"/>
  <c r="F8" i="2"/>
  <c r="F22" i="2" s="1"/>
  <c r="F58" i="2"/>
  <c r="I77" i="6" s="1"/>
  <c r="G33" i="2"/>
  <c r="J41" i="6" s="1"/>
  <c r="H62" i="4" l="1"/>
  <c r="I62" i="4" s="1"/>
  <c r="H59" i="4"/>
  <c r="J59" i="4" s="1"/>
  <c r="J62" i="4" l="1"/>
  <c r="I59" i="4"/>
  <c r="I74" i="6" l="1"/>
  <c r="F87" i="2"/>
  <c r="F60" i="2"/>
  <c r="I80" i="6" s="1"/>
  <c r="F99" i="2"/>
  <c r="I137" i="6" s="1"/>
  <c r="I119" i="6" l="1"/>
  <c r="O239" i="6"/>
  <c r="P239" i="6" s="1"/>
  <c r="O233" i="6"/>
  <c r="P233" i="6" s="1"/>
  <c r="O234" i="6"/>
  <c r="P234" i="6" s="1"/>
  <c r="O235" i="6"/>
  <c r="P235" i="6" s="1"/>
  <c r="O236" i="6"/>
  <c r="P236" i="6" s="1"/>
  <c r="K237" i="6"/>
  <c r="O237" i="6"/>
  <c r="P237" i="6" s="1"/>
  <c r="O238" i="6"/>
  <c r="P238" i="6" s="1"/>
  <c r="O240" i="6"/>
  <c r="P240" i="6" s="1"/>
  <c r="O241" i="6"/>
  <c r="P241" i="6" s="1"/>
  <c r="O242" i="6"/>
  <c r="P242" i="6" s="1"/>
  <c r="O243" i="6"/>
  <c r="P243" i="6" s="1"/>
  <c r="O244" i="6"/>
  <c r="P244" i="6" s="1"/>
  <c r="O245" i="6"/>
  <c r="P245" i="6" s="1"/>
  <c r="O246" i="6"/>
  <c r="P246" i="6" s="1"/>
  <c r="O247" i="6"/>
  <c r="P247" i="6" s="1"/>
  <c r="H170" i="6"/>
  <c r="H167" i="6"/>
  <c r="G82" i="2" l="1"/>
  <c r="J113" i="6" s="1"/>
  <c r="K82" i="2"/>
  <c r="H115" i="6" s="1"/>
  <c r="L82" i="2"/>
  <c r="I115" i="6" s="1"/>
  <c r="N82" i="2"/>
  <c r="K115" i="6" s="1"/>
  <c r="L80" i="2"/>
  <c r="I112" i="6" s="1"/>
  <c r="N80" i="2"/>
  <c r="K112" i="6" s="1"/>
  <c r="K80" i="2"/>
  <c r="H112" i="6" s="1"/>
  <c r="G80" i="2"/>
  <c r="J110" i="6" s="1"/>
  <c r="H37" i="4"/>
  <c r="J37" i="4" s="1"/>
  <c r="J43" i="4"/>
  <c r="H33" i="4"/>
  <c r="I33" i="4" s="1"/>
  <c r="I80" i="2" l="1"/>
  <c r="L110" i="6" s="1"/>
  <c r="M82" i="2"/>
  <c r="J115" i="6" s="1"/>
  <c r="I82" i="2"/>
  <c r="L113" i="6" s="1"/>
  <c r="M80" i="2"/>
  <c r="J112" i="6" s="1"/>
  <c r="I48" i="4"/>
  <c r="J33" i="4"/>
  <c r="I43" i="4"/>
  <c r="I37" i="4"/>
  <c r="J48" i="4"/>
  <c r="K47" i="2"/>
  <c r="L47" i="2"/>
  <c r="I64" i="6" s="1"/>
  <c r="N47" i="2"/>
  <c r="K64" i="6" s="1"/>
  <c r="E22" i="2"/>
  <c r="G81" i="2" l="1"/>
  <c r="J81" i="2" s="1"/>
  <c r="M111" i="6" s="1"/>
  <c r="O82" i="2"/>
  <c r="L115" i="6" s="1"/>
  <c r="O80" i="2"/>
  <c r="L112" i="6" s="1"/>
  <c r="M47" i="2"/>
  <c r="P47" i="2" s="1"/>
  <c r="M64" i="6" s="1"/>
  <c r="H64" i="6"/>
  <c r="G83" i="2"/>
  <c r="J114" i="6" s="1"/>
  <c r="J111" i="6"/>
  <c r="I81" i="2"/>
  <c r="L111" i="6" s="1"/>
  <c r="O47" i="2" l="1"/>
  <c r="L64" i="6" s="1"/>
  <c r="J64" i="6"/>
  <c r="I83" i="2"/>
  <c r="L114" i="6" s="1"/>
  <c r="E20" i="3"/>
  <c r="G111" i="2"/>
  <c r="J155" i="6" s="1"/>
  <c r="K111" i="2"/>
  <c r="H157" i="6" s="1"/>
  <c r="L111" i="2"/>
  <c r="I157" i="6" s="1"/>
  <c r="N111" i="2"/>
  <c r="F84" i="2"/>
  <c r="I116" i="6" s="1"/>
  <c r="K157" i="6" l="1"/>
  <c r="M111" i="2"/>
  <c r="I111" i="2"/>
  <c r="I146" i="6"/>
  <c r="F115" i="2"/>
  <c r="E27" i="3" s="1"/>
  <c r="J111" i="2"/>
  <c r="M155" i="6" s="1"/>
  <c r="I89" i="6"/>
  <c r="F86" i="2"/>
  <c r="H30" i="4"/>
  <c r="H25" i="4"/>
  <c r="J25" i="4" s="1"/>
  <c r="G112" i="2" l="1"/>
  <c r="L155" i="6"/>
  <c r="O111" i="2"/>
  <c r="L157" i="6" s="1"/>
  <c r="J157" i="6"/>
  <c r="P111" i="2"/>
  <c r="M157" i="6" s="1"/>
  <c r="J30" i="4"/>
  <c r="I30" i="4"/>
  <c r="I25" i="4"/>
  <c r="N84" i="2"/>
  <c r="K118" i="6" s="1"/>
  <c r="K84" i="2"/>
  <c r="H118" i="6" s="1"/>
  <c r="J156" i="6" l="1"/>
  <c r="I112" i="2"/>
  <c r="L156" i="6" s="1"/>
  <c r="J112" i="2"/>
  <c r="M156" i="6" s="1"/>
  <c r="F39" i="2" l="1"/>
  <c r="L10" i="2"/>
  <c r="I50" i="6" l="1"/>
  <c r="F51" i="2"/>
  <c r="I23" i="6"/>
  <c r="K23" i="6"/>
  <c r="I24" i="6"/>
  <c r="K24" i="6"/>
  <c r="M24" i="6"/>
  <c r="M25" i="6"/>
  <c r="H24" i="6"/>
  <c r="H23" i="6"/>
  <c r="I20" i="6"/>
  <c r="K20" i="6"/>
  <c r="I21" i="6"/>
  <c r="K21" i="6"/>
  <c r="M21" i="6"/>
  <c r="M22" i="6"/>
  <c r="H21" i="6"/>
  <c r="H20" i="6"/>
  <c r="I17" i="6"/>
  <c r="K17" i="6"/>
  <c r="I18" i="6"/>
  <c r="K18" i="6"/>
  <c r="M18" i="6"/>
  <c r="M19" i="6"/>
  <c r="H18" i="6"/>
  <c r="H17" i="6"/>
  <c r="I14" i="6"/>
  <c r="K14" i="6"/>
  <c r="I15" i="6"/>
  <c r="K15" i="6"/>
  <c r="H15" i="6"/>
  <c r="H14" i="6"/>
  <c r="I11" i="6"/>
  <c r="K11" i="6"/>
  <c r="I12" i="6"/>
  <c r="K12" i="6"/>
  <c r="M12" i="6"/>
  <c r="M13" i="6"/>
  <c r="H12" i="6"/>
  <c r="H11" i="6"/>
  <c r="E24" i="6"/>
  <c r="E25" i="6"/>
  <c r="E23" i="6"/>
  <c r="E21" i="6"/>
  <c r="E22" i="6"/>
  <c r="E20" i="6"/>
  <c r="E18" i="6"/>
  <c r="E19" i="6"/>
  <c r="E17" i="6"/>
  <c r="E15" i="6"/>
  <c r="E16" i="6"/>
  <c r="E14" i="6"/>
  <c r="E12" i="6"/>
  <c r="E13" i="6"/>
  <c r="E11" i="6"/>
  <c r="E9" i="6"/>
  <c r="E10" i="6"/>
  <c r="E8" i="6"/>
  <c r="E7" i="6"/>
  <c r="E6" i="6"/>
  <c r="E5" i="6"/>
  <c r="E3" i="6"/>
  <c r="E4" i="6"/>
  <c r="E2" i="6"/>
  <c r="H20" i="4" l="1"/>
  <c r="H17" i="4"/>
  <c r="I17" i="4" s="1"/>
  <c r="H11" i="4"/>
  <c r="J11" i="4" s="1"/>
  <c r="H8" i="4"/>
  <c r="I79" i="4" l="1"/>
  <c r="J79" i="4"/>
  <c r="I11" i="4"/>
  <c r="J20" i="4"/>
  <c r="I20" i="4"/>
  <c r="J17" i="4"/>
  <c r="B3" i="1" l="1"/>
  <c r="F8" i="5" l="1"/>
  <c r="H7" i="5"/>
  <c r="G7" i="5"/>
  <c r="E86" i="2" l="1"/>
  <c r="D26" i="3" s="1"/>
  <c r="H235" i="6" s="1"/>
  <c r="G47" i="2"/>
  <c r="N189" i="6"/>
  <c r="N188" i="6"/>
  <c r="I191" i="6"/>
  <c r="K191" i="6"/>
  <c r="I188" i="6"/>
  <c r="K188" i="6"/>
  <c r="I189" i="6"/>
  <c r="K189" i="6"/>
  <c r="H189" i="6"/>
  <c r="H188" i="6"/>
  <c r="E189" i="6"/>
  <c r="E190" i="6"/>
  <c r="E188" i="6"/>
  <c r="N186" i="6"/>
  <c r="N185" i="6"/>
  <c r="I185" i="6"/>
  <c r="K185" i="6"/>
  <c r="I186" i="6"/>
  <c r="K186" i="6"/>
  <c r="H186" i="6"/>
  <c r="H185" i="6"/>
  <c r="N183" i="6"/>
  <c r="N182" i="6"/>
  <c r="I182" i="6"/>
  <c r="K182" i="6"/>
  <c r="I183" i="6"/>
  <c r="K183" i="6"/>
  <c r="H183" i="6"/>
  <c r="H182" i="6"/>
  <c r="H115" i="2"/>
  <c r="G27" i="3" s="1"/>
  <c r="K236" i="6" s="1"/>
  <c r="H86" i="2"/>
  <c r="G26" i="3" s="1"/>
  <c r="K235" i="6" s="1"/>
  <c r="H51" i="2"/>
  <c r="G25" i="3" s="1"/>
  <c r="K234" i="6" s="1"/>
  <c r="H22" i="2"/>
  <c r="G24" i="3" s="1"/>
  <c r="E115" i="2"/>
  <c r="D27" i="3" s="1"/>
  <c r="H236" i="6" s="1"/>
  <c r="E51" i="2"/>
  <c r="D25" i="3" s="1"/>
  <c r="H234" i="6" s="1"/>
  <c r="D24" i="3"/>
  <c r="H233" i="6" s="1"/>
  <c r="E25" i="3"/>
  <c r="I234" i="6" s="1"/>
  <c r="E24" i="3"/>
  <c r="G25" i="7"/>
  <c r="F8" i="7" s="1"/>
  <c r="I236" i="6"/>
  <c r="F59" i="1"/>
  <c r="F21" i="7"/>
  <c r="I47" i="2" l="1"/>
  <c r="J62" i="6"/>
  <c r="I233" i="6"/>
  <c r="K233" i="6"/>
  <c r="E26" i="3"/>
  <c r="G22" i="3"/>
  <c r="H8" i="7"/>
  <c r="G8" i="7"/>
  <c r="J47" i="2"/>
  <c r="M62" i="6" s="1"/>
  <c r="F24" i="7"/>
  <c r="I24" i="7" s="1"/>
  <c r="F23" i="7"/>
  <c r="H23" i="7" s="1"/>
  <c r="F22" i="7"/>
  <c r="H22" i="7" s="1"/>
  <c r="I21" i="7"/>
  <c r="F20" i="7"/>
  <c r="F19" i="7"/>
  <c r="F18" i="7"/>
  <c r="I22" i="7" l="1"/>
  <c r="H24" i="7"/>
  <c r="G48" i="2"/>
  <c r="L62" i="6"/>
  <c r="I235" i="6"/>
  <c r="I23" i="7"/>
  <c r="H21" i="7"/>
  <c r="F17" i="7"/>
  <c r="H17" i="7" s="1"/>
  <c r="F16" i="7"/>
  <c r="I16" i="7" s="1"/>
  <c r="F15" i="7"/>
  <c r="I15" i="7" s="1"/>
  <c r="I20" i="7"/>
  <c r="H20" i="7"/>
  <c r="I19" i="7"/>
  <c r="H19" i="7"/>
  <c r="I18" i="7"/>
  <c r="H18" i="7"/>
  <c r="H15" i="7"/>
  <c r="F14" i="7"/>
  <c r="I14" i="7" s="1"/>
  <c r="F13" i="7"/>
  <c r="F12" i="7"/>
  <c r="E186" i="6"/>
  <c r="E187" i="6"/>
  <c r="E185" i="6"/>
  <c r="E183" i="6"/>
  <c r="E184" i="6"/>
  <c r="E182" i="6"/>
  <c r="E180" i="6"/>
  <c r="E181" i="6"/>
  <c r="E179" i="6"/>
  <c r="E177" i="6"/>
  <c r="E178" i="6"/>
  <c r="E176" i="6"/>
  <c r="E174" i="6"/>
  <c r="E175" i="6"/>
  <c r="E173" i="6"/>
  <c r="E171" i="6"/>
  <c r="E172" i="6"/>
  <c r="E170" i="6"/>
  <c r="E168" i="6"/>
  <c r="E169" i="6"/>
  <c r="E167" i="6"/>
  <c r="E165" i="6"/>
  <c r="E166" i="6"/>
  <c r="E164" i="6"/>
  <c r="E162" i="6"/>
  <c r="E163" i="6"/>
  <c r="E161" i="6"/>
  <c r="G37" i="3"/>
  <c r="F37" i="3"/>
  <c r="O188" i="6"/>
  <c r="P188" i="6" s="1"/>
  <c r="O189" i="6"/>
  <c r="P189" i="6" s="1"/>
  <c r="O190" i="6"/>
  <c r="P190" i="6" s="1"/>
  <c r="G17" i="3"/>
  <c r="K247" i="6" s="1"/>
  <c r="G18" i="3"/>
  <c r="G16" i="3"/>
  <c r="K246" i="6" s="1"/>
  <c r="G15" i="3"/>
  <c r="K245" i="6" s="1"/>
  <c r="G14" i="3"/>
  <c r="K244" i="6" s="1"/>
  <c r="G13" i="3"/>
  <c r="K243" i="6" s="1"/>
  <c r="G12" i="3"/>
  <c r="K242" i="6" s="1"/>
  <c r="G11" i="3"/>
  <c r="K241" i="6" s="1"/>
  <c r="G10" i="3"/>
  <c r="K240" i="6" s="1"/>
  <c r="G9" i="3"/>
  <c r="K239" i="6" s="1"/>
  <c r="G8" i="3"/>
  <c r="G7" i="3"/>
  <c r="K238" i="6" s="1"/>
  <c r="H28" i="3"/>
  <c r="F20" i="3"/>
  <c r="I20" i="3" s="1"/>
  <c r="F21" i="3"/>
  <c r="H21" i="3" s="1"/>
  <c r="F22" i="3"/>
  <c r="I22" i="3" s="1"/>
  <c r="D18" i="3"/>
  <c r="D17" i="3"/>
  <c r="H247" i="6" s="1"/>
  <c r="D16" i="3"/>
  <c r="H246" i="6" s="1"/>
  <c r="D15" i="3"/>
  <c r="H245" i="6" s="1"/>
  <c r="D14" i="3"/>
  <c r="H244" i="6" s="1"/>
  <c r="D13" i="3"/>
  <c r="H243" i="6" s="1"/>
  <c r="D12" i="3"/>
  <c r="H242" i="6" s="1"/>
  <c r="D11" i="3"/>
  <c r="H241" i="6" s="1"/>
  <c r="D10" i="3"/>
  <c r="H240" i="6" s="1"/>
  <c r="D9" i="3"/>
  <c r="H239" i="6" s="1"/>
  <c r="D8" i="3"/>
  <c r="D7" i="3"/>
  <c r="H238" i="6" s="1"/>
  <c r="D6" i="3"/>
  <c r="H237" i="6" s="1"/>
  <c r="F27" i="3"/>
  <c r="J236" i="6" s="1"/>
  <c r="F26" i="3"/>
  <c r="J235" i="6" s="1"/>
  <c r="F25" i="3"/>
  <c r="J234" i="6" s="1"/>
  <c r="F24" i="3"/>
  <c r="I24" i="3" s="1"/>
  <c r="G19" i="3"/>
  <c r="D19" i="3"/>
  <c r="J63" i="6" l="1"/>
  <c r="J48" i="2"/>
  <c r="M63" i="6" s="1"/>
  <c r="I48" i="2"/>
  <c r="L63" i="6" s="1"/>
  <c r="I17" i="7"/>
  <c r="G29" i="3"/>
  <c r="H24" i="3"/>
  <c r="L233" i="6" s="1"/>
  <c r="J233" i="6"/>
  <c r="I21" i="3"/>
  <c r="H14" i="7"/>
  <c r="H16" i="7"/>
  <c r="F25" i="7"/>
  <c r="H20" i="3"/>
  <c r="H26" i="3"/>
  <c r="L235" i="6" s="1"/>
  <c r="H22" i="3"/>
  <c r="I26" i="3"/>
  <c r="M235" i="6" s="1"/>
  <c r="H25" i="3"/>
  <c r="L234" i="6" s="1"/>
  <c r="H27" i="3"/>
  <c r="L236" i="6" s="1"/>
  <c r="D29" i="3"/>
  <c r="I27" i="3"/>
  <c r="M236" i="6" s="1"/>
  <c r="I25" i="3"/>
  <c r="M234" i="6" s="1"/>
  <c r="M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G65" i="1"/>
  <c r="G63" i="1"/>
  <c r="G61" i="1"/>
  <c r="G59" i="1"/>
  <c r="G57" i="1"/>
  <c r="G55" i="1"/>
  <c r="G53" i="1"/>
  <c r="E8" i="5" l="1"/>
  <c r="E23" i="3" l="1"/>
  <c r="F23" i="3" s="1"/>
  <c r="H23" i="3" s="1"/>
  <c r="G8" i="5"/>
  <c r="H8" i="5"/>
  <c r="L20" i="2"/>
  <c r="I25" i="6" s="1"/>
  <c r="L72" i="2" l="1"/>
  <c r="I100" i="6" s="1"/>
  <c r="K72" i="2"/>
  <c r="M72" i="2" l="1"/>
  <c r="J100" i="6" s="1"/>
  <c r="J8" i="4" l="1"/>
  <c r="I8" i="4" l="1"/>
  <c r="O101" i="6" l="1"/>
  <c r="P101" i="6" s="1"/>
  <c r="O102" i="6"/>
  <c r="P102" i="6" s="1"/>
  <c r="O103" i="6"/>
  <c r="P103" i="6" s="1"/>
  <c r="O104" i="6"/>
  <c r="P104" i="6" s="1"/>
  <c r="O105" i="6"/>
  <c r="P105" i="6" s="1"/>
  <c r="O106" i="6"/>
  <c r="P106" i="6" s="1"/>
  <c r="O107" i="6"/>
  <c r="P107" i="6" s="1"/>
  <c r="O108" i="6"/>
  <c r="P108" i="6" s="1"/>
  <c r="O109" i="6"/>
  <c r="P109" i="6" s="1"/>
  <c r="O110" i="6"/>
  <c r="P110" i="6" s="1"/>
  <c r="O111" i="6"/>
  <c r="P111" i="6" s="1"/>
  <c r="O112" i="6"/>
  <c r="P112" i="6" s="1"/>
  <c r="O119" i="6"/>
  <c r="P119" i="6" s="1"/>
  <c r="O120" i="6"/>
  <c r="P120" i="6" s="1"/>
  <c r="O121" i="6"/>
  <c r="P121" i="6" s="1"/>
  <c r="O122" i="6"/>
  <c r="P122" i="6" s="1"/>
  <c r="O123" i="6"/>
  <c r="P123" i="6" s="1"/>
  <c r="O124" i="6"/>
  <c r="P124" i="6" s="1"/>
  <c r="O125" i="6"/>
  <c r="P125" i="6" s="1"/>
  <c r="O126" i="6"/>
  <c r="P126" i="6" s="1"/>
  <c r="O127" i="6"/>
  <c r="P127" i="6" s="1"/>
  <c r="O128" i="6"/>
  <c r="P128" i="6" s="1"/>
  <c r="O129" i="6"/>
  <c r="P129" i="6" s="1"/>
  <c r="O130" i="6"/>
  <c r="P130" i="6" s="1"/>
  <c r="O131" i="6"/>
  <c r="P131" i="6" s="1"/>
  <c r="O132" i="6"/>
  <c r="P132" i="6" s="1"/>
  <c r="O133" i="6"/>
  <c r="P133" i="6" s="1"/>
  <c r="O134" i="6"/>
  <c r="P134" i="6" s="1"/>
  <c r="O135" i="6"/>
  <c r="P135" i="6" s="1"/>
  <c r="O136" i="6"/>
  <c r="P136" i="6" s="1"/>
  <c r="O137" i="6"/>
  <c r="P137" i="6" s="1"/>
  <c r="O138" i="6"/>
  <c r="P138" i="6" s="1"/>
  <c r="O139" i="6"/>
  <c r="P139" i="6" s="1"/>
  <c r="O143" i="6"/>
  <c r="P143" i="6" s="1"/>
  <c r="O144" i="6"/>
  <c r="P144" i="6" s="1"/>
  <c r="O145" i="6"/>
  <c r="P145" i="6" s="1"/>
  <c r="O146" i="6"/>
  <c r="P146" i="6" s="1"/>
  <c r="O147" i="6"/>
  <c r="P147" i="6" s="1"/>
  <c r="O148" i="6"/>
  <c r="P148" i="6" s="1"/>
  <c r="O149" i="6"/>
  <c r="P149" i="6" s="1"/>
  <c r="O150" i="6"/>
  <c r="P150" i="6" s="1"/>
  <c r="O151" i="6"/>
  <c r="P151" i="6" s="1"/>
  <c r="O152" i="6"/>
  <c r="P152" i="6" s="1"/>
  <c r="O153" i="6"/>
  <c r="P153" i="6" s="1"/>
  <c r="O154" i="6"/>
  <c r="P154" i="6" s="1"/>
  <c r="O155" i="6"/>
  <c r="P155" i="6" s="1"/>
  <c r="O156" i="6"/>
  <c r="P156" i="6" s="1"/>
  <c r="O157" i="6"/>
  <c r="P157" i="6" s="1"/>
  <c r="O158" i="6"/>
  <c r="P158" i="6" s="1"/>
  <c r="O159" i="6"/>
  <c r="P159" i="6" s="1"/>
  <c r="O160" i="6"/>
  <c r="P160" i="6" s="1"/>
  <c r="O161" i="6"/>
  <c r="P161" i="6" s="1"/>
  <c r="O162" i="6"/>
  <c r="P162" i="6" s="1"/>
  <c r="O163" i="6"/>
  <c r="P163" i="6" s="1"/>
  <c r="O164" i="6"/>
  <c r="P164" i="6" s="1"/>
  <c r="O165" i="6"/>
  <c r="P165" i="6" s="1"/>
  <c r="O166" i="6"/>
  <c r="P166" i="6" s="1"/>
  <c r="O167" i="6"/>
  <c r="P167" i="6" s="1"/>
  <c r="O168" i="6"/>
  <c r="P168" i="6" s="1"/>
  <c r="O169" i="6"/>
  <c r="P169" i="6" s="1"/>
  <c r="O170" i="6"/>
  <c r="P170" i="6" s="1"/>
  <c r="O171" i="6"/>
  <c r="P171" i="6" s="1"/>
  <c r="O172" i="6"/>
  <c r="P172" i="6" s="1"/>
  <c r="O173" i="6"/>
  <c r="P173" i="6" s="1"/>
  <c r="O174" i="6"/>
  <c r="P174" i="6" s="1"/>
  <c r="O175" i="6"/>
  <c r="P175" i="6" s="1"/>
  <c r="O176" i="6"/>
  <c r="P176" i="6" s="1"/>
  <c r="O177" i="6"/>
  <c r="P177" i="6" s="1"/>
  <c r="O178" i="6"/>
  <c r="P178" i="6" s="1"/>
  <c r="O179" i="6"/>
  <c r="P179" i="6" s="1"/>
  <c r="O180" i="6"/>
  <c r="P180" i="6" s="1"/>
  <c r="O181" i="6"/>
  <c r="P181" i="6" s="1"/>
  <c r="O182" i="6"/>
  <c r="P182" i="6" s="1"/>
  <c r="O183" i="6"/>
  <c r="P183" i="6" s="1"/>
  <c r="O184" i="6"/>
  <c r="P184" i="6" s="1"/>
  <c r="O185" i="6"/>
  <c r="P185" i="6" s="1"/>
  <c r="O186" i="6"/>
  <c r="P186" i="6" s="1"/>
  <c r="O187" i="6"/>
  <c r="P187" i="6" s="1"/>
  <c r="O191" i="6"/>
  <c r="P191" i="6" s="1"/>
  <c r="O192" i="6"/>
  <c r="P192" i="6" s="1"/>
  <c r="O193" i="6"/>
  <c r="P193" i="6" s="1"/>
  <c r="O194" i="6"/>
  <c r="P194" i="6" s="1"/>
  <c r="O195" i="6"/>
  <c r="P195" i="6" s="1"/>
  <c r="O196" i="6"/>
  <c r="P196" i="6" s="1"/>
  <c r="O197" i="6"/>
  <c r="P197" i="6" s="1"/>
  <c r="O198" i="6"/>
  <c r="P198" i="6" s="1"/>
  <c r="O199" i="6"/>
  <c r="P199" i="6" s="1"/>
  <c r="O200" i="6"/>
  <c r="P200" i="6" s="1"/>
  <c r="O201" i="6"/>
  <c r="P201" i="6" s="1"/>
  <c r="O202" i="6"/>
  <c r="P202" i="6" s="1"/>
  <c r="O203" i="6"/>
  <c r="P203" i="6" s="1"/>
  <c r="O204" i="6"/>
  <c r="P204" i="6" s="1"/>
  <c r="O205" i="6"/>
  <c r="P205" i="6" s="1"/>
  <c r="O206" i="6"/>
  <c r="P206" i="6" s="1"/>
  <c r="O207" i="6"/>
  <c r="P207" i="6" s="1"/>
  <c r="O208" i="6"/>
  <c r="P208" i="6" s="1"/>
  <c r="O209" i="6"/>
  <c r="P209" i="6" s="1"/>
  <c r="O210" i="6"/>
  <c r="P210" i="6" s="1"/>
  <c r="O211" i="6"/>
  <c r="P211" i="6" s="1"/>
  <c r="O212" i="6"/>
  <c r="P212" i="6" s="1"/>
  <c r="O213" i="6"/>
  <c r="P213" i="6" s="1"/>
  <c r="O214" i="6"/>
  <c r="P214" i="6" s="1"/>
  <c r="O215" i="6"/>
  <c r="P215" i="6" s="1"/>
  <c r="O216" i="6"/>
  <c r="P216" i="6" s="1"/>
  <c r="O217" i="6"/>
  <c r="P217" i="6" s="1"/>
  <c r="O218" i="6"/>
  <c r="P218" i="6" s="1"/>
  <c r="O219" i="6"/>
  <c r="P219" i="6" s="1"/>
  <c r="O220" i="6"/>
  <c r="P220" i="6" s="1"/>
  <c r="O221" i="6"/>
  <c r="P221" i="6" s="1"/>
  <c r="O222" i="6"/>
  <c r="P222" i="6" s="1"/>
  <c r="O223" i="6"/>
  <c r="P223" i="6" s="1"/>
  <c r="O224" i="6"/>
  <c r="P224" i="6" s="1"/>
  <c r="O225" i="6"/>
  <c r="P225" i="6" s="1"/>
  <c r="O226" i="6"/>
  <c r="P226" i="6" s="1"/>
  <c r="O227" i="6"/>
  <c r="P227" i="6" s="1"/>
  <c r="O228" i="6"/>
  <c r="P228" i="6" s="1"/>
  <c r="O229" i="6"/>
  <c r="P229" i="6" s="1"/>
  <c r="O230" i="6"/>
  <c r="P230" i="6" s="1"/>
  <c r="O231" i="6"/>
  <c r="P231" i="6" s="1"/>
  <c r="O232" i="6"/>
  <c r="P232" i="6" s="1"/>
  <c r="O3" i="6"/>
  <c r="P3" i="6" s="1"/>
  <c r="O4" i="6"/>
  <c r="P4" i="6" s="1"/>
  <c r="O5" i="6"/>
  <c r="P5" i="6" s="1"/>
  <c r="O6" i="6"/>
  <c r="P6" i="6" s="1"/>
  <c r="O7" i="6"/>
  <c r="P7" i="6" s="1"/>
  <c r="O8" i="6"/>
  <c r="P8" i="6" s="1"/>
  <c r="O9" i="6"/>
  <c r="P9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P16" i="6" s="1"/>
  <c r="O17" i="6"/>
  <c r="P17" i="6" s="1"/>
  <c r="O18" i="6"/>
  <c r="P18" i="6" s="1"/>
  <c r="O19" i="6"/>
  <c r="P19" i="6" s="1"/>
  <c r="O20" i="6"/>
  <c r="P20" i="6" s="1"/>
  <c r="O21" i="6"/>
  <c r="P21" i="6" s="1"/>
  <c r="O22" i="6"/>
  <c r="P22" i="6" s="1"/>
  <c r="O23" i="6"/>
  <c r="P23" i="6" s="1"/>
  <c r="O24" i="6"/>
  <c r="P24" i="6" s="1"/>
  <c r="O25" i="6"/>
  <c r="P25" i="6" s="1"/>
  <c r="O26" i="6"/>
  <c r="P26" i="6" s="1"/>
  <c r="O27" i="6"/>
  <c r="P27" i="6" s="1"/>
  <c r="O28" i="6"/>
  <c r="P28" i="6" s="1"/>
  <c r="O32" i="6"/>
  <c r="P32" i="6" s="1"/>
  <c r="O33" i="6"/>
  <c r="P33" i="6" s="1"/>
  <c r="O34" i="6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O42" i="6"/>
  <c r="P42" i="6" s="1"/>
  <c r="O43" i="6"/>
  <c r="P43" i="6" s="1"/>
  <c r="O44" i="6"/>
  <c r="P44" i="6" s="1"/>
  <c r="O45" i="6"/>
  <c r="P45" i="6" s="1"/>
  <c r="O46" i="6"/>
  <c r="P46" i="6" s="1"/>
  <c r="O47" i="6"/>
  <c r="P47" i="6" s="1"/>
  <c r="O48" i="6"/>
  <c r="P48" i="6" s="1"/>
  <c r="O49" i="6"/>
  <c r="P49" i="6" s="1"/>
  <c r="O50" i="6"/>
  <c r="P50" i="6" s="1"/>
  <c r="O51" i="6"/>
  <c r="P51" i="6" s="1"/>
  <c r="O52" i="6"/>
  <c r="P52" i="6" s="1"/>
  <c r="O53" i="6"/>
  <c r="P53" i="6" s="1"/>
  <c r="O54" i="6"/>
  <c r="P54" i="6" s="1"/>
  <c r="O55" i="6"/>
  <c r="P55" i="6" s="1"/>
  <c r="O56" i="6"/>
  <c r="P56" i="6" s="1"/>
  <c r="O57" i="6"/>
  <c r="P57" i="6" s="1"/>
  <c r="O58" i="6"/>
  <c r="P58" i="6" s="1"/>
  <c r="O59" i="6"/>
  <c r="P59" i="6" s="1"/>
  <c r="O60" i="6"/>
  <c r="P60" i="6" s="1"/>
  <c r="O61" i="6"/>
  <c r="P61" i="6" s="1"/>
  <c r="O62" i="6"/>
  <c r="P62" i="6" s="1"/>
  <c r="O63" i="6"/>
  <c r="P63" i="6" s="1"/>
  <c r="O64" i="6"/>
  <c r="P64" i="6" s="1"/>
  <c r="O65" i="6"/>
  <c r="P65" i="6" s="1"/>
  <c r="O66" i="6"/>
  <c r="P66" i="6" s="1"/>
  <c r="O67" i="6"/>
  <c r="P67" i="6" s="1"/>
  <c r="O68" i="6"/>
  <c r="P68" i="6" s="1"/>
  <c r="O69" i="6"/>
  <c r="P69" i="6" s="1"/>
  <c r="O70" i="6"/>
  <c r="P70" i="6" s="1"/>
  <c r="O71" i="6"/>
  <c r="P71" i="6" s="1"/>
  <c r="O72" i="6"/>
  <c r="P72" i="6" s="1"/>
  <c r="O73" i="6"/>
  <c r="P73" i="6" s="1"/>
  <c r="O74" i="6"/>
  <c r="P74" i="6" s="1"/>
  <c r="O75" i="6"/>
  <c r="P75" i="6" s="1"/>
  <c r="O76" i="6"/>
  <c r="P76" i="6" s="1"/>
  <c r="O77" i="6"/>
  <c r="P77" i="6" s="1"/>
  <c r="O78" i="6"/>
  <c r="P78" i="6" s="1"/>
  <c r="O79" i="6"/>
  <c r="P79" i="6" s="1"/>
  <c r="O80" i="6"/>
  <c r="P80" i="6" s="1"/>
  <c r="O81" i="6"/>
  <c r="P81" i="6" s="1"/>
  <c r="O82" i="6"/>
  <c r="P82" i="6" s="1"/>
  <c r="O83" i="6"/>
  <c r="P83" i="6" s="1"/>
  <c r="O84" i="6"/>
  <c r="P84" i="6" s="1"/>
  <c r="O85" i="6"/>
  <c r="P85" i="6" s="1"/>
  <c r="O86" i="6"/>
  <c r="P86" i="6" s="1"/>
  <c r="O87" i="6"/>
  <c r="P87" i="6" s="1"/>
  <c r="O88" i="6"/>
  <c r="P88" i="6" s="1"/>
  <c r="O89" i="6"/>
  <c r="P89" i="6" s="1"/>
  <c r="O90" i="6"/>
  <c r="P90" i="6" s="1"/>
  <c r="O91" i="6"/>
  <c r="P91" i="6" s="1"/>
  <c r="O92" i="6"/>
  <c r="P92" i="6" s="1"/>
  <c r="O93" i="6"/>
  <c r="P93" i="6" s="1"/>
  <c r="O94" i="6"/>
  <c r="P94" i="6" s="1"/>
  <c r="O95" i="6"/>
  <c r="P95" i="6" s="1"/>
  <c r="O96" i="6"/>
  <c r="P96" i="6" s="1"/>
  <c r="O97" i="6"/>
  <c r="P97" i="6" s="1"/>
  <c r="O98" i="6"/>
  <c r="P98" i="6" s="1"/>
  <c r="O99" i="6"/>
  <c r="P99" i="6" s="1"/>
  <c r="O100" i="6"/>
  <c r="P100" i="6" s="1"/>
  <c r="H108" i="6"/>
  <c r="H105" i="6"/>
  <c r="H102" i="6"/>
  <c r="H93" i="6"/>
  <c r="H87" i="6"/>
  <c r="H78" i="6"/>
  <c r="O2" i="6" l="1"/>
  <c r="P2" i="6" s="1"/>
  <c r="H96" i="6"/>
  <c r="H84" i="6"/>
  <c r="H75" i="6"/>
  <c r="H68" i="6" l="1"/>
  <c r="G14" i="2"/>
  <c r="J14" i="6" s="1"/>
  <c r="G12" i="2"/>
  <c r="J11" i="6" s="1"/>
  <c r="G10" i="2"/>
  <c r="G8" i="2"/>
  <c r="G6" i="2"/>
  <c r="N20" i="2"/>
  <c r="K25" i="6" s="1"/>
  <c r="N18" i="2"/>
  <c r="K22" i="6" s="1"/>
  <c r="N16" i="2"/>
  <c r="K19" i="6" s="1"/>
  <c r="N14" i="2"/>
  <c r="K16" i="6" s="1"/>
  <c r="N12" i="2"/>
  <c r="K13" i="6" s="1"/>
  <c r="N10" i="2"/>
  <c r="N8" i="2"/>
  <c r="N6" i="2"/>
  <c r="L18" i="2"/>
  <c r="I22" i="6" s="1"/>
  <c r="L16" i="2"/>
  <c r="I19" i="6" s="1"/>
  <c r="L14" i="2"/>
  <c r="I16" i="6" s="1"/>
  <c r="L12" i="2"/>
  <c r="I13" i="6" s="1"/>
  <c r="L8" i="2"/>
  <c r="L6" i="2"/>
  <c r="L22" i="2" s="1"/>
  <c r="K20" i="2"/>
  <c r="H25" i="6" s="1"/>
  <c r="K18" i="2"/>
  <c r="H22" i="6" s="1"/>
  <c r="K16" i="2"/>
  <c r="H19" i="6" s="1"/>
  <c r="K14" i="2"/>
  <c r="H16" i="6" s="1"/>
  <c r="K12" i="2"/>
  <c r="H13" i="6" s="1"/>
  <c r="K10" i="2"/>
  <c r="M10" i="2" s="1"/>
  <c r="K8" i="2"/>
  <c r="K6" i="2"/>
  <c r="M6" i="2" s="1"/>
  <c r="K27" i="1"/>
  <c r="H184" i="6" s="1"/>
  <c r="L27" i="1"/>
  <c r="N27" i="1"/>
  <c r="K184" i="6" s="1"/>
  <c r="G27" i="1"/>
  <c r="M8" i="2" l="1"/>
  <c r="I27" i="1"/>
  <c r="J182" i="6"/>
  <c r="I6" i="2"/>
  <c r="O6" i="2"/>
  <c r="P6" i="2"/>
  <c r="M20" i="2"/>
  <c r="J25" i="6" s="1"/>
  <c r="M18" i="2"/>
  <c r="J22" i="6" s="1"/>
  <c r="J27" i="1"/>
  <c r="M182" i="6" s="1"/>
  <c r="O10" i="2"/>
  <c r="O8" i="2"/>
  <c r="M12" i="2"/>
  <c r="J13" i="6" s="1"/>
  <c r="M14" i="2"/>
  <c r="M16" i="2"/>
  <c r="M27" i="1"/>
  <c r="O27" i="1" l="1"/>
  <c r="L184" i="6" s="1"/>
  <c r="I184" i="6"/>
  <c r="J184" i="6"/>
  <c r="O14" i="2"/>
  <c r="L16" i="6" s="1"/>
  <c r="J16" i="6"/>
  <c r="O16" i="2"/>
  <c r="L19" i="6" s="1"/>
  <c r="J19" i="6"/>
  <c r="G28" i="1"/>
  <c r="L182" i="6"/>
  <c r="O20" i="2"/>
  <c r="L25" i="6" s="1"/>
  <c r="O12" i="2"/>
  <c r="L13" i="6" s="1"/>
  <c r="O18" i="2"/>
  <c r="L22" i="6" s="1"/>
  <c r="P27" i="1"/>
  <c r="M184" i="6" s="1"/>
  <c r="I12" i="2"/>
  <c r="L11" i="6" s="1"/>
  <c r="J183" i="6" l="1"/>
  <c r="J28" i="1"/>
  <c r="M183" i="6" s="1"/>
  <c r="I28" i="1"/>
  <c r="L183" i="6" s="1"/>
  <c r="G13" i="2"/>
  <c r="J12" i="6" s="1"/>
  <c r="J12" i="2"/>
  <c r="M11" i="6" s="1"/>
  <c r="G105" i="2"/>
  <c r="J146" i="6" s="1"/>
  <c r="G103" i="2"/>
  <c r="J143" i="6" s="1"/>
  <c r="G101" i="2"/>
  <c r="J140" i="6" s="1"/>
  <c r="G99" i="2"/>
  <c r="J137" i="6" s="1"/>
  <c r="G97" i="2"/>
  <c r="J134" i="6" s="1"/>
  <c r="G95" i="2"/>
  <c r="J131" i="6" s="1"/>
  <c r="G93" i="2"/>
  <c r="J128" i="6" s="1"/>
  <c r="G91" i="2"/>
  <c r="J125" i="6" s="1"/>
  <c r="G89" i="2"/>
  <c r="J122" i="6" s="1"/>
  <c r="G84" i="2"/>
  <c r="G78" i="2"/>
  <c r="J107" i="6" s="1"/>
  <c r="G76" i="2"/>
  <c r="J104" i="6" s="1"/>
  <c r="G74" i="2"/>
  <c r="J101" i="6" s="1"/>
  <c r="G72" i="2"/>
  <c r="J98" i="6" s="1"/>
  <c r="G70" i="2"/>
  <c r="J95" i="6" s="1"/>
  <c r="G68" i="2"/>
  <c r="J92" i="6" s="1"/>
  <c r="G66" i="2"/>
  <c r="J89" i="6" s="1"/>
  <c r="G64" i="2"/>
  <c r="J86" i="6" s="1"/>
  <c r="G62" i="2"/>
  <c r="J83" i="6" s="1"/>
  <c r="G60" i="2"/>
  <c r="J80" i="6" s="1"/>
  <c r="G58" i="2"/>
  <c r="J77" i="6" s="1"/>
  <c r="G56" i="2"/>
  <c r="J74" i="6" s="1"/>
  <c r="G54" i="2"/>
  <c r="J71" i="6" s="1"/>
  <c r="G49" i="2"/>
  <c r="J65" i="6" s="1"/>
  <c r="G45" i="2"/>
  <c r="J59" i="6" s="1"/>
  <c r="G43" i="2"/>
  <c r="G41" i="2"/>
  <c r="G39" i="2"/>
  <c r="G37" i="2"/>
  <c r="G35" i="2"/>
  <c r="J33" i="2"/>
  <c r="M41" i="6" s="1"/>
  <c r="G31" i="2"/>
  <c r="G29" i="2"/>
  <c r="G27" i="2"/>
  <c r="G25" i="2"/>
  <c r="G20" i="2"/>
  <c r="J23" i="6" s="1"/>
  <c r="G18" i="2"/>
  <c r="J20" i="6" s="1"/>
  <c r="G16" i="2"/>
  <c r="J17" i="6" s="1"/>
  <c r="I14" i="2"/>
  <c r="L14" i="6" s="1"/>
  <c r="I10" i="2"/>
  <c r="J8" i="2"/>
  <c r="G15" i="1"/>
  <c r="J167" i="6" s="1"/>
  <c r="G13" i="1"/>
  <c r="J25" i="2" l="1"/>
  <c r="M29" i="6" s="1"/>
  <c r="J29" i="6"/>
  <c r="J41" i="2"/>
  <c r="M53" i="6" s="1"/>
  <c r="J53" i="6"/>
  <c r="J116" i="6"/>
  <c r="J83" i="2"/>
  <c r="M114" i="6" s="1"/>
  <c r="J27" i="2"/>
  <c r="M32" i="6" s="1"/>
  <c r="J32" i="6"/>
  <c r="J37" i="2"/>
  <c r="M47" i="6" s="1"/>
  <c r="J47" i="6"/>
  <c r="J31" i="2"/>
  <c r="M38" i="6" s="1"/>
  <c r="J38" i="6"/>
  <c r="J39" i="2"/>
  <c r="M50" i="6" s="1"/>
  <c r="J50" i="6"/>
  <c r="J29" i="2"/>
  <c r="M35" i="6" s="1"/>
  <c r="J35" i="6"/>
  <c r="J35" i="2"/>
  <c r="M44" i="6" s="1"/>
  <c r="J44" i="6"/>
  <c r="J43" i="2"/>
  <c r="M56" i="6" s="1"/>
  <c r="J56" i="6"/>
  <c r="J103" i="2"/>
  <c r="M143" i="6" s="1"/>
  <c r="J78" i="2"/>
  <c r="M107" i="6" s="1"/>
  <c r="J93" i="2"/>
  <c r="J64" i="2"/>
  <c r="M86" i="6" s="1"/>
  <c r="J72" i="2"/>
  <c r="M98" i="6" s="1"/>
  <c r="J84" i="2"/>
  <c r="M116" i="6" s="1"/>
  <c r="J58" i="2"/>
  <c r="M77" i="6" s="1"/>
  <c r="J89" i="2"/>
  <c r="J97" i="2"/>
  <c r="M134" i="6" s="1"/>
  <c r="J49" i="2"/>
  <c r="M65" i="6" s="1"/>
  <c r="J68" i="2"/>
  <c r="M92" i="6" s="1"/>
  <c r="J99" i="2"/>
  <c r="M137" i="6" s="1"/>
  <c r="J95" i="2"/>
  <c r="M131" i="6" s="1"/>
  <c r="J54" i="2"/>
  <c r="M71" i="6" s="1"/>
  <c r="J105" i="2"/>
  <c r="M146" i="6" s="1"/>
  <c r="I105" i="2"/>
  <c r="L146" i="6" s="1"/>
  <c r="J60" i="2"/>
  <c r="M80" i="6" s="1"/>
  <c r="J91" i="2"/>
  <c r="M125" i="6" s="1"/>
  <c r="J56" i="2"/>
  <c r="M74" i="6" s="1"/>
  <c r="J45" i="2"/>
  <c r="M59" i="6" s="1"/>
  <c r="J62" i="2"/>
  <c r="M83" i="6" s="1"/>
  <c r="J101" i="2"/>
  <c r="M140" i="6" s="1"/>
  <c r="J66" i="2"/>
  <c r="M89" i="6" s="1"/>
  <c r="J70" i="2"/>
  <c r="M95" i="6" s="1"/>
  <c r="J76" i="2"/>
  <c r="M104" i="6" s="1"/>
  <c r="J18" i="2"/>
  <c r="M20" i="6" s="1"/>
  <c r="I18" i="2"/>
  <c r="L20" i="6" s="1"/>
  <c r="G11" i="2"/>
  <c r="I13" i="2"/>
  <c r="L12" i="6" s="1"/>
  <c r="G15" i="2"/>
  <c r="J15" i="6" s="1"/>
  <c r="I16" i="2"/>
  <c r="I20" i="2"/>
  <c r="L23" i="6" s="1"/>
  <c r="J14" i="2"/>
  <c r="M14" i="6" s="1"/>
  <c r="J20" i="2"/>
  <c r="M23" i="6" s="1"/>
  <c r="J16" i="2"/>
  <c r="M17" i="6" s="1"/>
  <c r="I8" i="2"/>
  <c r="G9" i="2" s="1"/>
  <c r="J10" i="2"/>
  <c r="M128" i="6" l="1"/>
  <c r="M122" i="6"/>
  <c r="G17" i="2"/>
  <c r="J18" i="6" s="1"/>
  <c r="L17" i="6"/>
  <c r="G21" i="2"/>
  <c r="J24" i="6" s="1"/>
  <c r="G19" i="2"/>
  <c r="J21" i="6" s="1"/>
  <c r="J15" i="1"/>
  <c r="I17" i="2" l="1"/>
  <c r="L18" i="6" s="1"/>
  <c r="I15" i="1"/>
  <c r="G16" i="1" s="1"/>
  <c r="J16" i="1" l="1"/>
  <c r="I16" i="1"/>
  <c r="G42" i="1" l="1"/>
  <c r="K42" i="1" l="1"/>
  <c r="L58" i="2" l="1"/>
  <c r="I79" i="6" s="1"/>
  <c r="G8" i="1" l="1"/>
  <c r="G10" i="1"/>
  <c r="H13" i="7"/>
  <c r="I13" i="7"/>
  <c r="I12" i="7"/>
  <c r="H12" i="7"/>
  <c r="L15" i="1"/>
  <c r="L17" i="1" s="1"/>
  <c r="E9" i="3" s="1"/>
  <c r="L9" i="1"/>
  <c r="E6" i="3" s="1"/>
  <c r="H163" i="6"/>
  <c r="K15" i="1"/>
  <c r="H169" i="6" s="1"/>
  <c r="H2" i="6"/>
  <c r="N15" i="1"/>
  <c r="G51" i="1"/>
  <c r="K55" i="1"/>
  <c r="G52" i="2"/>
  <c r="J68" i="6" s="1"/>
  <c r="G109" i="2"/>
  <c r="N25" i="2"/>
  <c r="K31" i="6" s="1"/>
  <c r="N27" i="2"/>
  <c r="K34" i="6" s="1"/>
  <c r="N29" i="2"/>
  <c r="K37" i="6" s="1"/>
  <c r="N31" i="2"/>
  <c r="K40" i="6" s="1"/>
  <c r="N33" i="2"/>
  <c r="K43" i="6" s="1"/>
  <c r="N35" i="2"/>
  <c r="K46" i="6" s="1"/>
  <c r="N37" i="2"/>
  <c r="K49" i="6" s="1"/>
  <c r="N39" i="2"/>
  <c r="K52" i="6" s="1"/>
  <c r="N41" i="2"/>
  <c r="K55" i="6" s="1"/>
  <c r="N43" i="2"/>
  <c r="K58" i="6" s="1"/>
  <c r="N45" i="2"/>
  <c r="K61" i="6" s="1"/>
  <c r="N49" i="2"/>
  <c r="K67" i="6" s="1"/>
  <c r="L25" i="2"/>
  <c r="I31" i="6" s="1"/>
  <c r="L27" i="2"/>
  <c r="I34" i="6" s="1"/>
  <c r="L31" i="2"/>
  <c r="I40" i="6" s="1"/>
  <c r="L33" i="2"/>
  <c r="I43" i="6" s="1"/>
  <c r="L35" i="2"/>
  <c r="I46" i="6" s="1"/>
  <c r="L37" i="2"/>
  <c r="I49" i="6" s="1"/>
  <c r="L39" i="2"/>
  <c r="I52" i="6" s="1"/>
  <c r="L41" i="2"/>
  <c r="I55" i="6" s="1"/>
  <c r="L45" i="2"/>
  <c r="I61" i="6" s="1"/>
  <c r="L49" i="2"/>
  <c r="I67" i="6" s="1"/>
  <c r="L23" i="2"/>
  <c r="I28" i="6" s="1"/>
  <c r="K25" i="2"/>
  <c r="H31" i="6" s="1"/>
  <c r="K27" i="2"/>
  <c r="H34" i="6" s="1"/>
  <c r="K29" i="2"/>
  <c r="H37" i="6" s="1"/>
  <c r="K31" i="2"/>
  <c r="H40" i="6" s="1"/>
  <c r="K33" i="2"/>
  <c r="H43" i="6" s="1"/>
  <c r="K35" i="2"/>
  <c r="H46" i="6" s="1"/>
  <c r="K37" i="2"/>
  <c r="H49" i="6" s="1"/>
  <c r="K39" i="2"/>
  <c r="H52" i="6" s="1"/>
  <c r="K41" i="2"/>
  <c r="H55" i="6" s="1"/>
  <c r="K43" i="2"/>
  <c r="H58" i="6" s="1"/>
  <c r="K45" i="2"/>
  <c r="H61" i="6" s="1"/>
  <c r="K49" i="2"/>
  <c r="H67" i="6" s="1"/>
  <c r="K23" i="2"/>
  <c r="H28" i="6" s="1"/>
  <c r="G23" i="2"/>
  <c r="J26" i="6" s="1"/>
  <c r="I25" i="2"/>
  <c r="I31" i="2"/>
  <c r="I37" i="2"/>
  <c r="I45" i="2"/>
  <c r="L59" i="6" s="1"/>
  <c r="K7" i="6"/>
  <c r="I7" i="6"/>
  <c r="H7" i="6"/>
  <c r="H10" i="6"/>
  <c r="H4" i="6"/>
  <c r="M5" i="6"/>
  <c r="I9" i="2"/>
  <c r="I21" i="2"/>
  <c r="L24" i="6" s="1"/>
  <c r="I27" i="2"/>
  <c r="L32" i="6" s="1"/>
  <c r="I49" i="2"/>
  <c r="L65" i="6" s="1"/>
  <c r="I19" i="2"/>
  <c r="L21" i="6" s="1"/>
  <c r="K64" i="2"/>
  <c r="H88" i="6" s="1"/>
  <c r="N207" i="6"/>
  <c r="N206" i="6"/>
  <c r="N231" i="6"/>
  <c r="N230" i="6"/>
  <c r="N228" i="6"/>
  <c r="N227" i="6"/>
  <c r="N225" i="6"/>
  <c r="N224" i="6"/>
  <c r="N222" i="6"/>
  <c r="N221" i="6"/>
  <c r="N219" i="6"/>
  <c r="N218" i="6"/>
  <c r="N216" i="6"/>
  <c r="N213" i="6"/>
  <c r="N212" i="6"/>
  <c r="N210" i="6"/>
  <c r="N209" i="6"/>
  <c r="N204" i="6"/>
  <c r="N203" i="6"/>
  <c r="N201" i="6"/>
  <c r="N200" i="6"/>
  <c r="N198" i="6"/>
  <c r="N197" i="6"/>
  <c r="N195" i="6"/>
  <c r="N194" i="6"/>
  <c r="N192" i="6"/>
  <c r="N191" i="6"/>
  <c r="N180" i="6"/>
  <c r="N177" i="6"/>
  <c r="N176" i="6"/>
  <c r="N174" i="6"/>
  <c r="N173" i="6"/>
  <c r="N171" i="6"/>
  <c r="N170" i="6"/>
  <c r="N168" i="6"/>
  <c r="N167" i="6"/>
  <c r="N165" i="6"/>
  <c r="N164" i="6"/>
  <c r="N162" i="6"/>
  <c r="N161" i="6"/>
  <c r="N215" i="6"/>
  <c r="N179" i="6"/>
  <c r="N61" i="1"/>
  <c r="L61" i="1"/>
  <c r="I226" i="6" s="1"/>
  <c r="K61" i="1"/>
  <c r="K231" i="6"/>
  <c r="K230" i="6"/>
  <c r="I231" i="6"/>
  <c r="I230" i="6"/>
  <c r="H231" i="6"/>
  <c r="H230" i="6"/>
  <c r="K228" i="6"/>
  <c r="K227" i="6"/>
  <c r="I228" i="6"/>
  <c r="I227" i="6"/>
  <c r="H228" i="6"/>
  <c r="H227" i="6"/>
  <c r="K225" i="6"/>
  <c r="K224" i="6"/>
  <c r="I225" i="6"/>
  <c r="I224" i="6"/>
  <c r="H225" i="6"/>
  <c r="H224" i="6"/>
  <c r="K222" i="6"/>
  <c r="I222" i="6"/>
  <c r="H222" i="6"/>
  <c r="H221" i="6"/>
  <c r="K219" i="6"/>
  <c r="K218" i="6"/>
  <c r="I219" i="6"/>
  <c r="H219" i="6"/>
  <c r="H218" i="6"/>
  <c r="K216" i="6"/>
  <c r="K215" i="6"/>
  <c r="I216" i="6"/>
  <c r="I215" i="6"/>
  <c r="H215" i="6"/>
  <c r="K213" i="6"/>
  <c r="K212" i="6"/>
  <c r="I213" i="6"/>
  <c r="H213" i="6"/>
  <c r="H212" i="6"/>
  <c r="K210" i="6"/>
  <c r="K209" i="6"/>
  <c r="I210" i="6"/>
  <c r="I209" i="6"/>
  <c r="H210" i="6"/>
  <c r="H209" i="6"/>
  <c r="K207" i="6"/>
  <c r="K206" i="6"/>
  <c r="I207" i="6"/>
  <c r="I206" i="6"/>
  <c r="H207" i="6"/>
  <c r="H206" i="6"/>
  <c r="K204" i="6"/>
  <c r="K203" i="6"/>
  <c r="I204" i="6"/>
  <c r="I203" i="6"/>
  <c r="H204" i="6"/>
  <c r="H203" i="6"/>
  <c r="K201" i="6"/>
  <c r="K200" i="6"/>
  <c r="I201" i="6"/>
  <c r="I200" i="6"/>
  <c r="H201" i="6"/>
  <c r="H200" i="6"/>
  <c r="K198" i="6"/>
  <c r="K197" i="6"/>
  <c r="I198" i="6"/>
  <c r="I197" i="6"/>
  <c r="H198" i="6"/>
  <c r="H197" i="6"/>
  <c r="K195" i="6"/>
  <c r="K194" i="6"/>
  <c r="I195" i="6"/>
  <c r="I194" i="6"/>
  <c r="H195" i="6"/>
  <c r="H194" i="6"/>
  <c r="K192" i="6"/>
  <c r="I192" i="6"/>
  <c r="H192" i="6"/>
  <c r="H191" i="6"/>
  <c r="K180" i="6"/>
  <c r="K179" i="6"/>
  <c r="I180" i="6"/>
  <c r="I179" i="6"/>
  <c r="H180" i="6"/>
  <c r="H179" i="6"/>
  <c r="K177" i="6"/>
  <c r="K176" i="6"/>
  <c r="I177" i="6"/>
  <c r="I176" i="6"/>
  <c r="H177" i="6"/>
  <c r="H176" i="6"/>
  <c r="K174" i="6"/>
  <c r="K173" i="6"/>
  <c r="I174" i="6"/>
  <c r="I173" i="6"/>
  <c r="H174" i="6"/>
  <c r="H173" i="6"/>
  <c r="K171" i="6"/>
  <c r="K170" i="6"/>
  <c r="I171" i="6"/>
  <c r="I170" i="6"/>
  <c r="H171" i="6"/>
  <c r="K168" i="6"/>
  <c r="K167" i="6"/>
  <c r="I168" i="6"/>
  <c r="H168" i="6"/>
  <c r="K165" i="6"/>
  <c r="K164" i="6"/>
  <c r="I165" i="6"/>
  <c r="I164" i="6"/>
  <c r="H165" i="6"/>
  <c r="H164" i="6"/>
  <c r="K162" i="6"/>
  <c r="K161" i="6"/>
  <c r="I162" i="6"/>
  <c r="I161" i="6"/>
  <c r="H162" i="6"/>
  <c r="H161" i="6"/>
  <c r="H27" i="6"/>
  <c r="H26" i="6"/>
  <c r="K9" i="6"/>
  <c r="K8" i="6"/>
  <c r="I9" i="6"/>
  <c r="I8" i="6"/>
  <c r="H9" i="6"/>
  <c r="H8" i="6"/>
  <c r="H5" i="6"/>
  <c r="H6" i="6"/>
  <c r="H3" i="6"/>
  <c r="K6" i="6"/>
  <c r="K5" i="6"/>
  <c r="K3" i="6"/>
  <c r="K2" i="6"/>
  <c r="I6" i="6"/>
  <c r="I5" i="6"/>
  <c r="N68" i="1"/>
  <c r="I3" i="6"/>
  <c r="I2" i="6"/>
  <c r="G87" i="2"/>
  <c r="J119" i="6" s="1"/>
  <c r="L87" i="2"/>
  <c r="I121" i="6" s="1"/>
  <c r="L62" i="2"/>
  <c r="I4" i="6"/>
  <c r="K109" i="2"/>
  <c r="H154" i="6" s="1"/>
  <c r="K103" i="2"/>
  <c r="H145" i="6" s="1"/>
  <c r="K101" i="2"/>
  <c r="H142" i="6" s="1"/>
  <c r="K99" i="2"/>
  <c r="H139" i="6" s="1"/>
  <c r="K97" i="2"/>
  <c r="H136" i="6" s="1"/>
  <c r="K95" i="2"/>
  <c r="H133" i="6" s="1"/>
  <c r="K93" i="2"/>
  <c r="H130" i="6" s="1"/>
  <c r="K91" i="2"/>
  <c r="H127" i="6" s="1"/>
  <c r="K87" i="2"/>
  <c r="H121" i="6" s="1"/>
  <c r="K78" i="2"/>
  <c r="H109" i="6" s="1"/>
  <c r="K76" i="2"/>
  <c r="H106" i="6" s="1"/>
  <c r="H100" i="6"/>
  <c r="K70" i="2"/>
  <c r="H97" i="6" s="1"/>
  <c r="K66" i="2"/>
  <c r="H91" i="6" s="1"/>
  <c r="K60" i="2"/>
  <c r="H82" i="6" s="1"/>
  <c r="K58" i="2"/>
  <c r="H79" i="6" s="1"/>
  <c r="K56" i="2"/>
  <c r="H76" i="6" s="1"/>
  <c r="K54" i="2"/>
  <c r="H73" i="6" s="1"/>
  <c r="K52" i="2"/>
  <c r="H70" i="6" s="1"/>
  <c r="N36" i="1"/>
  <c r="N70" i="1"/>
  <c r="N65" i="1"/>
  <c r="K232" i="6" s="1"/>
  <c r="N63" i="1"/>
  <c r="K229" i="6" s="1"/>
  <c r="N57" i="1"/>
  <c r="K220" i="6" s="1"/>
  <c r="N55" i="1"/>
  <c r="K217" i="6" s="1"/>
  <c r="N53" i="1"/>
  <c r="N51" i="1"/>
  <c r="N48" i="1"/>
  <c r="K208" i="6" s="1"/>
  <c r="N45" i="1"/>
  <c r="N42" i="1"/>
  <c r="N39" i="1"/>
  <c r="N33" i="1"/>
  <c r="N31" i="1"/>
  <c r="N29" i="1"/>
  <c r="K187" i="6" s="1"/>
  <c r="N25" i="1"/>
  <c r="K181" i="6" s="1"/>
  <c r="N22" i="1"/>
  <c r="N20" i="1"/>
  <c r="N18" i="1"/>
  <c r="N13" i="1"/>
  <c r="N10" i="1"/>
  <c r="L70" i="1"/>
  <c r="L71" i="1" s="1"/>
  <c r="E19" i="3" s="1"/>
  <c r="F19" i="3" s="1"/>
  <c r="L68" i="1"/>
  <c r="L69" i="1" s="1"/>
  <c r="E18" i="3" s="1"/>
  <c r="F18" i="3" s="1"/>
  <c r="L65" i="1"/>
  <c r="I232" i="6" s="1"/>
  <c r="L63" i="1"/>
  <c r="I229" i="6" s="1"/>
  <c r="L55" i="1"/>
  <c r="I217" i="6" s="1"/>
  <c r="L51" i="1"/>
  <c r="L48" i="1"/>
  <c r="L45" i="1"/>
  <c r="L42" i="1"/>
  <c r="L39" i="1"/>
  <c r="L36" i="1"/>
  <c r="L33" i="1"/>
  <c r="L31" i="1"/>
  <c r="I190" i="6" s="1"/>
  <c r="L29" i="1"/>
  <c r="I187" i="6" s="1"/>
  <c r="L25" i="1"/>
  <c r="L22" i="1"/>
  <c r="L20" i="1"/>
  <c r="L18" i="1"/>
  <c r="L13" i="1"/>
  <c r="L14" i="1" s="1"/>
  <c r="E8" i="3" s="1"/>
  <c r="F8" i="3" s="1"/>
  <c r="L10" i="1"/>
  <c r="K70" i="1"/>
  <c r="K68" i="1"/>
  <c r="M68" i="1" s="1"/>
  <c r="K65" i="1"/>
  <c r="H232" i="6" s="1"/>
  <c r="K63" i="1"/>
  <c r="M63" i="1" s="1"/>
  <c r="K59" i="1"/>
  <c r="H223" i="6" s="1"/>
  <c r="K57" i="1"/>
  <c r="H220" i="6" s="1"/>
  <c r="K53" i="1"/>
  <c r="K51" i="1"/>
  <c r="K48" i="1"/>
  <c r="K45" i="1"/>
  <c r="K39" i="1"/>
  <c r="K36" i="1"/>
  <c r="H196" i="6" s="1"/>
  <c r="K33" i="1"/>
  <c r="H193" i="6" s="1"/>
  <c r="K31" i="1"/>
  <c r="K29" i="1"/>
  <c r="H187" i="6" s="1"/>
  <c r="K25" i="1"/>
  <c r="H181" i="6" s="1"/>
  <c r="K22" i="1"/>
  <c r="K20" i="1"/>
  <c r="H175" i="6" s="1"/>
  <c r="K18" i="1"/>
  <c r="H172" i="6" s="1"/>
  <c r="K13" i="1"/>
  <c r="K10" i="1"/>
  <c r="H166" i="6" s="1"/>
  <c r="G70" i="1"/>
  <c r="J70" i="1" s="1"/>
  <c r="G68" i="1"/>
  <c r="I68" i="1" s="1"/>
  <c r="G48" i="1"/>
  <c r="I48" i="1" s="1"/>
  <c r="G45" i="1"/>
  <c r="I45" i="1" s="1"/>
  <c r="G39" i="1"/>
  <c r="J197" i="6" s="1"/>
  <c r="G36" i="1"/>
  <c r="I36" i="1" s="1"/>
  <c r="G31" i="1"/>
  <c r="J188" i="6" s="1"/>
  <c r="G29" i="1"/>
  <c r="J185" i="6" s="1"/>
  <c r="G25" i="1"/>
  <c r="J25" i="1" s="1"/>
  <c r="M179" i="6" s="1"/>
  <c r="G22" i="1"/>
  <c r="G20" i="1"/>
  <c r="J170" i="6"/>
  <c r="I13" i="1"/>
  <c r="K211" i="6"/>
  <c r="L68" i="2"/>
  <c r="I94" i="6" s="1"/>
  <c r="H202" i="6"/>
  <c r="I42" i="1"/>
  <c r="G43" i="1" s="1"/>
  <c r="J43" i="1" s="1"/>
  <c r="J200" i="6"/>
  <c r="J42" i="1"/>
  <c r="M200" i="6" s="1"/>
  <c r="N76" i="2"/>
  <c r="K106" i="6" s="1"/>
  <c r="N78" i="2"/>
  <c r="K109" i="6" s="1"/>
  <c r="L76" i="2"/>
  <c r="I106" i="6" s="1"/>
  <c r="L84" i="2"/>
  <c r="I118" i="6" s="1"/>
  <c r="K74" i="2"/>
  <c r="H103" i="6" s="1"/>
  <c r="K4" i="6"/>
  <c r="G113" i="2"/>
  <c r="J158" i="6" s="1"/>
  <c r="K10" i="6"/>
  <c r="N23" i="2"/>
  <c r="K28" i="6" s="1"/>
  <c r="N52" i="2"/>
  <c r="K70" i="6" s="1"/>
  <c r="N54" i="2"/>
  <c r="K73" i="6" s="1"/>
  <c r="N56" i="2"/>
  <c r="K76" i="6" s="1"/>
  <c r="N58" i="2"/>
  <c r="K79" i="6" s="1"/>
  <c r="N60" i="2"/>
  <c r="K82" i="6" s="1"/>
  <c r="N62" i="2"/>
  <c r="K85" i="6" s="1"/>
  <c r="N64" i="2"/>
  <c r="K88" i="6" s="1"/>
  <c r="N66" i="2"/>
  <c r="K91" i="6" s="1"/>
  <c r="N68" i="2"/>
  <c r="K94" i="6" s="1"/>
  <c r="N70" i="2"/>
  <c r="N72" i="2"/>
  <c r="K100" i="6" s="1"/>
  <c r="N74" i="2"/>
  <c r="K103" i="6" s="1"/>
  <c r="N87" i="2"/>
  <c r="K121" i="6" s="1"/>
  <c r="N89" i="2"/>
  <c r="K124" i="6" s="1"/>
  <c r="N91" i="2"/>
  <c r="K127" i="6" s="1"/>
  <c r="N93" i="2"/>
  <c r="K130" i="6" s="1"/>
  <c r="N95" i="2"/>
  <c r="K133" i="6" s="1"/>
  <c r="N97" i="2"/>
  <c r="K136" i="6" s="1"/>
  <c r="N99" i="2"/>
  <c r="K139" i="6" s="1"/>
  <c r="N101" i="2"/>
  <c r="K142" i="6" s="1"/>
  <c r="N103" i="2"/>
  <c r="K145" i="6" s="1"/>
  <c r="N105" i="2"/>
  <c r="K148" i="6" s="1"/>
  <c r="N107" i="2"/>
  <c r="K151" i="6" s="1"/>
  <c r="N109" i="2"/>
  <c r="K154" i="6" s="1"/>
  <c r="N113" i="2"/>
  <c r="K160" i="6" s="1"/>
  <c r="L54" i="2"/>
  <c r="I73" i="6" s="1"/>
  <c r="L56" i="2"/>
  <c r="I76" i="6" s="1"/>
  <c r="L60" i="2"/>
  <c r="I82" i="6" s="1"/>
  <c r="L64" i="2"/>
  <c r="I88" i="6" s="1"/>
  <c r="L66" i="2"/>
  <c r="I91" i="6" s="1"/>
  <c r="L70" i="2"/>
  <c r="I97" i="6" s="1"/>
  <c r="L74" i="2"/>
  <c r="I103" i="6" s="1"/>
  <c r="L89" i="2"/>
  <c r="I124" i="6" s="1"/>
  <c r="L93" i="2"/>
  <c r="I130" i="6" s="1"/>
  <c r="L95" i="2"/>
  <c r="I133" i="6" s="1"/>
  <c r="L97" i="2"/>
  <c r="I136" i="6" s="1"/>
  <c r="L99" i="2"/>
  <c r="I139" i="6" s="1"/>
  <c r="L103" i="2"/>
  <c r="I145" i="6" s="1"/>
  <c r="L105" i="2"/>
  <c r="I148" i="6" s="1"/>
  <c r="L107" i="2"/>
  <c r="I151" i="6" s="1"/>
  <c r="L109" i="2"/>
  <c r="L113" i="2"/>
  <c r="I160" i="6" s="1"/>
  <c r="K89" i="2"/>
  <c r="H124" i="6" s="1"/>
  <c r="K113" i="2"/>
  <c r="H160" i="6" s="1"/>
  <c r="L59" i="1"/>
  <c r="N59" i="1"/>
  <c r="J53" i="1"/>
  <c r="I218" i="6"/>
  <c r="L91" i="2"/>
  <c r="I127" i="6" s="1"/>
  <c r="L53" i="1"/>
  <c r="I214" i="6" s="1"/>
  <c r="J57" i="1"/>
  <c r="G33" i="1"/>
  <c r="J191" i="6" s="1"/>
  <c r="I58" i="2"/>
  <c r="L77" i="6" s="1"/>
  <c r="I64" i="2"/>
  <c r="L86" i="6" s="1"/>
  <c r="I97" i="2"/>
  <c r="L134" i="6" s="1"/>
  <c r="I99" i="2"/>
  <c r="L137" i="6" s="1"/>
  <c r="I56" i="2"/>
  <c r="L74" i="6" s="1"/>
  <c r="J152" i="6" l="1"/>
  <c r="J109" i="2"/>
  <c r="M152" i="6" s="1"/>
  <c r="I172" i="6"/>
  <c r="L24" i="1"/>
  <c r="E10" i="3" s="1"/>
  <c r="G38" i="2"/>
  <c r="I38" i="2" s="1"/>
  <c r="L48" i="6" s="1"/>
  <c r="L47" i="6"/>
  <c r="F6" i="3"/>
  <c r="J237" i="6" s="1"/>
  <c r="I237" i="6"/>
  <c r="G32" i="2"/>
  <c r="J39" i="6" s="1"/>
  <c r="L38" i="6"/>
  <c r="F9" i="3"/>
  <c r="J239" i="6" s="1"/>
  <c r="I239" i="6"/>
  <c r="G26" i="2"/>
  <c r="L29" i="6"/>
  <c r="L35" i="1"/>
  <c r="K97" i="6"/>
  <c r="L115" i="2"/>
  <c r="I154" i="6"/>
  <c r="I85" i="6"/>
  <c r="I142" i="6"/>
  <c r="M84" i="2"/>
  <c r="J173" i="6"/>
  <c r="J20" i="1"/>
  <c r="M173" i="6" s="1"/>
  <c r="I205" i="6"/>
  <c r="L47" i="1"/>
  <c r="E15" i="3" s="1"/>
  <c r="I245" i="6" s="1"/>
  <c r="I196" i="6"/>
  <c r="L38" i="1"/>
  <c r="E12" i="3" s="1"/>
  <c r="I242" i="6" s="1"/>
  <c r="H9" i="3"/>
  <c r="L239" i="6" s="1"/>
  <c r="I178" i="6"/>
  <c r="I6" i="3"/>
  <c r="M237" i="6" s="1"/>
  <c r="H8" i="3"/>
  <c r="I8" i="3"/>
  <c r="N67" i="1"/>
  <c r="H190" i="6"/>
  <c r="I199" i="6"/>
  <c r="L41" i="1"/>
  <c r="E13" i="3" s="1"/>
  <c r="I243" i="6" s="1"/>
  <c r="I18" i="3"/>
  <c r="H18" i="3"/>
  <c r="I166" i="6"/>
  <c r="L12" i="1"/>
  <c r="E7" i="3" s="1"/>
  <c r="I238" i="6" s="1"/>
  <c r="I181" i="6"/>
  <c r="E11" i="3"/>
  <c r="I241" i="6" s="1"/>
  <c r="I208" i="6"/>
  <c r="L50" i="1"/>
  <c r="E16" i="3" s="1"/>
  <c r="I246" i="6" s="1"/>
  <c r="M42" i="1"/>
  <c r="J202" i="6" s="1"/>
  <c r="L44" i="1"/>
  <c r="E14" i="3" s="1"/>
  <c r="I244" i="6" s="1"/>
  <c r="H19" i="3"/>
  <c r="I19" i="3"/>
  <c r="K190" i="6"/>
  <c r="H211" i="6"/>
  <c r="K67" i="1"/>
  <c r="I211" i="6"/>
  <c r="P63" i="1"/>
  <c r="M229" i="6" s="1"/>
  <c r="M39" i="1"/>
  <c r="I163" i="6"/>
  <c r="I70" i="1"/>
  <c r="J48" i="1"/>
  <c r="M206" i="6" s="1"/>
  <c r="G98" i="2"/>
  <c r="G59" i="2"/>
  <c r="J78" i="6" s="1"/>
  <c r="G50" i="2"/>
  <c r="G57" i="2"/>
  <c r="J75" i="6" s="1"/>
  <c r="M45" i="1"/>
  <c r="P45" i="1" s="1"/>
  <c r="M205" i="6" s="1"/>
  <c r="J209" i="6"/>
  <c r="J51" i="1"/>
  <c r="M209" i="6" s="1"/>
  <c r="M22" i="1"/>
  <c r="J178" i="6" s="1"/>
  <c r="J229" i="6"/>
  <c r="K196" i="6"/>
  <c r="M70" i="2"/>
  <c r="J97" i="6" s="1"/>
  <c r="M39" i="2"/>
  <c r="M31" i="2"/>
  <c r="J40" i="6" s="1"/>
  <c r="G7" i="2"/>
  <c r="K205" i="6"/>
  <c r="K199" i="6"/>
  <c r="M56" i="2"/>
  <c r="J76" i="6" s="1"/>
  <c r="K202" i="6"/>
  <c r="I25" i="1"/>
  <c r="L179" i="6" s="1"/>
  <c r="H229" i="6"/>
  <c r="M18" i="1"/>
  <c r="O18" i="1" s="1"/>
  <c r="L172" i="6" s="1"/>
  <c r="M103" i="2"/>
  <c r="J145" i="6" s="1"/>
  <c r="J52" i="2"/>
  <c r="M68" i="6" s="1"/>
  <c r="J113" i="2"/>
  <c r="M158" i="6" s="1"/>
  <c r="M66" i="2"/>
  <c r="J91" i="6" s="1"/>
  <c r="M97" i="2"/>
  <c r="J136" i="6" s="1"/>
  <c r="I23" i="2"/>
  <c r="J23" i="2"/>
  <c r="M26" i="6" s="1"/>
  <c r="J87" i="2"/>
  <c r="M119" i="6" s="1"/>
  <c r="I39" i="1"/>
  <c r="L197" i="6" s="1"/>
  <c r="I18" i="1"/>
  <c r="L170" i="6" s="1"/>
  <c r="M48" i="1"/>
  <c r="J208" i="6" s="1"/>
  <c r="J206" i="6"/>
  <c r="J22" i="1"/>
  <c r="M176" i="6" s="1"/>
  <c r="J61" i="1"/>
  <c r="M224" i="6" s="1"/>
  <c r="J68" i="1"/>
  <c r="I55" i="1"/>
  <c r="J55" i="1"/>
  <c r="M215" i="6" s="1"/>
  <c r="J31" i="1"/>
  <c r="M188" i="6" s="1"/>
  <c r="J230" i="6"/>
  <c r="J65" i="1"/>
  <c r="M230" i="6" s="1"/>
  <c r="I22" i="1"/>
  <c r="L176" i="6" s="1"/>
  <c r="M36" i="1"/>
  <c r="J227" i="6"/>
  <c r="J63" i="1"/>
  <c r="M227" i="6" s="1"/>
  <c r="M161" i="6"/>
  <c r="J33" i="1"/>
  <c r="M191" i="6" s="1"/>
  <c r="I65" i="1"/>
  <c r="M218" i="6"/>
  <c r="J176" i="6"/>
  <c r="J29" i="1"/>
  <c r="M185" i="6" s="1"/>
  <c r="K175" i="6"/>
  <c r="J161" i="6"/>
  <c r="G100" i="2"/>
  <c r="J138" i="6" s="1"/>
  <c r="G65" i="2"/>
  <c r="J87" i="6" s="1"/>
  <c r="J74" i="2"/>
  <c r="M101" i="6" s="1"/>
  <c r="G46" i="2"/>
  <c r="J60" i="6" s="1"/>
  <c r="G28" i="2"/>
  <c r="J9" i="2"/>
  <c r="I26" i="2"/>
  <c r="L30" i="6" s="1"/>
  <c r="J5" i="6"/>
  <c r="M93" i="2"/>
  <c r="J130" i="6" s="1"/>
  <c r="I93" i="2"/>
  <c r="L128" i="6" s="1"/>
  <c r="L4" i="6"/>
  <c r="M23" i="2"/>
  <c r="P23" i="2" s="1"/>
  <c r="M28" i="6" s="1"/>
  <c r="M35" i="2"/>
  <c r="M27" i="2"/>
  <c r="J34" i="6" s="1"/>
  <c r="I60" i="2"/>
  <c r="L80" i="6" s="1"/>
  <c r="M76" i="2"/>
  <c r="J106" i="6" s="1"/>
  <c r="M53" i="1"/>
  <c r="P53" i="1" s="1"/>
  <c r="M214" i="6" s="1"/>
  <c r="J224" i="6"/>
  <c r="L200" i="6"/>
  <c r="J39" i="1"/>
  <c r="M197" i="6" s="1"/>
  <c r="I29" i="1"/>
  <c r="L185" i="6" s="1"/>
  <c r="J164" i="6"/>
  <c r="I10" i="1"/>
  <c r="G11" i="1" s="1"/>
  <c r="I103" i="2"/>
  <c r="L143" i="6" s="1"/>
  <c r="M41" i="2"/>
  <c r="J55" i="6" s="1"/>
  <c r="I33" i="1"/>
  <c r="J218" i="6"/>
  <c r="J13" i="1"/>
  <c r="H208" i="6"/>
  <c r="M167" i="6"/>
  <c r="M29" i="1"/>
  <c r="I167" i="6"/>
  <c r="I31" i="1"/>
  <c r="L188" i="6" s="1"/>
  <c r="M65" i="1"/>
  <c r="J232" i="6" s="1"/>
  <c r="M10" i="1"/>
  <c r="H214" i="6"/>
  <c r="M61" i="1"/>
  <c r="J226" i="6" s="1"/>
  <c r="I223" i="6"/>
  <c r="M59" i="1"/>
  <c r="J223" i="6" s="1"/>
  <c r="L194" i="6"/>
  <c r="G37" i="1"/>
  <c r="J195" i="6" s="1"/>
  <c r="I169" i="6"/>
  <c r="M15" i="1"/>
  <c r="L206" i="6"/>
  <c r="G49" i="1"/>
  <c r="M70" i="1"/>
  <c r="I57" i="1"/>
  <c r="G58" i="1" s="1"/>
  <c r="L57" i="1"/>
  <c r="I221" i="6"/>
  <c r="L161" i="6"/>
  <c r="J179" i="6"/>
  <c r="I202" i="6"/>
  <c r="P42" i="1"/>
  <c r="M202" i="6" s="1"/>
  <c r="I63" i="1"/>
  <c r="G64" i="1" s="1"/>
  <c r="J59" i="1"/>
  <c r="M13" i="1"/>
  <c r="H216" i="6"/>
  <c r="I212" i="6"/>
  <c r="K221" i="6"/>
  <c r="J18" i="1"/>
  <c r="M170" i="6" s="1"/>
  <c r="H226" i="6"/>
  <c r="J194" i="6"/>
  <c r="J36" i="1"/>
  <c r="M194" i="6" s="1"/>
  <c r="L203" i="6"/>
  <c r="G46" i="1"/>
  <c r="M212" i="6"/>
  <c r="I53" i="1"/>
  <c r="G54" i="1" s="1"/>
  <c r="J212" i="6"/>
  <c r="M55" i="1"/>
  <c r="J217" i="6" s="1"/>
  <c r="H217" i="6"/>
  <c r="K214" i="6"/>
  <c r="K223" i="6"/>
  <c r="O63" i="1"/>
  <c r="L229" i="6" s="1"/>
  <c r="H199" i="6"/>
  <c r="H178" i="6"/>
  <c r="M31" i="1"/>
  <c r="J190" i="6" s="1"/>
  <c r="K226" i="6"/>
  <c r="I175" i="6"/>
  <c r="M20" i="1"/>
  <c r="J175" i="6" s="1"/>
  <c r="P68" i="1"/>
  <c r="J203" i="6"/>
  <c r="J45" i="1"/>
  <c r="M203" i="6" s="1"/>
  <c r="I193" i="6"/>
  <c r="M33" i="1"/>
  <c r="J193" i="6" s="1"/>
  <c r="I51" i="1"/>
  <c r="G52" i="1" s="1"/>
  <c r="I20" i="1"/>
  <c r="L173" i="6" s="1"/>
  <c r="O42" i="1"/>
  <c r="L202" i="6" s="1"/>
  <c r="I61" i="1"/>
  <c r="G62" i="1" s="1"/>
  <c r="J10" i="1"/>
  <c r="M164" i="6" s="1"/>
  <c r="M25" i="1"/>
  <c r="K172" i="6"/>
  <c r="O68" i="1"/>
  <c r="K193" i="6"/>
  <c r="I78" i="2"/>
  <c r="I70" i="2"/>
  <c r="L95" i="6" s="1"/>
  <c r="I62" i="2"/>
  <c r="L83" i="6" s="1"/>
  <c r="I54" i="2"/>
  <c r="L71" i="6" s="1"/>
  <c r="I52" i="2"/>
  <c r="L68" i="6" s="1"/>
  <c r="M64" i="2"/>
  <c r="J88" i="6" s="1"/>
  <c r="K105" i="2"/>
  <c r="H148" i="6" s="1"/>
  <c r="M58" i="2"/>
  <c r="J79" i="6" s="1"/>
  <c r="I89" i="2"/>
  <c r="L122" i="6" s="1"/>
  <c r="M99" i="2"/>
  <c r="L52" i="2"/>
  <c r="I70" i="6" s="1"/>
  <c r="L78" i="2"/>
  <c r="I109" i="6" s="1"/>
  <c r="M49" i="2"/>
  <c r="J67" i="6" s="1"/>
  <c r="I101" i="2"/>
  <c r="L140" i="6" s="1"/>
  <c r="M101" i="2"/>
  <c r="J142" i="6" s="1"/>
  <c r="M74" i="2"/>
  <c r="J103" i="6" s="1"/>
  <c r="I33" i="2"/>
  <c r="L41" i="6" s="1"/>
  <c r="M51" i="1"/>
  <c r="I76" i="2"/>
  <c r="M91" i="2"/>
  <c r="J127" i="6" s="1"/>
  <c r="K166" i="6"/>
  <c r="K178" i="6"/>
  <c r="K163" i="6"/>
  <c r="I41" i="2"/>
  <c r="I109" i="2"/>
  <c r="L152" i="6" s="1"/>
  <c r="M54" i="2"/>
  <c r="J73" i="6" s="1"/>
  <c r="K169" i="6"/>
  <c r="M60" i="2"/>
  <c r="J82" i="6" s="1"/>
  <c r="I39" i="2"/>
  <c r="L50" i="6" s="1"/>
  <c r="M37" i="2"/>
  <c r="M109" i="2"/>
  <c r="J154" i="6" s="1"/>
  <c r="G107" i="2"/>
  <c r="J149" i="6" s="1"/>
  <c r="K107" i="2"/>
  <c r="H151" i="6" s="1"/>
  <c r="I91" i="2"/>
  <c r="L125" i="6" s="1"/>
  <c r="M95" i="2"/>
  <c r="J133" i="6" s="1"/>
  <c r="M87" i="2"/>
  <c r="J121" i="6" s="1"/>
  <c r="I66" i="2"/>
  <c r="L89" i="6" s="1"/>
  <c r="M89" i="2"/>
  <c r="J124" i="6" s="1"/>
  <c r="K68" i="2"/>
  <c r="H94" i="6" s="1"/>
  <c r="M33" i="2"/>
  <c r="J43" i="6" s="1"/>
  <c r="L29" i="2"/>
  <c r="L43" i="2"/>
  <c r="I58" i="6" s="1"/>
  <c r="I15" i="2"/>
  <c r="L15" i="6" s="1"/>
  <c r="M25" i="2"/>
  <c r="J31" i="6" s="1"/>
  <c r="I72" i="2"/>
  <c r="L98" i="6" s="1"/>
  <c r="K62" i="2"/>
  <c r="H85" i="6" s="1"/>
  <c r="I84" i="2"/>
  <c r="L116" i="6" s="1"/>
  <c r="M45" i="2"/>
  <c r="J61" i="6" s="1"/>
  <c r="J215" i="6"/>
  <c r="I68" i="2"/>
  <c r="L92" i="6" s="1"/>
  <c r="I113" i="2"/>
  <c r="L158" i="6" s="1"/>
  <c r="J162" i="6"/>
  <c r="J8" i="1"/>
  <c r="M162" i="6" s="1"/>
  <c r="I8" i="1"/>
  <c r="L162" i="6" s="1"/>
  <c r="M113" i="2"/>
  <c r="J160" i="6" s="1"/>
  <c r="I10" i="6"/>
  <c r="L8" i="6"/>
  <c r="I11" i="2"/>
  <c r="M8" i="6"/>
  <c r="J8" i="6"/>
  <c r="L2" i="6"/>
  <c r="J6" i="2"/>
  <c r="J2" i="6"/>
  <c r="I74" i="2"/>
  <c r="I35" i="2"/>
  <c r="M201" i="6"/>
  <c r="J201" i="6"/>
  <c r="I43" i="1"/>
  <c r="L201" i="6" s="1"/>
  <c r="I87" i="2"/>
  <c r="L119" i="6" s="1"/>
  <c r="J6" i="6"/>
  <c r="L6" i="6"/>
  <c r="L5" i="6"/>
  <c r="H6" i="3" l="1"/>
  <c r="L237" i="6" s="1"/>
  <c r="I240" i="6"/>
  <c r="L86" i="2"/>
  <c r="J38" i="2"/>
  <c r="M48" i="6" s="1"/>
  <c r="J48" i="6"/>
  <c r="P37" i="2"/>
  <c r="M49" i="6" s="1"/>
  <c r="J49" i="6"/>
  <c r="I98" i="2"/>
  <c r="L135" i="6" s="1"/>
  <c r="J135" i="6"/>
  <c r="P39" i="2"/>
  <c r="M52" i="6" s="1"/>
  <c r="J52" i="6"/>
  <c r="I9" i="3"/>
  <c r="M239" i="6" s="1"/>
  <c r="L104" i="6"/>
  <c r="G77" i="2"/>
  <c r="J105" i="6" s="1"/>
  <c r="O99" i="2"/>
  <c r="L139" i="6" s="1"/>
  <c r="J139" i="6"/>
  <c r="O29" i="1"/>
  <c r="L187" i="6" s="1"/>
  <c r="J187" i="6"/>
  <c r="O84" i="2"/>
  <c r="L118" i="6" s="1"/>
  <c r="J118" i="6"/>
  <c r="L67" i="1"/>
  <c r="E17" i="3" s="1"/>
  <c r="L107" i="6"/>
  <c r="G79" i="2"/>
  <c r="J108" i="6" s="1"/>
  <c r="G42" i="2"/>
  <c r="L53" i="6"/>
  <c r="J28" i="2"/>
  <c r="M33" i="6" s="1"/>
  <c r="J33" i="6"/>
  <c r="G24" i="2"/>
  <c r="I24" i="2" s="1"/>
  <c r="L27" i="6" s="1"/>
  <c r="L26" i="6"/>
  <c r="I50" i="2"/>
  <c r="L66" i="6" s="1"/>
  <c r="J66" i="6"/>
  <c r="P70" i="2"/>
  <c r="M97" i="6" s="1"/>
  <c r="J26" i="2"/>
  <c r="M30" i="6" s="1"/>
  <c r="J30" i="6"/>
  <c r="L51" i="2"/>
  <c r="I37" i="6"/>
  <c r="O45" i="1"/>
  <c r="L205" i="6" s="1"/>
  <c r="L101" i="6"/>
  <c r="G75" i="2"/>
  <c r="J102" i="6" s="1"/>
  <c r="O35" i="2"/>
  <c r="L46" i="6" s="1"/>
  <c r="J46" i="6"/>
  <c r="G36" i="2"/>
  <c r="L44" i="6"/>
  <c r="P60" i="2"/>
  <c r="M82" i="6" s="1"/>
  <c r="P18" i="1"/>
  <c r="M172" i="6" s="1"/>
  <c r="F10" i="3"/>
  <c r="J240" i="6" s="1"/>
  <c r="F11" i="3"/>
  <c r="J241" i="6" s="1"/>
  <c r="F12" i="3"/>
  <c r="J242" i="6" s="1"/>
  <c r="F16" i="3"/>
  <c r="J246" i="6" s="1"/>
  <c r="F7" i="3"/>
  <c r="J238" i="6" s="1"/>
  <c r="F15" i="3"/>
  <c r="J245" i="6" s="1"/>
  <c r="F14" i="3"/>
  <c r="J244" i="6" s="1"/>
  <c r="F13" i="3"/>
  <c r="J243" i="6" s="1"/>
  <c r="G34" i="1"/>
  <c r="J34" i="1" s="1"/>
  <c r="M192" i="6" s="1"/>
  <c r="L191" i="6"/>
  <c r="I7" i="2"/>
  <c r="G22" i="2"/>
  <c r="G85" i="2"/>
  <c r="J117" i="6" s="1"/>
  <c r="G66" i="1"/>
  <c r="J66" i="1" s="1"/>
  <c r="M231" i="6" s="1"/>
  <c r="G56" i="1"/>
  <c r="I56" i="1" s="1"/>
  <c r="L216" i="6" s="1"/>
  <c r="O22" i="1"/>
  <c r="L178" i="6" s="1"/>
  <c r="G73" i="2"/>
  <c r="J99" i="6" s="1"/>
  <c r="H205" i="6"/>
  <c r="P39" i="1"/>
  <c r="M199" i="6" s="1"/>
  <c r="J205" i="6"/>
  <c r="P51" i="1"/>
  <c r="M211" i="6" s="1"/>
  <c r="O13" i="1"/>
  <c r="J199" i="6"/>
  <c r="O48" i="1"/>
  <c r="L208" i="6" s="1"/>
  <c r="O39" i="1"/>
  <c r="L199" i="6" s="1"/>
  <c r="G26" i="1"/>
  <c r="J26" i="1" s="1"/>
  <c r="M180" i="6" s="1"/>
  <c r="P48" i="1"/>
  <c r="M208" i="6" s="1"/>
  <c r="O93" i="2"/>
  <c r="L130" i="6" s="1"/>
  <c r="J107" i="2"/>
  <c r="M149" i="6" s="1"/>
  <c r="G90" i="2"/>
  <c r="J123" i="6" s="1"/>
  <c r="O97" i="2"/>
  <c r="L136" i="6" s="1"/>
  <c r="P103" i="2"/>
  <c r="M145" i="6" s="1"/>
  <c r="J59" i="2"/>
  <c r="M78" i="6" s="1"/>
  <c r="J50" i="2"/>
  <c r="M66" i="6" s="1"/>
  <c r="G94" i="2"/>
  <c r="J65" i="2"/>
  <c r="M87" i="6" s="1"/>
  <c r="G69" i="2"/>
  <c r="J93" i="6" s="1"/>
  <c r="P22" i="1"/>
  <c r="M178" i="6" s="1"/>
  <c r="G92" i="2"/>
  <c r="J126" i="6" s="1"/>
  <c r="O91" i="2"/>
  <c r="L127" i="6" s="1"/>
  <c r="J46" i="2"/>
  <c r="M60" i="6" s="1"/>
  <c r="G102" i="2"/>
  <c r="J141" i="6" s="1"/>
  <c r="O66" i="2"/>
  <c r="L91" i="6" s="1"/>
  <c r="G110" i="2"/>
  <c r="O76" i="2"/>
  <c r="L106" i="6" s="1"/>
  <c r="G71" i="2"/>
  <c r="J96" i="6" s="1"/>
  <c r="G67" i="2"/>
  <c r="J90" i="6" s="1"/>
  <c r="G63" i="2"/>
  <c r="J57" i="2"/>
  <c r="M75" i="6" s="1"/>
  <c r="G30" i="1"/>
  <c r="M52" i="2"/>
  <c r="J70" i="6" s="1"/>
  <c r="G53" i="2"/>
  <c r="J69" i="6" s="1"/>
  <c r="L215" i="6"/>
  <c r="O70" i="2"/>
  <c r="L97" i="6" s="1"/>
  <c r="O36" i="1"/>
  <c r="L196" i="6" s="1"/>
  <c r="L209" i="6"/>
  <c r="L163" i="6"/>
  <c r="J169" i="6"/>
  <c r="J166" i="6"/>
  <c r="P13" i="1"/>
  <c r="G19" i="1"/>
  <c r="J19" i="1" s="1"/>
  <c r="M171" i="6" s="1"/>
  <c r="O70" i="1"/>
  <c r="J172" i="6"/>
  <c r="P56" i="2"/>
  <c r="M76" i="6" s="1"/>
  <c r="O56" i="2"/>
  <c r="L76" i="6" s="1"/>
  <c r="M6" i="6"/>
  <c r="O39" i="2"/>
  <c r="L52" i="6" s="1"/>
  <c r="I28" i="2"/>
  <c r="L33" i="6" s="1"/>
  <c r="O31" i="2"/>
  <c r="L40" i="6" s="1"/>
  <c r="I65" i="2"/>
  <c r="L87" i="6" s="1"/>
  <c r="O103" i="2"/>
  <c r="L145" i="6" s="1"/>
  <c r="I46" i="2"/>
  <c r="L60" i="6" s="1"/>
  <c r="M2" i="6"/>
  <c r="P66" i="2"/>
  <c r="M91" i="6" s="1"/>
  <c r="P84" i="2"/>
  <c r="M118" i="6" s="1"/>
  <c r="P35" i="2"/>
  <c r="M46" i="6" s="1"/>
  <c r="L230" i="6"/>
  <c r="P70" i="1"/>
  <c r="G40" i="1"/>
  <c r="J40" i="1" s="1"/>
  <c r="M198" i="6" s="1"/>
  <c r="J214" i="6"/>
  <c r="O53" i="1"/>
  <c r="L214" i="6" s="1"/>
  <c r="M68" i="2"/>
  <c r="J94" i="6" s="1"/>
  <c r="P93" i="2"/>
  <c r="O23" i="2"/>
  <c r="L28" i="6" s="1"/>
  <c r="O27" i="2"/>
  <c r="L34" i="6" s="1"/>
  <c r="J28" i="6"/>
  <c r="J10" i="6"/>
  <c r="P10" i="2"/>
  <c r="P8" i="2"/>
  <c r="J7" i="2"/>
  <c r="G23" i="1"/>
  <c r="J23" i="1" s="1"/>
  <c r="M177" i="6" s="1"/>
  <c r="P33" i="1"/>
  <c r="M193" i="6" s="1"/>
  <c r="P36" i="1"/>
  <c r="M196" i="6" s="1"/>
  <c r="J196" i="6"/>
  <c r="O33" i="1"/>
  <c r="L193" i="6" s="1"/>
  <c r="O15" i="1"/>
  <c r="L169" i="6" s="1"/>
  <c r="P29" i="1"/>
  <c r="M187" i="6" s="1"/>
  <c r="P20" i="1"/>
  <c r="M175" i="6" s="1"/>
  <c r="O59" i="1"/>
  <c r="L223" i="6" s="1"/>
  <c r="G104" i="2"/>
  <c r="J144" i="6" s="1"/>
  <c r="J100" i="2"/>
  <c r="M138" i="6" s="1"/>
  <c r="I100" i="2"/>
  <c r="L138" i="6" s="1"/>
  <c r="G61" i="2"/>
  <c r="J81" i="6" s="1"/>
  <c r="G55" i="2"/>
  <c r="J72" i="6" s="1"/>
  <c r="G40" i="2"/>
  <c r="G34" i="2"/>
  <c r="J11" i="2"/>
  <c r="J15" i="2"/>
  <c r="M15" i="6" s="1"/>
  <c r="O45" i="2"/>
  <c r="L61" i="6" s="1"/>
  <c r="M78" i="2"/>
  <c r="J109" i="6" s="1"/>
  <c r="J4" i="6"/>
  <c r="P27" i="2"/>
  <c r="M34" i="6" s="1"/>
  <c r="P45" i="2"/>
  <c r="M61" i="6" s="1"/>
  <c r="O41" i="2"/>
  <c r="L55" i="6" s="1"/>
  <c r="I32" i="2"/>
  <c r="L39" i="6" s="1"/>
  <c r="P41" i="2"/>
  <c r="M55" i="6" s="1"/>
  <c r="P91" i="2"/>
  <c r="M127" i="6" s="1"/>
  <c r="M107" i="2"/>
  <c r="J151" i="6" s="1"/>
  <c r="L10" i="6"/>
  <c r="J163" i="6"/>
  <c r="P7" i="1"/>
  <c r="M163" i="6" s="1"/>
  <c r="G21" i="1"/>
  <c r="I21" i="1" s="1"/>
  <c r="L174" i="6" s="1"/>
  <c r="O55" i="1"/>
  <c r="L217" i="6" s="1"/>
  <c r="P65" i="1"/>
  <c r="M232" i="6" s="1"/>
  <c r="O61" i="1"/>
  <c r="L226" i="6" s="1"/>
  <c r="O65" i="1"/>
  <c r="L232" i="6" s="1"/>
  <c r="P15" i="1"/>
  <c r="M169" i="6" s="1"/>
  <c r="I11" i="1"/>
  <c r="L165" i="6" s="1"/>
  <c r="L7" i="6"/>
  <c r="O74" i="2"/>
  <c r="L103" i="6" s="1"/>
  <c r="P74" i="2"/>
  <c r="M103" i="6" s="1"/>
  <c r="P61" i="1"/>
  <c r="M226" i="6" s="1"/>
  <c r="G32" i="1"/>
  <c r="O10" i="1"/>
  <c r="L166" i="6" s="1"/>
  <c r="P10" i="1"/>
  <c r="M166" i="6" s="1"/>
  <c r="I37" i="1"/>
  <c r="L195" i="6" s="1"/>
  <c r="J165" i="6"/>
  <c r="J11" i="1"/>
  <c r="M165" i="6" s="1"/>
  <c r="M221" i="6"/>
  <c r="I59" i="1"/>
  <c r="G60" i="1" s="1"/>
  <c r="J221" i="6"/>
  <c r="J49" i="1"/>
  <c r="M207" i="6" s="1"/>
  <c r="J207" i="6"/>
  <c r="I49" i="1"/>
  <c r="L207" i="6" s="1"/>
  <c r="L164" i="6"/>
  <c r="P59" i="1"/>
  <c r="M223" i="6" s="1"/>
  <c r="J37" i="1"/>
  <c r="M195" i="6" s="1"/>
  <c r="J64" i="1"/>
  <c r="L227" i="6"/>
  <c r="P57" i="1"/>
  <c r="M220" i="6" s="1"/>
  <c r="I220" i="6"/>
  <c r="M57" i="1"/>
  <c r="J58" i="1"/>
  <c r="L218" i="6"/>
  <c r="O20" i="1"/>
  <c r="L175" i="6" s="1"/>
  <c r="L224" i="6"/>
  <c r="J62" i="1"/>
  <c r="J204" i="6"/>
  <c r="I46" i="1"/>
  <c r="L204" i="6" s="1"/>
  <c r="J46" i="1"/>
  <c r="M204" i="6" s="1"/>
  <c r="P55" i="1"/>
  <c r="M217" i="6" s="1"/>
  <c r="O31" i="1"/>
  <c r="L212" i="6"/>
  <c r="P31" i="1"/>
  <c r="O25" i="1"/>
  <c r="L181" i="6" s="1"/>
  <c r="P25" i="1"/>
  <c r="M181" i="6" s="1"/>
  <c r="J181" i="6"/>
  <c r="D28" i="3"/>
  <c r="O49" i="2"/>
  <c r="L67" i="6" s="1"/>
  <c r="O64" i="2"/>
  <c r="L88" i="6" s="1"/>
  <c r="P64" i="2"/>
  <c r="M88" i="6" s="1"/>
  <c r="O72" i="2"/>
  <c r="L100" i="6" s="1"/>
  <c r="M105" i="2"/>
  <c r="J148" i="6" s="1"/>
  <c r="O101" i="2"/>
  <c r="L142" i="6" s="1"/>
  <c r="P14" i="2"/>
  <c r="M16" i="6" s="1"/>
  <c r="J211" i="6"/>
  <c r="O51" i="1"/>
  <c r="L211" i="6" s="1"/>
  <c r="P54" i="2"/>
  <c r="M73" i="6" s="1"/>
  <c r="O54" i="2"/>
  <c r="L73" i="6" s="1"/>
  <c r="I29" i="2"/>
  <c r="M29" i="2"/>
  <c r="J37" i="6" s="1"/>
  <c r="G106" i="2"/>
  <c r="J147" i="6" s="1"/>
  <c r="J7" i="6"/>
  <c r="I95" i="2"/>
  <c r="L131" i="6" s="1"/>
  <c r="I43" i="2"/>
  <c r="O89" i="2"/>
  <c r="L124" i="6" s="1"/>
  <c r="P89" i="2"/>
  <c r="P95" i="2"/>
  <c r="M133" i="6" s="1"/>
  <c r="O95" i="2"/>
  <c r="L133" i="6" s="1"/>
  <c r="M62" i="2"/>
  <c r="J85" i="6" s="1"/>
  <c r="O25" i="2"/>
  <c r="L31" i="6" s="1"/>
  <c r="P25" i="2"/>
  <c r="M31" i="6" s="1"/>
  <c r="P33" i="2"/>
  <c r="M43" i="6" s="1"/>
  <c r="O33" i="2"/>
  <c r="L43" i="6" s="1"/>
  <c r="O87" i="2"/>
  <c r="L121" i="6" s="1"/>
  <c r="P87" i="2"/>
  <c r="M121" i="6" s="1"/>
  <c r="I57" i="2"/>
  <c r="L75" i="6" s="1"/>
  <c r="M43" i="2"/>
  <c r="J58" i="6" s="1"/>
  <c r="I107" i="2"/>
  <c r="L149" i="6" s="1"/>
  <c r="P109" i="2"/>
  <c r="M154" i="6" s="1"/>
  <c r="O109" i="2"/>
  <c r="L154" i="6" s="1"/>
  <c r="O37" i="2"/>
  <c r="L49" i="6" s="1"/>
  <c r="O60" i="2"/>
  <c r="L82" i="6" s="1"/>
  <c r="G114" i="2"/>
  <c r="J159" i="6" s="1"/>
  <c r="P113" i="2"/>
  <c r="M160" i="6" s="1"/>
  <c r="O113" i="2"/>
  <c r="L160" i="6" s="1"/>
  <c r="L9" i="6"/>
  <c r="J9" i="6"/>
  <c r="J3" i="6"/>
  <c r="I59" i="2"/>
  <c r="L78" i="6" s="1"/>
  <c r="G88" i="2"/>
  <c r="J120" i="6" s="1"/>
  <c r="O58" i="2"/>
  <c r="L79" i="6" s="1"/>
  <c r="P58" i="2"/>
  <c r="M79" i="6" s="1"/>
  <c r="J56" i="1" l="1"/>
  <c r="M216" i="6" s="1"/>
  <c r="J216" i="6"/>
  <c r="M67" i="1"/>
  <c r="I247" i="6"/>
  <c r="E28" i="3"/>
  <c r="E29" i="3"/>
  <c r="F29" i="3" s="1"/>
  <c r="F17" i="3"/>
  <c r="J247" i="6" s="1"/>
  <c r="M130" i="6"/>
  <c r="M124" i="6"/>
  <c r="J34" i="2"/>
  <c r="M42" i="6" s="1"/>
  <c r="J42" i="6"/>
  <c r="J40" i="2"/>
  <c r="M51" i="6" s="1"/>
  <c r="J51" i="6"/>
  <c r="I94" i="2"/>
  <c r="L129" i="6" s="1"/>
  <c r="J129" i="6"/>
  <c r="J24" i="2"/>
  <c r="M27" i="6" s="1"/>
  <c r="J27" i="6"/>
  <c r="J42" i="2"/>
  <c r="M54" i="6" s="1"/>
  <c r="J54" i="6"/>
  <c r="G30" i="2"/>
  <c r="J36" i="6" s="1"/>
  <c r="L35" i="6"/>
  <c r="I110" i="2"/>
  <c r="L153" i="6" s="1"/>
  <c r="J153" i="6"/>
  <c r="I63" i="2"/>
  <c r="L84" i="6" s="1"/>
  <c r="J84" i="6"/>
  <c r="J36" i="2"/>
  <c r="M45" i="6" s="1"/>
  <c r="J45" i="6"/>
  <c r="G44" i="2"/>
  <c r="L56" i="6"/>
  <c r="I14" i="3"/>
  <c r="M244" i="6" s="1"/>
  <c r="H14" i="3"/>
  <c r="L244" i="6" s="1"/>
  <c r="J32" i="1"/>
  <c r="M189" i="6" s="1"/>
  <c r="J189" i="6"/>
  <c r="I66" i="1"/>
  <c r="L231" i="6" s="1"/>
  <c r="I13" i="3"/>
  <c r="M243" i="6" s="1"/>
  <c r="H13" i="3"/>
  <c r="L243" i="6" s="1"/>
  <c r="I7" i="3"/>
  <c r="M238" i="6" s="1"/>
  <c r="H7" i="3"/>
  <c r="L238" i="6" s="1"/>
  <c r="I12" i="3"/>
  <c r="M242" i="6" s="1"/>
  <c r="H12" i="3"/>
  <c r="L242" i="6" s="1"/>
  <c r="H10" i="3"/>
  <c r="L240" i="6" s="1"/>
  <c r="I10" i="3"/>
  <c r="M240" i="6" s="1"/>
  <c r="L190" i="6"/>
  <c r="M190" i="6"/>
  <c r="I15" i="3"/>
  <c r="M245" i="6" s="1"/>
  <c r="H15" i="3"/>
  <c r="L245" i="6" s="1"/>
  <c r="I16" i="3"/>
  <c r="M246" i="6" s="1"/>
  <c r="H16" i="3"/>
  <c r="L246" i="6" s="1"/>
  <c r="I11" i="3"/>
  <c r="M241" i="6" s="1"/>
  <c r="H11" i="3"/>
  <c r="L241" i="6" s="1"/>
  <c r="J192" i="6"/>
  <c r="I34" i="1"/>
  <c r="L192" i="6" s="1"/>
  <c r="J30" i="1"/>
  <c r="M186" i="6" s="1"/>
  <c r="J186" i="6"/>
  <c r="I26" i="1"/>
  <c r="L180" i="6" s="1"/>
  <c r="J231" i="6"/>
  <c r="I30" i="1"/>
  <c r="L186" i="6" s="1"/>
  <c r="J180" i="6"/>
  <c r="O68" i="2"/>
  <c r="L94" i="6" s="1"/>
  <c r="O107" i="2"/>
  <c r="L151" i="6" s="1"/>
  <c r="J85" i="2"/>
  <c r="M117" i="6" s="1"/>
  <c r="J94" i="2"/>
  <c r="J79" i="2"/>
  <c r="M108" i="6" s="1"/>
  <c r="J90" i="2"/>
  <c r="J75" i="2"/>
  <c r="M102" i="6" s="1"/>
  <c r="J69" i="2"/>
  <c r="M93" i="6" s="1"/>
  <c r="G96" i="2"/>
  <c r="J132" i="6" s="1"/>
  <c r="J88" i="2"/>
  <c r="M120" i="6" s="1"/>
  <c r="J106" i="2"/>
  <c r="M147" i="6" s="1"/>
  <c r="J92" i="2"/>
  <c r="M126" i="6" s="1"/>
  <c r="J53" i="2"/>
  <c r="M69" i="6" s="1"/>
  <c r="J102" i="2"/>
  <c r="M141" i="6" s="1"/>
  <c r="J114" i="2"/>
  <c r="M159" i="6" s="1"/>
  <c r="J171" i="6"/>
  <c r="J110" i="2"/>
  <c r="M153" i="6" s="1"/>
  <c r="J71" i="2"/>
  <c r="M96" i="6" s="1"/>
  <c r="J67" i="2"/>
  <c r="M90" i="6" s="1"/>
  <c r="J63" i="2"/>
  <c r="M84" i="6" s="1"/>
  <c r="J55" i="2"/>
  <c r="M72" i="6" s="1"/>
  <c r="I19" i="1"/>
  <c r="L171" i="6" s="1"/>
  <c r="P52" i="2"/>
  <c r="M70" i="6" s="1"/>
  <c r="J198" i="6"/>
  <c r="J52" i="1"/>
  <c r="M210" i="6" s="1"/>
  <c r="J210" i="6"/>
  <c r="I52" i="1"/>
  <c r="L210" i="6" s="1"/>
  <c r="M10" i="6"/>
  <c r="O52" i="2"/>
  <c r="L70" i="6" s="1"/>
  <c r="I40" i="2"/>
  <c r="L51" i="6" s="1"/>
  <c r="P68" i="2"/>
  <c r="M94" i="6" s="1"/>
  <c r="L3" i="6"/>
  <c r="M7" i="6"/>
  <c r="M4" i="6"/>
  <c r="M9" i="6"/>
  <c r="M3" i="6"/>
  <c r="O78" i="2"/>
  <c r="L109" i="6" s="1"/>
  <c r="P78" i="2"/>
  <c r="M109" i="6" s="1"/>
  <c r="I40" i="1"/>
  <c r="L198" i="6" s="1"/>
  <c r="I23" i="1"/>
  <c r="L177" i="6" s="1"/>
  <c r="J177" i="6"/>
  <c r="I55" i="2"/>
  <c r="L72" i="6" s="1"/>
  <c r="J174" i="6"/>
  <c r="J21" i="1"/>
  <c r="M174" i="6" s="1"/>
  <c r="J104" i="2"/>
  <c r="M144" i="6" s="1"/>
  <c r="I104" i="2"/>
  <c r="L144" i="6" s="1"/>
  <c r="I85" i="2"/>
  <c r="L117" i="6" s="1"/>
  <c r="J73" i="2"/>
  <c r="M99" i="6" s="1"/>
  <c r="I73" i="2"/>
  <c r="L99" i="6" s="1"/>
  <c r="J61" i="2"/>
  <c r="M81" i="6" s="1"/>
  <c r="I61" i="2"/>
  <c r="L81" i="6" s="1"/>
  <c r="I34" i="2"/>
  <c r="L42" i="6" s="1"/>
  <c r="P107" i="2"/>
  <c r="M151" i="6" s="1"/>
  <c r="L167" i="6"/>
  <c r="I32" i="1"/>
  <c r="L189" i="6" s="1"/>
  <c r="I58" i="1"/>
  <c r="L219" i="6" s="1"/>
  <c r="M219" i="6"/>
  <c r="J219" i="6"/>
  <c r="J60" i="1"/>
  <c r="L221" i="6"/>
  <c r="J220" i="6"/>
  <c r="O57" i="1"/>
  <c r="L220" i="6" s="1"/>
  <c r="J228" i="6"/>
  <c r="M228" i="6"/>
  <c r="I64" i="1"/>
  <c r="L228" i="6" s="1"/>
  <c r="I62" i="1"/>
  <c r="L225" i="6" s="1"/>
  <c r="J225" i="6"/>
  <c r="M225" i="6"/>
  <c r="I54" i="1"/>
  <c r="L213" i="6" s="1"/>
  <c r="M213" i="6"/>
  <c r="J213" i="6"/>
  <c r="I53" i="2"/>
  <c r="L69" i="6" s="1"/>
  <c r="I102" i="2"/>
  <c r="L141" i="6" s="1"/>
  <c r="P105" i="2"/>
  <c r="M148" i="6" s="1"/>
  <c r="O105" i="2"/>
  <c r="L148" i="6" s="1"/>
  <c r="I71" i="2"/>
  <c r="L96" i="6" s="1"/>
  <c r="I79" i="2"/>
  <c r="L108" i="6" s="1"/>
  <c r="I90" i="2"/>
  <c r="L123" i="6" s="1"/>
  <c r="I42" i="2"/>
  <c r="L54" i="6" s="1"/>
  <c r="G108" i="2"/>
  <c r="J150" i="6" s="1"/>
  <c r="O43" i="2"/>
  <c r="L58" i="6" s="1"/>
  <c r="P43" i="2"/>
  <c r="M58" i="6" s="1"/>
  <c r="P62" i="2"/>
  <c r="M85" i="6" s="1"/>
  <c r="O62" i="2"/>
  <c r="L85" i="6" s="1"/>
  <c r="I92" i="2"/>
  <c r="L126" i="6" s="1"/>
  <c r="I67" i="2"/>
  <c r="L90" i="6" s="1"/>
  <c r="O29" i="2"/>
  <c r="L37" i="6" s="1"/>
  <c r="P29" i="2"/>
  <c r="M37" i="6" s="1"/>
  <c r="I69" i="2"/>
  <c r="L93" i="6" s="1"/>
  <c r="I114" i="2"/>
  <c r="L159" i="6" s="1"/>
  <c r="I75" i="2"/>
  <c r="L102" i="6" s="1"/>
  <c r="I36" i="2"/>
  <c r="L45" i="6" s="1"/>
  <c r="I88" i="2"/>
  <c r="L120" i="6" s="1"/>
  <c r="G51" i="2" l="1"/>
  <c r="J30" i="2"/>
  <c r="M36" i="6" s="1"/>
  <c r="M129" i="6"/>
  <c r="M123" i="6"/>
  <c r="I29" i="3"/>
  <c r="J44" i="2"/>
  <c r="M57" i="6" s="1"/>
  <c r="J57" i="6"/>
  <c r="G115" i="2"/>
  <c r="I51" i="2"/>
  <c r="G86" i="2"/>
  <c r="I17" i="3"/>
  <c r="M247" i="6" s="1"/>
  <c r="H17" i="3"/>
  <c r="L247" i="6" s="1"/>
  <c r="J108" i="2"/>
  <c r="M150" i="6" s="1"/>
  <c r="J96" i="2"/>
  <c r="M132" i="6" s="1"/>
  <c r="J168" i="6"/>
  <c r="L168" i="6"/>
  <c r="M168" i="6"/>
  <c r="I60" i="1"/>
  <c r="L222" i="6" s="1"/>
  <c r="M222" i="6"/>
  <c r="J222" i="6"/>
  <c r="I96" i="2"/>
  <c r="L132" i="6" s="1"/>
  <c r="I30" i="2"/>
  <c r="L36" i="6" s="1"/>
  <c r="I106" i="2"/>
  <c r="L147" i="6" s="1"/>
  <c r="I44" i="2"/>
  <c r="L57" i="6" s="1"/>
  <c r="I108" i="2"/>
  <c r="L150" i="6" s="1"/>
  <c r="J86" i="2" l="1"/>
  <c r="I86" i="2"/>
  <c r="I77" i="2"/>
  <c r="L105" i="6" s="1"/>
  <c r="H29" i="3"/>
</calcChain>
</file>

<file path=xl/comments1.xml><?xml version="1.0" encoding="utf-8"?>
<comments xmlns="http://schemas.openxmlformats.org/spreadsheetml/2006/main">
  <authors>
    <author>kamila molina</author>
    <author>omar aviles zamora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1404-20 Modifica distribución de cuotas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 xml:space="preserve">kamila molina:
</t>
        </r>
        <r>
          <rPr>
            <sz val="9"/>
            <color indexed="81"/>
            <rFont val="Tahoma"/>
            <family val="2"/>
          </rPr>
          <t>Activa cuota de imprevisto de III y IV región</t>
        </r>
      </text>
    </comment>
    <comment ref="C42" authorId="1">
      <text>
        <r>
          <rPr>
            <b/>
            <sz val="8"/>
            <color indexed="81"/>
            <rFont val="Tahoma"/>
            <charset val="1"/>
          </rPr>
          <t>omar aviles zamora:</t>
        </r>
        <r>
          <rPr>
            <sz val="8"/>
            <color indexed="81"/>
            <rFont val="Tahoma"/>
            <charset val="1"/>
          </rPr>
          <t xml:space="preserve">
Según Res. N°275-19 Pesca de investigacion.</t>
        </r>
      </text>
    </comment>
  </commentList>
</comments>
</file>

<file path=xl/comments2.xml><?xml version="1.0" encoding="utf-8"?>
<comments xmlns="http://schemas.openxmlformats.org/spreadsheetml/2006/main">
  <authors>
    <author>kamila molina</author>
    <author>tc={A64CE59C-0D65-4CFB-B77E-C8B44611AEC8}</author>
    <author>Kamila</author>
    <author>kmolina</author>
  </authors>
  <commentList>
    <comment ref="F1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1064-20 Activa cuota de imprevisto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07 Cesión de 685,257 ton a Foodcorp V-IX
Res. N° 1834-20 Cesión de 440 ton a Foodcorp V-IX
Res. 2009-20 Activa cuota de improviso
</t>
        </r>
      </text>
    </comment>
    <comment ref="E20" authorId="1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Ex. N° 3 Modifica distribución de cuota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1191-20 Activa cuota de imprevisto</t>
        </r>
      </text>
    </comment>
    <comment ref="Q2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cuota 04-03-2020
Apertura cuota 31-03-2020
Cierre cuota 13-04-2020
Apertura cuota 06-05-2020</t>
        </r>
      </text>
    </comment>
    <comment ref="Q2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cuota 23-04-2020
Apertura cuota 06-05-2020</t>
        </r>
      </text>
    </comment>
    <comment ref="E2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01-20 Adelanta 120 ton de periodo Oct-Dic a Ene-Sep</t>
        </r>
      </text>
    </comment>
    <comment ref="F25" authorId="2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789-20 Cesión de 3380 ton a ALIMAR V-IX
</t>
        </r>
      </text>
    </comment>
    <comment ref="Q2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28-03-2020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842 Cesión de 61 ton a ALIMAR V-IX</t>
        </r>
      </text>
    </comment>
    <comment ref="D42" authorId="3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A partir del 05 enero 2020 Res. Ex. N° 3973-19</t>
        </r>
      </text>
    </comment>
    <comment ref="F51" authorId="3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529-20 Cesión de 110 ton a Landes V-IX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848-20 Cesión de 530 ton a Landes V-IX</t>
        </r>
      </text>
    </comment>
    <comment ref="F55" authorId="3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528-20 Cesión de 3110 ton a LANDES S.A V a la IX</t>
        </r>
      </text>
    </comment>
    <comment ref="F57" authorId="3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608-20 Cesión de 540 ton a Alimentos Marinos XIV a X Región
Res. Ex. N° 669-20 Modifica Res. Ex. N° 608-20 (Alimar V-IX)</t>
        </r>
      </text>
    </comment>
    <comment ref="F59" authorId="3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574-20 Cesión de 900 ton a Alimentos Marinos XIV a X Región
Res. Ex. N° 575-20 Cesión de 800 ton a LANDES  XIV a X Región
Res. Ex. N° 670-20 Modifica Res. Ex. N° 574-20 (Alimar V-IX)
Res. Ex. N° 671-20 Modifica Res. Ex. N° 575-20 (Landes V-IX)</t>
        </r>
      </text>
    </comment>
    <comment ref="F61" authorId="3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531-20 Cesión de 821,71 ton a Alimentos Marinos XIV a X Region
Res. Ex. N° 648-20 Modifica Res. Ex. N°531-20 (Alimar V-IX)</t>
        </r>
      </text>
    </comment>
    <comment ref="F6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885-20 Cesión de 104 ton a embarcación DOMENICA</t>
        </r>
      </text>
    </comment>
  </commentList>
</comments>
</file>

<file path=xl/comments3.xml><?xml version="1.0" encoding="utf-8"?>
<comments xmlns="http://schemas.openxmlformats.org/spreadsheetml/2006/main">
  <authors>
    <author>kamila molina</author>
    <author>Kamila</author>
    <author>kmolina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25 Traspaso de 192,729 ton desde III-IV
Cer. N° 26 Traspaso de 656,281 ton desde V-IX
Cert. N° 27 Traspaso de 187,430 ton desde XIV-X
Cert. N° 35 Traspaso de 1001,04339 ton desde V-IX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241 Deja sin efecto fideicomiso
Res. Ex. N° 247 Deja sin efecto fideicomiso
Res. Ex. N° 459 Deja sin efecto fideicomiso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241 Deja sin efecto fideicomiso
Res. Ex. N° 247 Deja sin efecto fideicomiso
Res. Ex. N° 459 Deja sin efecto fideicomiso
Cert. N° 28-20 Traspaso de 2526,7 ton a V-IX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Cert. N° 19 Traspaso de 1745,766 ton a V-IX
</t>
        </r>
      </text>
    </comment>
    <comment ref="F16" authorId="2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197-20 Deja sin efecto fideicomiso Res. Ex. 1465-19
Res. Ex. N° 198-20 Deja sin efecto fideicomiso Res. Ex. 1466-19
Res. Ex. N° 199-20 Deja sin efecto fideicomiso Res. Ex. 1467-19
Res. Ex. N° 200-20 Deja sin efecto fideicomiso Res. Ex. 1468-19
Cert. N° 05-20 Traspaso de 597,236 ton a V - IX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197-20 Deja sin efecto fideicomiso Res. Ex. 1465-19
Res. Ex. N° 198-20 Deja sin efecto fideicomiso Res. Ex. 1466-19
Res. Ex. N° 199-20 Deja sin efecto fideicomiso Res. Ex. 1467-19
Res. Ex. N° 200-20 Deja sin efecto fideicomiso Res. Ex. 1468-19
Cert. N° 15-20 Traspaso a V-IX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 Traspaso de 6000,23 ton a V-IX
Cert. N° 4 Traspaso de 2848,3575 ton a V-IX
Cert. N° 6 Modifica Cert. N° 3 aumentando ton traspasadas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17-20 Traspaso de 1083 ton a V-IX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39 Traspaso de 2800 ton a V-IX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25 Traspaso de 192,729 ton a XV-II</t>
        </r>
      </text>
    </comment>
    <comment ref="F33" authorId="1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Cert. N° 20 traspaso de 617,779 a V-IX
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11-20 Traspaso de 474,522 ton a V-IX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851-20 Compra de 5,559 ton desde Lota Protein III-IV
Cert. N° 32-2020 Traspaso de 91,019 ton a V-IX</t>
        </r>
      </text>
    </comment>
    <comment ref="F41" authorId="1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851-20 Venta de 5,559 ton a Landes III-IV</t>
        </r>
      </text>
    </comment>
    <comment ref="F4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29-2020 Traspaso de 2000 ton a V-IX
Res. N° 1192-20 Compra de 77,562 ton a Pesq. Genova III-IV
Cert. N° 37-20 Deja sin efecto Cert. N° 29
Cert. N° 49-20 Traspaso de 1680 ton a V-IX</t>
        </r>
      </text>
    </comment>
    <comment ref="F4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21 traspaso de 700,0018 ton a V-IX
Cert. N° 54 traspaso de 47,8302 ton a V-IX
</t>
        </r>
      </text>
    </comment>
    <comment ref="F4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15-20 Traspaso a V-IX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1192-20 Venta de 77,562 ton a Orizon III-IV</t>
        </r>
      </text>
    </comment>
    <comment ref="F52" authorId="2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531-2020 Cesión de 821,71 ton desde Org. X Región
Res. Ex. N° 608-2020 Cesión de 540 desde Org. X Región
Res. Ex. N° 574-2020 Cesión de 900 desde Org. X Región
Res. Ex. N° 648-20 Modifica Res. Ex. N° 531-2020
Res. Ex. N° 669-20 Modifica Res. Ex. N° 608-2020
Res. Ex. N° 670-20 Modifica Res. Ex. N° 574-2020
Res. Ex. N° 789-20 Cesión de 3380 ton desde AG SAN ANTONIO
Res. Ex. N°842 Cesión de 61 ton desde AGRAPES V Region
Cert. N° 17-20 Traspaso de 1083 ton desde III-IV
Cert. N° 18-20 Traspaso de 3770 ton desde XIV-X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39 Traspaso de 2800 ton desde III-IV
Cert. N° 43 Traspaso de 3500 ton desde XIV-X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 Traspaso de 6000,23 ton desde XV-II
Cert. N° 4 Traspaso de 2848,3575 ton desde XV-II
Cert. N° 6 Modifica Cert. N° 3 aumentando ton traspasadas
Cert. N° 21 Traspaso de 700,0018 ton desde III-IV y 5068,172 ton desde XIV-X
Res. N° 1170-20 Venta de 1001,046 ton a Compañia Camanchaca V-IX
Cert. N° 54 Traspaso de 47,8302 ton desde III-IV
Cert. N° 55 Traspaso de 161,304 desde XIV-X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26-20 Traspaso de 656,281 ton a XV-II
Res. N° 1170-20 Compra de 1001,046 ton a Camanchaca Pesca Sur V-IX
Cert. N° 35-20 Traspaso de 1001,04339 ton a XV-II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11-20 Traspaso de 474,522 ton desde III-IV
Cert. N° 12-20 Traspaso de 1198,896 ton desde XIV-X
Cert. N° 16-20 Traspaso de 1200,278 ton desde XIV-X
</t>
        </r>
      </text>
    </comment>
    <comment ref="F62" authorId="1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Cert. N° 19 Traspaso desde XV-II
Cert. N° 20 Traspaso desde III-IV
Res. N° 07-20 Cesión de 685,257 ton desde AG Coquimbo
Cert. N° 36-20 Traspaso de 3300 desde XIV-X
Cert. N° 50-20  Traspaso de 550 ton desde XIV-X
Res. N° 1834-20 Cesión de 440 ton desde AG. PAR Y BUZOS DE COQUIMBO AG 55-04</t>
        </r>
      </text>
    </comment>
    <comment ref="F66" authorId="2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528-20 Cesión de 3110 ton desde AGARMAR X Region
Res. Ex. N° 529-20 Cesión de 110 ton desde AGARMAR X Region
Res. Ex. N° 671-20 Modifica Res. Ex. N° 575-20 Cesión de 800 ton desde ASOGPESCA X Región
Cert. N° 5-20 Traspaso de 597,236 ton desde XV-II
Res. Ex. N° 848-20 Cesión de 530 ton desde ASPGFER X Región
Res. Ex. N° 850-20 Compra de 3831,787 ton a Lota Protein
Cert. N°22-2020 Traspaso de 1798,212 ton desde XIV-X
Cert. N° 32-2020 Traspaso de 91,019 ton desde III-IV
Cert. N° 33-2020 Traspaso de 1581,171 ton desde XIV-X
Cert. N° 53-2020 Traspaso de 345,272 ton desde XIV-X</t>
        </r>
      </text>
    </comment>
    <comment ref="F68" authorId="1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850-20 Venta de 3831,7873 ton a Landes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28-2020 Traspaso de 2526,7 ton desde XII-II
Cert. N° 29-2020 Traspaso de 2000 ton desde III-IV
Cert. N° 30-2020 Traspaso de 4000 ton desde XIV-X
Res. N° 1193-20 Compra de 207,974 ton a Pesq. Genova V-IX
Cert. N° 37-2020 Deja sin efecto Cert. N° 29
Cert. N° 42-2020 Traspaso de 4300 ton desde XIV-X
Cert. N° 49-2020 Traspaso de 1680 ton desde III-IV
Cert. N° 51-2020 Modifica Cert. N° 42 disminuye ton traspasadas.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1193-20 Venta de 207,974 ton a Orizon S.A V-IX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15-20 Traspaso desde XV-II
Cert. N° 15-20 Traspaso desde III-IV
Cert. N° 15-20 Traspaso desde XIV-X</t>
        </r>
      </text>
    </comment>
    <comment ref="F87" authorId="2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531-20 Cesión de 821,71 ton desde PECERCAL X Region
Res. Ex. N° 574-20 Cesión de 900 ton desde ANCUD-ASOGPESCA X Región
Res. Ex. N° 608-20 Cesión de 540 ton desde AG PESCA AUSTRAL X Región
Res. Ex. N° 648-20 Modifica Res. Ex. N° 531-20
Res. Ex. N° 669-20 Modifica Res. Ex. N° 608-20
Res. Ex. N° 670-20 Modifica Res. Ex. N° 574-20
Cert. N° 18-20 Traspaso de 3770 ton a V-IX</t>
        </r>
      </text>
    </comment>
    <comment ref="F9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N°21 Traspaso de 5068,172 a V-IX
Cert. N° 55 Traspaso de 161,034 ton a V-IX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43 Traspaso de 3500 ton a V-IX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27 Traspaso de 187,430 ton a XV-II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12-20 Traspaso de 1198,896 ton a V-IX
Cert. N° 16-20 Traspaso de 1200,278 ton a V-IX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36-20 Traspaso de 3300 a V-IX
Cert. N° 50-20 traspaso de 550 ton a V-IX</t>
        </r>
      </text>
    </comment>
    <comment ref="F105" authorId="2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575-20 Cesión de 800 ton desde ANCUD-ASOGPESCA X Región
Res. Ex. N° 671-20 Modifica Res. Ex. N° 575-20
Res. Ex. N° 849-20 Compra de 1581,170 ton a Lota Protein
Cert. N° 22 Traspaso de 1798,212 ton a V-IX
Cert. N° 33 Traspaso de 1581,171 ton a V-IX
Cert. N° 53 Traspaso de 345,272 ton a V-IX</t>
        </r>
      </text>
    </comment>
    <comment ref="F107" authorId="1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Ex. N° 849-20 Venta de 1581,170 ton a Landes</t>
        </r>
      </text>
    </comment>
    <comment ref="F10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30-2020 Traspaso de 4000 ton a V-IX
Cert. N° 42-2020 Traspaso de 4300 ton a V-IX
Cert. N° 51-2020 Modifica Cert. N° 42, disminuye toneladas a 2300</t>
        </r>
      </text>
    </comment>
    <comment ref="F11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15-20 Traspaso a V-IX</t>
        </r>
      </text>
    </comment>
  </commentList>
</comments>
</file>

<file path=xl/sharedStrings.xml><?xml version="1.0" encoding="utf-8"?>
<sst xmlns="http://schemas.openxmlformats.org/spreadsheetml/2006/main" count="2277" uniqueCount="257">
  <si>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</si>
  <si>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</si>
  <si>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</si>
  <si>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</si>
  <si>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</si>
  <si>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</si>
  <si>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</si>
  <si>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</si>
  <si>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</si>
  <si>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</si>
  <si>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</si>
  <si>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</si>
  <si>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</si>
  <si>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</si>
  <si>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</si>
  <si>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</si>
  <si>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</si>
  <si>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</si>
  <si>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</si>
  <si>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</si>
  <si>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</si>
  <si>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</si>
  <si>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</si>
  <si>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</si>
  <si>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</si>
  <si>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</si>
  <si>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Jurel III-IV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</si>
  <si>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</si>
  <si>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</si>
  <si>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</si>
  <si>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</si>
  <si>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</si>
  <si>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</si>
  <si>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</si>
  <si>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</si>
  <si>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</si>
  <si>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</si>
  <si>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</si>
  <si>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</si>
  <si>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</si>
  <si>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</si>
  <si>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</si>
  <si>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</si>
  <si>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</si>
  <si>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</si>
  <si>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</si>
  <si>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</si>
  <si>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</si>
  <si>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</si>
  <si>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</si>
  <si>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</si>
  <si>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</si>
  <si>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</si>
  <si>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</si>
  <si>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</si>
  <si>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</si>
  <si>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</si>
  <si>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</si>
  <si>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</si>
  <si>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</si>
  <si>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</si>
  <si>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</si>
  <si>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</si>
  <si>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</si>
  <si>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</si>
  <si>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</si>
  <si>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</si>
  <si>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</si>
  <si>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</si>
  <si>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</si>
  <si>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</si>
  <si>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</si>
  <si>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</si>
  <si>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</si>
  <si>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</si>
  <si>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</si>
  <si>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</si>
  <si>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</si>
  <si>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</si>
  <si>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</si>
  <si>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</si>
  <si>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</si>
  <si>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</si>
  <si>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</si>
  <si>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</si>
  <si>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</si>
  <si>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PAOLA POBLETE NOVOA</t>
  </si>
  <si>
    <t>PESQ. GENOVA LTDA.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</si>
  <si>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</si>
  <si>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</si>
  <si>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</si>
  <si>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</si>
  <si>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</si>
  <si>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</si>
  <si>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</si>
  <si>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</si>
  <si>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</si>
  <si>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</si>
  <si>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</si>
  <si>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</si>
  <si>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</si>
  <si>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</si>
  <si>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</si>
  <si>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</si>
  <si>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</si>
  <si>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</si>
  <si>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</si>
  <si>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</si>
  <si>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</si>
  <si>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</si>
  <si>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</si>
  <si>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</si>
  <si>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</si>
  <si>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</si>
  <si>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</si>
  <si>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</si>
  <si>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REGION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</si>
  <si>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</si>
  <si>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</si>
  <si>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</si>
  <si>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</si>
  <si>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JUREL V-IX</t>
  </si>
  <si>
    <t>JUREL XIV-X</t>
  </si>
  <si>
    <t xml:space="preserve"> XV-I</t>
  </si>
  <si>
    <t xml:space="preserve">IV  </t>
  </si>
  <si>
    <t xml:space="preserve">V  </t>
  </si>
  <si>
    <t xml:space="preserve"> VI </t>
  </si>
  <si>
    <t>ARTESANAL VI</t>
  </si>
  <si>
    <t>ARTESANAL VII</t>
  </si>
  <si>
    <t>ARTESANAL IX</t>
  </si>
  <si>
    <t>ARTESANAL XIV</t>
  </si>
  <si>
    <t>BOLSON RESIDUAL</t>
  </si>
  <si>
    <t>TOTAL LTP</t>
  </si>
  <si>
    <t>TOTAL ASIGNATARIOS LTP</t>
  </si>
  <si>
    <t>TOTAL ASIGNATARIOS REGION</t>
  </si>
  <si>
    <t>-</t>
  </si>
  <si>
    <t>ORGANIZACION</t>
  </si>
  <si>
    <t>N° Resolución</t>
  </si>
  <si>
    <t>RPA</t>
  </si>
  <si>
    <t>Captura</t>
  </si>
  <si>
    <t>Ene-Oct</t>
  </si>
  <si>
    <t>Nov-Dic</t>
  </si>
  <si>
    <t xml:space="preserve">Recurso </t>
  </si>
  <si>
    <t>Cuota asignada (t)</t>
  </si>
  <si>
    <t>Consumo %</t>
  </si>
  <si>
    <t>Empresa</t>
  </si>
  <si>
    <t>Especie</t>
  </si>
  <si>
    <t>Consumo</t>
  </si>
  <si>
    <t>Captura(t)</t>
  </si>
  <si>
    <t>Saldo(t)</t>
  </si>
  <si>
    <t>Saldos(t)</t>
  </si>
  <si>
    <t>Actualizado al:</t>
  </si>
  <si>
    <t>Embarcaciónes</t>
  </si>
  <si>
    <t>Ton Asignadas (t)</t>
  </si>
  <si>
    <t>TITULAR DE CUOTA</t>
  </si>
  <si>
    <t>RES. EX. N°</t>
  </si>
  <si>
    <t>FECHA RES. EX.</t>
  </si>
  <si>
    <t>STI MUELLE SUD AMERICANA. RSU 5010462</t>
  </si>
  <si>
    <t>AG AGRAPES A.G 4399</t>
  </si>
  <si>
    <t>STI PROVEEDORES MARITIMOS DE QUILLAIPE 10.01.0835</t>
  </si>
  <si>
    <t>CUOTA TRANSFERIDA</t>
  </si>
  <si>
    <t>SALDO</t>
  </si>
  <si>
    <t>% CONSUMIDO</t>
  </si>
  <si>
    <t>Investigación</t>
  </si>
  <si>
    <t>CONTROL CUOTA  CONSUMO HUMANO 2019</t>
  </si>
  <si>
    <t xml:space="preserve"> PACIFICBLU SpA</t>
  </si>
  <si>
    <t>COMERCIAL Y CONSERVERA SAN LAZARO LIMITADA</t>
  </si>
  <si>
    <t>TOTAL CAPTURA</t>
  </si>
  <si>
    <t>CAPTURA (Ton)</t>
  </si>
  <si>
    <t>NAVE(S) AUTORIZADA(S)</t>
  </si>
  <si>
    <t>año</t>
  </si>
  <si>
    <t>mensaje</t>
  </si>
  <si>
    <t>Cesiones Individuales</t>
  </si>
  <si>
    <t>TOTAL</t>
  </si>
  <si>
    <t>INFORMACIÓN PRELIMINAR</t>
  </si>
  <si>
    <t>Nota: Las cuotas de captura son establecidas por la Subsecretaria de Pesca y Acuicultura.</t>
  </si>
  <si>
    <t>STI PECERCAL RSU 10.01.0948</t>
  </si>
  <si>
    <t xml:space="preserve">ORIZON S.A  </t>
  </si>
  <si>
    <t xml:space="preserve">FOODCORP CHILE S.A. </t>
  </si>
  <si>
    <t>PACIFICBLU SpA.</t>
  </si>
  <si>
    <t xml:space="preserve">CONTROL CUOTA  FUERA UNIDAD DE PESQUERÍA XI - XII </t>
  </si>
  <si>
    <t>Jurel XI-XII</t>
  </si>
  <si>
    <t>II Región</t>
  </si>
  <si>
    <t>VI Región</t>
  </si>
  <si>
    <t>VII Región</t>
  </si>
  <si>
    <t>VIII-XVI Región</t>
  </si>
  <si>
    <t>IX Región</t>
  </si>
  <si>
    <t>XIV Región</t>
  </si>
  <si>
    <t>III Región</t>
  </si>
  <si>
    <t>INCOMAR</t>
  </si>
  <si>
    <t>SAN ANDRES SpA</t>
  </si>
  <si>
    <t>DEL SUR S.A</t>
  </si>
  <si>
    <t>LOTA SEAFOODS</t>
  </si>
  <si>
    <t>248-20</t>
  </si>
  <si>
    <t>249-20</t>
  </si>
  <si>
    <t>250-20</t>
  </si>
  <si>
    <t>251-20</t>
  </si>
  <si>
    <t>252-20</t>
  </si>
  <si>
    <t>253-20</t>
  </si>
  <si>
    <t>254-20</t>
  </si>
  <si>
    <t>255-20</t>
  </si>
  <si>
    <t>256-20</t>
  </si>
  <si>
    <t>257-20</t>
  </si>
  <si>
    <t>258-20</t>
  </si>
  <si>
    <t>259-20</t>
  </si>
  <si>
    <t>260-20</t>
  </si>
  <si>
    <r>
      <rPr>
        <b/>
        <sz val="14"/>
        <color theme="0"/>
        <rFont val="Calibri"/>
        <family val="2"/>
        <scheme val="minor"/>
      </rPr>
      <t>CONTROL CUOTA JUREL FRACCIÓN ARTESANAL  2020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</si>
  <si>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captura</t>
  </si>
  <si>
    <t>PESQ. ENFEMAR LTDA.</t>
  </si>
  <si>
    <t>ANTONIO CRUZ CORDOZA NAKOUZI E.I.R.L</t>
  </si>
  <si>
    <t>DOMENICA</t>
  </si>
  <si>
    <t>CESIONES INDIVIDUALES</t>
  </si>
  <si>
    <t>Información preliminar</t>
  </si>
  <si>
    <t>FOODCORP CHILE S.A</t>
  </si>
  <si>
    <t>898-20</t>
  </si>
  <si>
    <t>CAZADOR</t>
  </si>
  <si>
    <t>DON MANUEL</t>
  </si>
  <si>
    <t>RUTH</t>
  </si>
  <si>
    <t>899-20</t>
  </si>
  <si>
    <t>VENTISQUERO</t>
  </si>
  <si>
    <t>LIDER</t>
  </si>
  <si>
    <t>VERTERVEG</t>
  </si>
  <si>
    <t>LONCO</t>
  </si>
  <si>
    <t>DON JULIO</t>
  </si>
  <si>
    <t>SAN JOSÉ</t>
  </si>
  <si>
    <t>LANDES S.A</t>
  </si>
  <si>
    <t>900-20</t>
  </si>
  <si>
    <t>DON BORIS</t>
  </si>
  <si>
    <t>DON TITO</t>
  </si>
  <si>
    <t>CORAL I</t>
  </si>
  <si>
    <t>901-20</t>
  </si>
  <si>
    <t>BLUMAR S.A</t>
  </si>
  <si>
    <t>DON ALFONSO</t>
  </si>
  <si>
    <t>DON EDMUNDO</t>
  </si>
  <si>
    <t>COBRA</t>
  </si>
  <si>
    <t>RAPANUI</t>
  </si>
  <si>
    <t>YELCHO I</t>
  </si>
  <si>
    <t xml:space="preserve"> CONTROL CUOTAS JUREL OROP-PS 2020</t>
  </si>
  <si>
    <t>949-20</t>
  </si>
  <si>
    <t>LOTA PROTEIN</t>
  </si>
  <si>
    <t>950-20</t>
  </si>
  <si>
    <t>SANTA MARIA II</t>
  </si>
  <si>
    <t>CAMANCHACA PESCA SUR S.A</t>
  </si>
  <si>
    <t>BUCANERO I</t>
  </si>
  <si>
    <t>CORSARIO I</t>
  </si>
  <si>
    <t>MARIA JOSÉ</t>
  </si>
  <si>
    <t>PELÍCANO</t>
  </si>
  <si>
    <t>PEHUENCO</t>
  </si>
  <si>
    <t>ARTESANAL VIII-XVI</t>
  </si>
  <si>
    <t>INFORMACIÓN PRELIMINAR SUJETA A CAMBIOS</t>
  </si>
  <si>
    <t>Información preliminar sujeta a cambios</t>
  </si>
  <si>
    <r>
      <rPr>
        <b/>
        <sz val="12"/>
        <color theme="0"/>
        <rFont val="Calibri"/>
        <family val="2"/>
        <scheme val="minor"/>
      </rPr>
      <t xml:space="preserve">CONTROL CUOTA GLOBAL JUREL AÑO 2020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</si>
  <si>
    <t xml:space="preserve">CONTROL CUOTA JUREL FRACCION INDUSTRIAL  2020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</si>
  <si>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CONTROL CUOTA CONSUMO HUMANO 2020</t>
  </si>
  <si>
    <t>CONTROL CUOTA  PESCA DE INVESTIGACIÓN</t>
  </si>
  <si>
    <t>Jurel</t>
  </si>
  <si>
    <t>SOC PESQUERA LANDES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</si>
</sst>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d\-mmm\-yy"/>
    <numFmt numFmtId="166" formatCode="0.0%"/>
    <numFmt numFmtId="167" formatCode="0.000"/>
    <numFmt numFmtId="168" formatCode="yyyy/mm/dd;@"/>
    <numFmt numFmtId="169" formatCode="[$-F800]dddd\,\ mmmm\ dd\,\ yyyy"/>
    <numFmt numFmtId="170" formatCode="0.000%"/>
    <numFmt numFmtId="171" formatCode="0.0000000"/>
    <numFmt numFmtId="172" formatCode="#,##0.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D5E9F7"/>
        <bgColor indexed="64"/>
      </patternFill>
    </fill>
    <fill>
      <patternFill patternType="solid">
        <fgColor rgb="FF3ABFC6"/>
        <bgColor indexed="64"/>
      </patternFill>
    </fill>
    <fill>
      <patternFill patternType="solid">
        <fgColor rgb="FFE7FBFF"/>
        <bgColor indexed="64"/>
      </patternFill>
    </fill>
    <fill>
      <patternFill patternType="solid">
        <fgColor rgb="FF199586"/>
        <bgColor indexed="64"/>
      </patternFill>
    </fill>
    <fill>
      <patternFill patternType="solid">
        <fgColor rgb="FFBDDDD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9" fillId="0" borderId="0"/>
  </cellStyleXfs>
  <cellXfs count="427">
    <xf numFmtId="0" fontId="0" fillId="0" borderId="0" xfId="0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6" fontId="0" fillId="0" borderId="11" xfId="1" applyNumberFormat="1" applyFont="1" applyBorder="1" applyAlignment="1">
      <alignment horizontal="center" vertical="center"/>
    </xf>
    <xf numFmtId="166" fontId="0" fillId="0" borderId="43" xfId="1" applyNumberFormat="1" applyFont="1" applyBorder="1" applyAlignment="1">
      <alignment horizontal="center" vertical="center"/>
    </xf>
    <xf numFmtId="166" fontId="0" fillId="0" borderId="45" xfId="1" applyNumberFormat="1" applyFont="1" applyBorder="1" applyAlignment="1">
      <alignment horizontal="center" vertical="center"/>
    </xf>
    <xf numFmtId="166" fontId="0" fillId="0" borderId="34" xfId="1" applyNumberFormat="1" applyFont="1" applyBorder="1" applyAlignment="1">
      <alignment horizontal="center" vertical="center"/>
    </xf>
    <xf numFmtId="166" fontId="0" fillId="0" borderId="44" xfId="1" applyNumberFormat="1" applyFont="1" applyBorder="1" applyAlignment="1">
      <alignment horizontal="center" vertical="center"/>
    </xf>
    <xf numFmtId="166" fontId="0" fillId="0" borderId="34" xfId="1" applyNumberFormat="1" applyFont="1" applyFill="1" applyBorder="1" applyAlignment="1">
      <alignment horizontal="center" vertical="center"/>
    </xf>
    <xf numFmtId="0" fontId="0" fillId="57" borderId="52" xfId="0" applyFill="1" applyBorder="1" applyAlignment="1">
      <alignment horizontal="center" vertical="center"/>
    </xf>
    <xf numFmtId="0" fontId="0" fillId="57" borderId="33" xfId="0" applyFill="1" applyBorder="1" applyAlignment="1">
      <alignment horizontal="center" vertical="center"/>
    </xf>
    <xf numFmtId="10" fontId="0" fillId="57" borderId="34" xfId="1" applyNumberFormat="1" applyFont="1" applyFill="1" applyBorder="1" applyAlignment="1">
      <alignment horizontal="center" vertical="center"/>
    </xf>
    <xf numFmtId="0" fontId="0" fillId="56" borderId="0" xfId="0" applyFill="1"/>
    <xf numFmtId="0" fontId="0" fillId="56" borderId="0" xfId="0" applyFont="1" applyFill="1"/>
    <xf numFmtId="0" fontId="0" fillId="56" borderId="0" xfId="0" applyFont="1" applyFill="1" applyAlignment="1">
      <alignment horizontal="center"/>
    </xf>
    <xf numFmtId="0" fontId="0" fillId="56" borderId="0" xfId="0" applyFill="1" applyAlignment="1">
      <alignment horizontal="center" vertical="center"/>
    </xf>
    <xf numFmtId="0" fontId="16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left" vertical="center" wrapText="1"/>
    </xf>
    <xf numFmtId="0" fontId="0" fillId="56" borderId="0" xfId="0" applyFill="1" applyBorder="1" applyAlignment="1">
      <alignment horizontal="center" vertical="center"/>
    </xf>
    <xf numFmtId="166" fontId="0" fillId="56" borderId="0" xfId="1" applyNumberFormat="1" applyFont="1" applyFill="1" applyBorder="1" applyAlignment="1">
      <alignment horizontal="center" vertical="center"/>
    </xf>
    <xf numFmtId="10" fontId="0" fillId="56" borderId="0" xfId="1" applyNumberFormat="1" applyFont="1" applyFill="1" applyAlignment="1">
      <alignment horizontal="center" vertical="center"/>
    </xf>
    <xf numFmtId="0" fontId="16" fillId="56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left" vertical="center"/>
    </xf>
    <xf numFmtId="166" fontId="0" fillId="56" borderId="0" xfId="1" applyNumberFormat="1" applyFont="1" applyFill="1" applyAlignment="1">
      <alignment horizontal="center" vertical="center"/>
    </xf>
    <xf numFmtId="0" fontId="0" fillId="56" borderId="0" xfId="0" applyFill="1" applyAlignment="1">
      <alignment vertical="center"/>
    </xf>
    <xf numFmtId="0" fontId="46" fillId="56" borderId="0" xfId="0" applyFont="1" applyFill="1"/>
    <xf numFmtId="0" fontId="0" fillId="56" borderId="0" xfId="0" applyFill="1" applyBorder="1"/>
    <xf numFmtId="9" fontId="0" fillId="56" borderId="0" xfId="1" applyFont="1" applyFill="1"/>
    <xf numFmtId="0" fontId="46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2" applyFont="1" applyFill="1" applyBorder="1" applyAlignment="1">
      <alignment horizontal="center" vertical="center"/>
    </xf>
    <xf numFmtId="0" fontId="0" fillId="57" borderId="55" xfId="0" applyFill="1" applyBorder="1" applyAlignment="1">
      <alignment horizontal="center"/>
    </xf>
    <xf numFmtId="0" fontId="0" fillId="57" borderId="40" xfId="0" applyFill="1" applyBorder="1" applyAlignment="1">
      <alignment horizontal="center"/>
    </xf>
    <xf numFmtId="166" fontId="0" fillId="0" borderId="61" xfId="1" applyNumberFormat="1" applyFont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9" fontId="0" fillId="56" borderId="0" xfId="0" applyNumberForma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57" borderId="65" xfId="0" applyFill="1" applyBorder="1" applyAlignment="1">
      <alignment horizontal="center"/>
    </xf>
    <xf numFmtId="0" fontId="0" fillId="57" borderId="66" xfId="0" applyFill="1" applyBorder="1" applyAlignment="1">
      <alignment horizontal="center"/>
    </xf>
    <xf numFmtId="0" fontId="0" fillId="58" borderId="33" xfId="0" applyFill="1" applyBorder="1" applyAlignment="1">
      <alignment horizontal="center" vertical="center"/>
    </xf>
    <xf numFmtId="9" fontId="0" fillId="0" borderId="34" xfId="1" applyFont="1" applyFill="1" applyBorder="1" applyAlignment="1">
      <alignment horizontal="center"/>
    </xf>
    <xf numFmtId="0" fontId="0" fillId="58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57" borderId="65" xfId="0" applyNumberFormat="1" applyFill="1" applyBorder="1" applyAlignment="1">
      <alignment horizontal="center"/>
    </xf>
    <xf numFmtId="14" fontId="0" fillId="57" borderId="66" xfId="0" applyNumberFormat="1" applyFill="1" applyBorder="1" applyAlignment="1">
      <alignment horizontal="center"/>
    </xf>
    <xf numFmtId="0" fontId="0" fillId="57" borderId="64" xfId="0" applyFill="1" applyBorder="1" applyAlignment="1">
      <alignment horizontal="center"/>
    </xf>
    <xf numFmtId="166" fontId="0" fillId="0" borderId="51" xfId="1" applyNumberFormat="1" applyFont="1" applyBorder="1" applyAlignment="1">
      <alignment horizontal="center" vertical="center"/>
    </xf>
    <xf numFmtId="0" fontId="52" fillId="56" borderId="0" xfId="0" applyFont="1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36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39" xfId="0" applyNumberFormat="1" applyFill="1" applyBorder="1" applyAlignment="1">
      <alignment horizontal="center" vertical="center"/>
    </xf>
    <xf numFmtId="167" fontId="0" fillId="0" borderId="36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0" fillId="0" borderId="68" xfId="1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10" xfId="42112" applyFont="1" applyFill="1" applyBorder="1" applyAlignment="1">
      <alignment horizontal="left" vertical="center"/>
    </xf>
    <xf numFmtId="0" fontId="0" fillId="57" borderId="31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36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39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/>
    </xf>
    <xf numFmtId="170" fontId="0" fillId="0" borderId="43" xfId="1" applyNumberFormat="1" applyFont="1" applyFill="1" applyBorder="1" applyAlignment="1">
      <alignment horizontal="center"/>
    </xf>
    <xf numFmtId="167" fontId="0" fillId="56" borderId="0" xfId="0" applyNumberFormat="1" applyFill="1" applyAlignment="1">
      <alignment horizontal="center" vertical="center"/>
    </xf>
    <xf numFmtId="167" fontId="0" fillId="0" borderId="22" xfId="0" applyNumberFormat="1" applyFont="1" applyFill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47" xfId="0" applyNumberFormat="1" applyFont="1" applyBorder="1" applyAlignment="1">
      <alignment horizontal="center"/>
    </xf>
    <xf numFmtId="167" fontId="0" fillId="0" borderId="67" xfId="0" applyNumberFormat="1" applyFont="1" applyBorder="1" applyAlignment="1">
      <alignment horizontal="center"/>
    </xf>
    <xf numFmtId="167" fontId="0" fillId="0" borderId="46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167" fontId="0" fillId="56" borderId="0" xfId="0" applyNumberFormat="1" applyFont="1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167" fontId="0" fillId="0" borderId="3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6" fillId="56" borderId="0" xfId="0" applyFont="1" applyFill="1" applyAlignment="1">
      <alignment horizontal="center" vertical="center"/>
    </xf>
    <xf numFmtId="0" fontId="13" fillId="61" borderId="32" xfId="0" applyFont="1" applyFill="1" applyBorder="1" applyAlignment="1">
      <alignment horizontal="center" vertical="center"/>
    </xf>
    <xf numFmtId="0" fontId="13" fillId="61" borderId="34" xfId="0" applyFont="1" applyFill="1" applyBorder="1" applyAlignment="1">
      <alignment horizontal="center" vertical="center"/>
    </xf>
    <xf numFmtId="0" fontId="13" fillId="61" borderId="52" xfId="0" applyFont="1" applyFill="1" applyBorder="1" applyAlignment="1">
      <alignment horizontal="center" vertical="center" wrapText="1"/>
    </xf>
    <xf numFmtId="0" fontId="13" fillId="61" borderId="33" xfId="0" applyFont="1" applyFill="1" applyBorder="1" applyAlignment="1">
      <alignment horizontal="center" vertical="center" wrapText="1"/>
    </xf>
    <xf numFmtId="0" fontId="13" fillId="61" borderId="34" xfId="0" applyFont="1" applyFill="1" applyBorder="1" applyAlignment="1">
      <alignment horizontal="center" vertical="center" wrapText="1"/>
    </xf>
    <xf numFmtId="0" fontId="16" fillId="62" borderId="43" xfId="0" applyFont="1" applyFill="1" applyBorder="1" applyAlignment="1">
      <alignment horizontal="center"/>
    </xf>
    <xf numFmtId="0" fontId="16" fillId="62" borderId="44" xfId="0" applyFont="1" applyFill="1" applyBorder="1" applyAlignment="1">
      <alignment horizontal="center"/>
    </xf>
    <xf numFmtId="0" fontId="16" fillId="62" borderId="44" xfId="0" applyFont="1" applyFill="1" applyBorder="1" applyAlignment="1">
      <alignment horizontal="left"/>
    </xf>
    <xf numFmtId="0" fontId="16" fillId="62" borderId="45" xfId="0" applyFont="1" applyFill="1" applyBorder="1" applyAlignment="1">
      <alignment horizontal="left"/>
    </xf>
    <xf numFmtId="0" fontId="16" fillId="62" borderId="61" xfId="0" applyFont="1" applyFill="1" applyBorder="1" applyAlignment="1">
      <alignment horizontal="center"/>
    </xf>
    <xf numFmtId="0" fontId="16" fillId="62" borderId="45" xfId="0" applyFont="1" applyFill="1" applyBorder="1" applyAlignment="1">
      <alignment horizontal="center"/>
    </xf>
    <xf numFmtId="0" fontId="47" fillId="63" borderId="22" xfId="0" applyFont="1" applyFill="1" applyBorder="1" applyAlignment="1">
      <alignment horizontal="center" vertical="center" wrapText="1"/>
    </xf>
    <xf numFmtId="0" fontId="47" fillId="63" borderId="10" xfId="0" applyFont="1" applyFill="1" applyBorder="1" applyAlignment="1">
      <alignment horizontal="center" vertical="center" wrapText="1"/>
    </xf>
    <xf numFmtId="0" fontId="47" fillId="63" borderId="44" xfId="0" applyFont="1" applyFill="1" applyBorder="1" applyAlignment="1">
      <alignment horizontal="center" vertical="center" wrapText="1"/>
    </xf>
    <xf numFmtId="0" fontId="47" fillId="63" borderId="37" xfId="0" applyFont="1" applyFill="1" applyBorder="1" applyAlignment="1">
      <alignment horizontal="center" vertical="center" wrapText="1"/>
    </xf>
    <xf numFmtId="0" fontId="16" fillId="64" borderId="32" xfId="0" applyFont="1" applyFill="1" applyBorder="1" applyAlignment="1">
      <alignment horizontal="center" vertical="center" wrapText="1"/>
    </xf>
    <xf numFmtId="0" fontId="0" fillId="64" borderId="49" xfId="0" applyFill="1" applyBorder="1" applyAlignment="1">
      <alignment horizontal="left" vertical="center" wrapText="1"/>
    </xf>
    <xf numFmtId="0" fontId="16" fillId="64" borderId="32" xfId="0" applyFont="1" applyFill="1" applyBorder="1" applyAlignment="1">
      <alignment horizontal="center" vertical="center"/>
    </xf>
    <xf numFmtId="0" fontId="0" fillId="64" borderId="34" xfId="0" applyFill="1" applyBorder="1" applyAlignment="1">
      <alignment horizontal="left" vertical="center"/>
    </xf>
    <xf numFmtId="14" fontId="16" fillId="57" borderId="40" xfId="0" applyNumberFormat="1" applyFont="1" applyFill="1" applyBorder="1" applyAlignment="1">
      <alignment horizontal="center"/>
    </xf>
    <xf numFmtId="14" fontId="16" fillId="57" borderId="64" xfId="0" applyNumberFormat="1" applyFont="1" applyFill="1" applyBorder="1" applyAlignment="1">
      <alignment horizontal="center"/>
    </xf>
    <xf numFmtId="14" fontId="16" fillId="57" borderId="65" xfId="0" applyNumberFormat="1" applyFont="1" applyFill="1" applyBorder="1" applyAlignment="1">
      <alignment horizontal="center"/>
    </xf>
    <xf numFmtId="0" fontId="47" fillId="63" borderId="32" xfId="0" applyFont="1" applyFill="1" applyBorder="1" applyAlignment="1">
      <alignment horizontal="center" vertical="center" wrapText="1"/>
    </xf>
    <xf numFmtId="0" fontId="47" fillId="63" borderId="34" xfId="0" applyFont="1" applyFill="1" applyBorder="1" applyAlignment="1">
      <alignment horizontal="center" vertical="center" wrapText="1"/>
    </xf>
    <xf numFmtId="0" fontId="47" fillId="63" borderId="52" xfId="0" applyFont="1" applyFill="1" applyBorder="1" applyAlignment="1">
      <alignment horizontal="center" vertical="center" wrapText="1"/>
    </xf>
    <xf numFmtId="0" fontId="47" fillId="63" borderId="33" xfId="0" applyFont="1" applyFill="1" applyBorder="1" applyAlignment="1">
      <alignment horizontal="center" vertical="center" wrapText="1"/>
    </xf>
    <xf numFmtId="0" fontId="47" fillId="63" borderId="49" xfId="0" applyFont="1" applyFill="1" applyBorder="1" applyAlignment="1">
      <alignment horizontal="center" vertical="center" wrapText="1"/>
    </xf>
    <xf numFmtId="0" fontId="47" fillId="63" borderId="42" xfId="0" applyFont="1" applyFill="1" applyBorder="1" applyAlignment="1">
      <alignment horizontal="center" vertical="center" wrapText="1"/>
    </xf>
    <xf numFmtId="0" fontId="47" fillId="63" borderId="41" xfId="0" applyFont="1" applyFill="1" applyBorder="1" applyAlignment="1">
      <alignment horizontal="center" vertical="center" wrapText="1"/>
    </xf>
    <xf numFmtId="0" fontId="47" fillId="63" borderId="57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6" fillId="63" borderId="33" xfId="0" applyFont="1" applyFill="1" applyBorder="1" applyAlignment="1">
      <alignment horizontal="center" vertical="center"/>
    </xf>
    <xf numFmtId="0" fontId="16" fillId="63" borderId="34" xfId="0" applyFont="1" applyFill="1" applyBorder="1" applyAlignment="1">
      <alignment horizontal="center" vertical="center"/>
    </xf>
    <xf numFmtId="0" fontId="0" fillId="64" borderId="10" xfId="0" applyFill="1" applyBorder="1" applyAlignment="1">
      <alignment horizontal="left" vertical="center"/>
    </xf>
    <xf numFmtId="0" fontId="56" fillId="56" borderId="0" xfId="0" applyFont="1" applyFill="1"/>
    <xf numFmtId="0" fontId="0" fillId="0" borderId="10" xfId="0" applyFill="1" applyBorder="1" applyAlignment="1">
      <alignment horizontal="center" vertical="center"/>
    </xf>
    <xf numFmtId="9" fontId="0" fillId="56" borderId="0" xfId="1" applyFont="1" applyFill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65" borderId="10" xfId="0" applyFill="1" applyBorder="1" applyAlignment="1">
      <alignment horizontal="center" vertical="center"/>
    </xf>
    <xf numFmtId="0" fontId="16" fillId="63" borderId="42" xfId="0" applyFont="1" applyFill="1" applyBorder="1" applyAlignment="1">
      <alignment horizontal="center" vertical="center"/>
    </xf>
    <xf numFmtId="0" fontId="16" fillId="63" borderId="41" xfId="0" applyFont="1" applyFill="1" applyBorder="1" applyAlignment="1">
      <alignment horizontal="center" vertical="center"/>
    </xf>
    <xf numFmtId="0" fontId="16" fillId="63" borderId="57" xfId="0" applyFont="1" applyFill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1" fontId="0" fillId="65" borderId="10" xfId="0" applyNumberFormat="1" applyFill="1" applyBorder="1" applyAlignment="1">
      <alignment horizontal="center" vertical="center"/>
    </xf>
    <xf numFmtId="14" fontId="16" fillId="57" borderId="53" xfId="0" applyNumberFormat="1" applyFont="1" applyFill="1" applyBorder="1" applyAlignment="1">
      <alignment horizontal="center"/>
    </xf>
    <xf numFmtId="14" fontId="16" fillId="57" borderId="55" xfId="0" applyNumberFormat="1" applyFont="1" applyFill="1" applyBorder="1" applyAlignment="1">
      <alignment horizontal="center"/>
    </xf>
    <xf numFmtId="0" fontId="46" fillId="0" borderId="3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63" borderId="69" xfId="0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0" fillId="56" borderId="0" xfId="0" applyNumberFormat="1" applyFill="1" applyAlignment="1">
      <alignment vertical="center"/>
    </xf>
    <xf numFmtId="171" fontId="0" fillId="56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167" fontId="0" fillId="0" borderId="39" xfId="0" applyNumberFormat="1" applyBorder="1" applyAlignment="1">
      <alignment horizontal="center" vertical="center"/>
    </xf>
    <xf numFmtId="166" fontId="0" fillId="0" borderId="56" xfId="1" applyNumberFormat="1" applyFont="1" applyBorder="1" applyAlignment="1">
      <alignment horizontal="center" vertical="center"/>
    </xf>
    <xf numFmtId="14" fontId="0" fillId="65" borderId="10" xfId="0" applyNumberFormat="1" applyFill="1" applyBorder="1" applyAlignment="1">
      <alignment horizontal="center" vertical="center"/>
    </xf>
    <xf numFmtId="0" fontId="0" fillId="58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9" fontId="0" fillId="0" borderId="43" xfId="1" applyFont="1" applyFill="1" applyBorder="1" applyAlignment="1">
      <alignment horizontal="center" vertical="center"/>
    </xf>
    <xf numFmtId="0" fontId="0" fillId="58" borderId="4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6" fontId="0" fillId="0" borderId="43" xfId="1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6" fontId="0" fillId="0" borderId="45" xfId="1" applyNumberFormat="1" applyFont="1" applyFill="1" applyBorder="1" applyAlignment="1">
      <alignment horizontal="center" vertical="center"/>
    </xf>
    <xf numFmtId="14" fontId="16" fillId="60" borderId="40" xfId="0" applyNumberFormat="1" applyFont="1" applyFill="1" applyBorder="1" applyAlignment="1">
      <alignment horizontal="center"/>
    </xf>
    <xf numFmtId="14" fontId="16" fillId="60" borderId="66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4" borderId="73" xfId="0" applyFill="1" applyBorder="1" applyAlignment="1">
      <alignment horizontal="left" vertical="center"/>
    </xf>
    <xf numFmtId="167" fontId="0" fillId="0" borderId="12" xfId="0" applyNumberFormat="1" applyFill="1" applyBorder="1" applyAlignment="1">
      <alignment horizontal="center" vertical="center"/>
    </xf>
    <xf numFmtId="166" fontId="0" fillId="0" borderId="11" xfId="1" applyNumberFormat="1" applyFont="1" applyFill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67" fontId="0" fillId="0" borderId="73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16" fillId="63" borderId="41" xfId="0" applyFont="1" applyFill="1" applyBorder="1" applyAlignment="1">
      <alignment horizontal="center" vertical="center" wrapText="1"/>
    </xf>
    <xf numFmtId="0" fontId="0" fillId="64" borderId="12" xfId="0" applyFill="1" applyBorder="1" applyAlignment="1">
      <alignment horizontal="left" vertical="center"/>
    </xf>
    <xf numFmtId="0" fontId="0" fillId="64" borderId="36" xfId="0" applyFill="1" applyBorder="1" applyAlignment="1">
      <alignment horizontal="left" vertical="center"/>
    </xf>
    <xf numFmtId="0" fontId="0" fillId="64" borderId="39" xfId="0" applyFill="1" applyBorder="1" applyAlignment="1">
      <alignment horizontal="left" vertical="center"/>
    </xf>
    <xf numFmtId="0" fontId="0" fillId="64" borderId="41" xfId="0" applyFill="1" applyBorder="1" applyAlignment="1">
      <alignment horizontal="left" vertical="center"/>
    </xf>
    <xf numFmtId="167" fontId="0" fillId="0" borderId="41" xfId="0" applyNumberFormat="1" applyFill="1" applyBorder="1" applyAlignment="1">
      <alignment horizontal="center" vertical="center"/>
    </xf>
    <xf numFmtId="0" fontId="16" fillId="59" borderId="79" xfId="0" applyFont="1" applyFill="1" applyBorder="1" applyAlignment="1">
      <alignment horizontal="center" vertical="center"/>
    </xf>
    <xf numFmtId="167" fontId="16" fillId="59" borderId="79" xfId="0" applyNumberFormat="1" applyFont="1" applyFill="1" applyBorder="1" applyAlignment="1">
      <alignment horizontal="center" vertical="center"/>
    </xf>
    <xf numFmtId="0" fontId="0" fillId="64" borderId="79" xfId="0" applyFill="1" applyBorder="1" applyAlignment="1">
      <alignment horizontal="left" vertical="center"/>
    </xf>
    <xf numFmtId="167" fontId="0" fillId="0" borderId="79" xfId="0" applyNumberFormat="1" applyFill="1" applyBorder="1" applyAlignment="1">
      <alignment horizontal="center" vertical="center"/>
    </xf>
    <xf numFmtId="167" fontId="16" fillId="59" borderId="80" xfId="0" applyNumberFormat="1" applyFont="1" applyFill="1" applyBorder="1" applyAlignment="1">
      <alignment horizontal="center" vertical="center"/>
    </xf>
    <xf numFmtId="167" fontId="0" fillId="0" borderId="32" xfId="0" applyNumberFormat="1" applyFill="1" applyBorder="1" applyAlignment="1">
      <alignment horizontal="center" vertical="center"/>
    </xf>
    <xf numFmtId="167" fontId="0" fillId="0" borderId="7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36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9" fontId="51" fillId="0" borderId="10" xfId="1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4" fontId="0" fillId="0" borderId="10" xfId="1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" fontId="0" fillId="56" borderId="0" xfId="0" applyNumberFormat="1" applyFont="1" applyFill="1" applyAlignment="1">
      <alignment horizontal="center"/>
    </xf>
    <xf numFmtId="167" fontId="0" fillId="0" borderId="36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79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7" fontId="0" fillId="0" borderId="33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7" fontId="0" fillId="0" borderId="33" xfId="0" applyNumberFormat="1" applyFill="1" applyBorder="1" applyAlignment="1">
      <alignment horizontal="center" vertical="center"/>
    </xf>
    <xf numFmtId="167" fontId="0" fillId="0" borderId="79" xfId="0" applyNumberForma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79" xfId="0" applyNumberFormat="1" applyFill="1" applyBorder="1" applyAlignment="1">
      <alignment horizontal="center" vertical="center"/>
    </xf>
    <xf numFmtId="9" fontId="0" fillId="0" borderId="56" xfId="1" applyFont="1" applyFill="1" applyBorder="1" applyAlignment="1">
      <alignment horizontal="center" vertical="center"/>
    </xf>
    <xf numFmtId="0" fontId="16" fillId="6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6" fillId="64" borderId="48" xfId="0" applyFont="1" applyFill="1" applyBorder="1" applyAlignment="1">
      <alignment horizontal="center" vertical="center"/>
    </xf>
    <xf numFmtId="0" fontId="16" fillId="64" borderId="37" xfId="0" applyFont="1" applyFill="1" applyBorder="1" applyAlignment="1">
      <alignment horizontal="center" vertical="center"/>
    </xf>
    <xf numFmtId="0" fontId="16" fillId="64" borderId="38" xfId="0" applyFont="1" applyFill="1" applyBorder="1" applyAlignment="1">
      <alignment horizontal="center" vertical="center"/>
    </xf>
    <xf numFmtId="0" fontId="13" fillId="61" borderId="26" xfId="0" applyFont="1" applyFill="1" applyBorder="1" applyAlignment="1">
      <alignment horizontal="center" wrapText="1"/>
    </xf>
    <xf numFmtId="0" fontId="13" fillId="61" borderId="23" xfId="0" applyFont="1" applyFill="1" applyBorder="1" applyAlignment="1">
      <alignment horizontal="center" wrapText="1"/>
    </xf>
    <xf numFmtId="0" fontId="13" fillId="61" borderId="24" xfId="0" applyFont="1" applyFill="1" applyBorder="1" applyAlignment="1">
      <alignment horizontal="center" wrapText="1"/>
    </xf>
    <xf numFmtId="169" fontId="13" fillId="61" borderId="27" xfId="0" applyNumberFormat="1" applyFont="1" applyFill="1" applyBorder="1" applyAlignment="1">
      <alignment horizontal="center" vertical="center" wrapText="1"/>
    </xf>
    <xf numFmtId="169" fontId="13" fillId="61" borderId="25" xfId="0" applyNumberFormat="1" applyFont="1" applyFill="1" applyBorder="1" applyAlignment="1">
      <alignment horizontal="center" vertical="center" wrapText="1"/>
    </xf>
    <xf numFmtId="169" fontId="13" fillId="61" borderId="28" xfId="0" applyNumberFormat="1" applyFont="1" applyFill="1" applyBorder="1" applyAlignment="1">
      <alignment horizontal="center" vertical="center" wrapText="1"/>
    </xf>
    <xf numFmtId="0" fontId="16" fillId="56" borderId="23" xfId="0" applyFont="1" applyFill="1" applyBorder="1" applyAlignment="1">
      <alignment horizontal="center"/>
    </xf>
    <xf numFmtId="0" fontId="16" fillId="60" borderId="35" xfId="0" applyFont="1" applyFill="1" applyBorder="1" applyAlignment="1">
      <alignment horizontal="center" vertical="center"/>
    </xf>
    <xf numFmtId="0" fontId="16" fillId="60" borderId="37" xfId="0" applyFont="1" applyFill="1" applyBorder="1" applyAlignment="1">
      <alignment horizontal="center" vertical="center"/>
    </xf>
    <xf numFmtId="0" fontId="16" fillId="60" borderId="38" xfId="0" applyFont="1" applyFill="1" applyBorder="1" applyAlignment="1">
      <alignment horizontal="center" vertical="center"/>
    </xf>
    <xf numFmtId="10" fontId="0" fillId="57" borderId="44" xfId="1" applyNumberFormat="1" applyFont="1" applyFill="1" applyBorder="1" applyAlignment="1">
      <alignment horizontal="center" vertical="center"/>
    </xf>
    <xf numFmtId="0" fontId="0" fillId="57" borderId="36" xfId="0" applyFill="1" applyBorder="1" applyAlignment="1">
      <alignment horizontal="center" vertical="center"/>
    </xf>
    <xf numFmtId="0" fontId="0" fillId="57" borderId="10" xfId="0" applyFill="1" applyBorder="1" applyAlignment="1">
      <alignment horizontal="center" vertical="center"/>
    </xf>
    <xf numFmtId="0" fontId="0" fillId="57" borderId="37" xfId="0" applyFill="1" applyBorder="1" applyAlignment="1">
      <alignment horizontal="center" vertical="center"/>
    </xf>
    <xf numFmtId="10" fontId="0" fillId="57" borderId="43" xfId="1" applyNumberFormat="1" applyFont="1" applyFill="1" applyBorder="1" applyAlignment="1">
      <alignment horizontal="center" vertical="center"/>
    </xf>
    <xf numFmtId="0" fontId="0" fillId="57" borderId="39" xfId="0" applyFill="1" applyBorder="1" applyAlignment="1">
      <alignment horizontal="center" vertical="center"/>
    </xf>
    <xf numFmtId="10" fontId="0" fillId="57" borderId="45" xfId="1" applyNumberFormat="1" applyFont="1" applyFill="1" applyBorder="1" applyAlignment="1">
      <alignment horizontal="center" vertical="center"/>
    </xf>
    <xf numFmtId="0" fontId="16" fillId="56" borderId="59" xfId="0" applyFont="1" applyFill="1" applyBorder="1" applyAlignment="1">
      <alignment horizontal="center" vertical="center"/>
    </xf>
    <xf numFmtId="0" fontId="0" fillId="56" borderId="59" xfId="0" applyFill="1" applyBorder="1" applyAlignment="1">
      <alignment horizontal="center" vertical="center"/>
    </xf>
    <xf numFmtId="0" fontId="0" fillId="60" borderId="36" xfId="0" applyFill="1" applyBorder="1" applyAlignment="1">
      <alignment horizontal="center" vertical="center"/>
    </xf>
    <xf numFmtId="0" fontId="0" fillId="60" borderId="39" xfId="0" applyFill="1" applyBorder="1" applyAlignment="1">
      <alignment horizontal="center" vertical="center"/>
    </xf>
    <xf numFmtId="0" fontId="13" fillId="63" borderId="46" xfId="0" applyFont="1" applyFill="1" applyBorder="1" applyAlignment="1">
      <alignment horizontal="center" vertical="center"/>
    </xf>
    <xf numFmtId="0" fontId="13" fillId="63" borderId="36" xfId="0" applyFont="1" applyFill="1" applyBorder="1" applyAlignment="1">
      <alignment horizontal="center" vertical="center"/>
    </xf>
    <xf numFmtId="0" fontId="13" fillId="63" borderId="43" xfId="0" applyFont="1" applyFill="1" applyBorder="1" applyAlignment="1">
      <alignment horizontal="center" vertical="center"/>
    </xf>
    <xf numFmtId="0" fontId="16" fillId="64" borderId="35" xfId="0" applyFont="1" applyFill="1" applyBorder="1" applyAlignment="1">
      <alignment horizontal="center" vertical="center" wrapText="1"/>
    </xf>
    <xf numFmtId="0" fontId="16" fillId="64" borderId="38" xfId="0" applyFont="1" applyFill="1" applyBorder="1" applyAlignment="1">
      <alignment horizontal="center" vertical="center" wrapText="1"/>
    </xf>
    <xf numFmtId="0" fontId="16" fillId="64" borderId="37" xfId="0" applyFont="1" applyFill="1" applyBorder="1" applyAlignment="1">
      <alignment horizontal="center" vertical="center" wrapText="1"/>
    </xf>
    <xf numFmtId="0" fontId="0" fillId="64" borderId="43" xfId="0" applyFill="1" applyBorder="1" applyAlignment="1">
      <alignment horizontal="left" vertical="center" wrapText="1"/>
    </xf>
    <xf numFmtId="0" fontId="0" fillId="64" borderId="44" xfId="0" applyFill="1" applyBorder="1" applyAlignment="1">
      <alignment horizontal="left" vertical="center" wrapText="1"/>
    </xf>
    <xf numFmtId="0" fontId="0" fillId="57" borderId="38" xfId="0" applyFill="1" applyBorder="1" applyAlignment="1">
      <alignment horizontal="center" vertical="center"/>
    </xf>
    <xf numFmtId="0" fontId="47" fillId="63" borderId="64" xfId="0" applyFont="1" applyFill="1" applyBorder="1" applyAlignment="1">
      <alignment horizontal="center" vertical="center" wrapText="1"/>
    </xf>
    <xf numFmtId="0" fontId="47" fillId="63" borderId="65" xfId="0" applyFont="1" applyFill="1" applyBorder="1" applyAlignment="1">
      <alignment horizontal="center" vertical="center" wrapText="1"/>
    </xf>
    <xf numFmtId="0" fontId="0" fillId="57" borderId="46" xfId="0" applyFill="1" applyBorder="1" applyAlignment="1">
      <alignment horizontal="center" vertical="center"/>
    </xf>
    <xf numFmtId="0" fontId="0" fillId="57" borderId="47" xfId="0" applyFill="1" applyBorder="1" applyAlignment="1">
      <alignment horizontal="center" vertical="center"/>
    </xf>
    <xf numFmtId="0" fontId="47" fillId="63" borderId="43" xfId="0" applyFont="1" applyFill="1" applyBorder="1" applyAlignment="1">
      <alignment horizontal="center" vertical="center" wrapText="1"/>
    </xf>
    <xf numFmtId="0" fontId="47" fillId="63" borderId="44" xfId="0" applyFont="1" applyFill="1" applyBorder="1" applyAlignment="1">
      <alignment horizontal="center" vertical="center" wrapText="1"/>
    </xf>
    <xf numFmtId="0" fontId="47" fillId="63" borderId="35" xfId="0" applyFont="1" applyFill="1" applyBorder="1" applyAlignment="1">
      <alignment horizontal="center" vertical="center" wrapText="1"/>
    </xf>
    <xf numFmtId="0" fontId="47" fillId="63" borderId="37" xfId="0" applyFont="1" applyFill="1" applyBorder="1" applyAlignment="1">
      <alignment horizontal="center" vertical="center" wrapText="1"/>
    </xf>
    <xf numFmtId="0" fontId="0" fillId="64" borderId="45" xfId="0" applyFill="1" applyBorder="1" applyAlignment="1">
      <alignment horizontal="left" vertical="center" wrapText="1"/>
    </xf>
    <xf numFmtId="0" fontId="0" fillId="64" borderId="43" xfId="0" applyFill="1" applyBorder="1" applyAlignment="1">
      <alignment horizontal="left" vertical="center"/>
    </xf>
    <xf numFmtId="0" fontId="0" fillId="64" borderId="45" xfId="0" applyFill="1" applyBorder="1" applyAlignment="1">
      <alignment horizontal="left" vertical="center"/>
    </xf>
    <xf numFmtId="0" fontId="0" fillId="64" borderId="44" xfId="0" applyFill="1" applyBorder="1" applyAlignment="1">
      <alignment horizontal="left" vertical="center"/>
    </xf>
    <xf numFmtId="0" fontId="0" fillId="57" borderId="35" xfId="0" applyFill="1" applyBorder="1" applyAlignment="1">
      <alignment horizontal="center" vertical="center"/>
    </xf>
    <xf numFmtId="0" fontId="0" fillId="60" borderId="35" xfId="0" applyFill="1" applyBorder="1" applyAlignment="1">
      <alignment horizontal="center" vertical="center"/>
    </xf>
    <xf numFmtId="0" fontId="0" fillId="60" borderId="38" xfId="0" applyFill="1" applyBorder="1" applyAlignment="1">
      <alignment horizontal="center" vertical="center"/>
    </xf>
    <xf numFmtId="10" fontId="0" fillId="60" borderId="43" xfId="1" applyNumberFormat="1" applyFont="1" applyFill="1" applyBorder="1" applyAlignment="1">
      <alignment horizontal="center" vertical="center"/>
    </xf>
    <xf numFmtId="10" fontId="0" fillId="60" borderId="45" xfId="1" applyNumberFormat="1" applyFont="1" applyFill="1" applyBorder="1" applyAlignment="1">
      <alignment horizontal="center" vertical="center"/>
    </xf>
    <xf numFmtId="10" fontId="0" fillId="57" borderId="51" xfId="1" applyNumberFormat="1" applyFont="1" applyFill="1" applyBorder="1" applyAlignment="1">
      <alignment horizontal="center" vertical="center"/>
    </xf>
    <xf numFmtId="10" fontId="0" fillId="57" borderId="50" xfId="1" applyNumberFormat="1" applyFont="1" applyFill="1" applyBorder="1" applyAlignment="1">
      <alignment horizontal="center" vertical="center"/>
    </xf>
    <xf numFmtId="0" fontId="13" fillId="63" borderId="26" xfId="0" applyFont="1" applyFill="1" applyBorder="1" applyAlignment="1">
      <alignment horizontal="center" vertical="center" wrapText="1"/>
    </xf>
    <xf numFmtId="0" fontId="13" fillId="63" borderId="23" xfId="0" applyFont="1" applyFill="1" applyBorder="1" applyAlignment="1">
      <alignment horizontal="center" vertical="center" wrapText="1"/>
    </xf>
    <xf numFmtId="0" fontId="13" fillId="63" borderId="24" xfId="0" applyFont="1" applyFill="1" applyBorder="1" applyAlignment="1">
      <alignment horizontal="center" vertical="center" wrapText="1"/>
    </xf>
    <xf numFmtId="0" fontId="13" fillId="63" borderId="35" xfId="0" applyFont="1" applyFill="1" applyBorder="1" applyAlignment="1">
      <alignment horizontal="center" vertical="center"/>
    </xf>
    <xf numFmtId="169" fontId="13" fillId="63" borderId="27" xfId="0" applyNumberFormat="1" applyFont="1" applyFill="1" applyBorder="1" applyAlignment="1">
      <alignment horizontal="center" vertical="center" wrapText="1"/>
    </xf>
    <xf numFmtId="169" fontId="13" fillId="63" borderId="25" xfId="0" applyNumberFormat="1" applyFont="1" applyFill="1" applyBorder="1" applyAlignment="1">
      <alignment horizontal="center" vertical="center" wrapText="1"/>
    </xf>
    <xf numFmtId="169" fontId="13" fillId="63" borderId="28" xfId="0" applyNumberFormat="1" applyFont="1" applyFill="1" applyBorder="1" applyAlignment="1">
      <alignment horizontal="center" vertical="center" wrapText="1"/>
    </xf>
    <xf numFmtId="167" fontId="0" fillId="55" borderId="10" xfId="0" applyNumberFormat="1" applyFill="1" applyBorder="1" applyAlignment="1">
      <alignment horizontal="center" vertical="center"/>
    </xf>
    <xf numFmtId="167" fontId="46" fillId="55" borderId="10" xfId="0" applyNumberFormat="1" applyFont="1" applyFill="1" applyBorder="1" applyAlignment="1">
      <alignment horizontal="center" vertical="center"/>
    </xf>
    <xf numFmtId="10" fontId="0" fillId="0" borderId="44" xfId="1" applyNumberFormat="1" applyFont="1" applyFill="1" applyBorder="1" applyAlignment="1">
      <alignment horizontal="center" vertical="center"/>
    </xf>
    <xf numFmtId="167" fontId="0" fillId="55" borderId="22" xfId="0" applyNumberFormat="1" applyFill="1" applyBorder="1" applyAlignment="1">
      <alignment horizontal="center" vertical="center"/>
    </xf>
    <xf numFmtId="10" fontId="0" fillId="0" borderId="45" xfId="1" applyNumberFormat="1" applyFont="1" applyFill="1" applyBorder="1" applyAlignment="1">
      <alignment horizontal="center" vertical="center"/>
    </xf>
    <xf numFmtId="167" fontId="0" fillId="55" borderId="47" xfId="0" applyNumberFormat="1" applyFill="1" applyBorder="1" applyAlignment="1">
      <alignment horizontal="center" vertical="center"/>
    </xf>
    <xf numFmtId="167" fontId="0" fillId="55" borderId="39" xfId="0" applyNumberFormat="1" applyFill="1" applyBorder="1" applyAlignment="1">
      <alignment horizontal="center" vertical="center"/>
    </xf>
    <xf numFmtId="167" fontId="46" fillId="55" borderId="39" xfId="0" applyNumberFormat="1" applyFont="1" applyFill="1" applyBorder="1" applyAlignment="1">
      <alignment horizontal="center" vertical="center"/>
    </xf>
    <xf numFmtId="0" fontId="47" fillId="63" borderId="26" xfId="0" applyFont="1" applyFill="1" applyBorder="1" applyAlignment="1">
      <alignment horizontal="center" vertical="center" wrapText="1"/>
    </xf>
    <xf numFmtId="0" fontId="47" fillId="63" borderId="23" xfId="0" applyFont="1" applyFill="1" applyBorder="1" applyAlignment="1">
      <alignment horizontal="center" vertical="center" wrapText="1"/>
    </xf>
    <xf numFmtId="0" fontId="47" fillId="63" borderId="24" xfId="0" applyFont="1" applyFill="1" applyBorder="1" applyAlignment="1">
      <alignment horizontal="center" vertical="center" wrapText="1"/>
    </xf>
    <xf numFmtId="167" fontId="0" fillId="55" borderId="37" xfId="0" applyNumberFormat="1" applyFill="1" applyBorder="1" applyAlignment="1">
      <alignment horizontal="center" vertical="center"/>
    </xf>
    <xf numFmtId="0" fontId="0" fillId="64" borderId="65" xfId="0" applyFill="1" applyBorder="1" applyAlignment="1">
      <alignment horizontal="center" vertical="center" wrapText="1"/>
    </xf>
    <xf numFmtId="167" fontId="46" fillId="55" borderId="36" xfId="0" applyNumberFormat="1" applyFont="1" applyFill="1" applyBorder="1" applyAlignment="1">
      <alignment horizontal="center" vertical="center"/>
    </xf>
    <xf numFmtId="10" fontId="0" fillId="0" borderId="43" xfId="1" applyNumberFormat="1" applyFont="1" applyFill="1" applyBorder="1" applyAlignment="1">
      <alignment horizontal="center" vertical="center"/>
    </xf>
    <xf numFmtId="10" fontId="0" fillId="55" borderId="44" xfId="1" applyNumberFormat="1" applyFont="1" applyFill="1" applyBorder="1" applyAlignment="1">
      <alignment horizontal="center" vertical="center"/>
    </xf>
    <xf numFmtId="167" fontId="0" fillId="55" borderId="36" xfId="0" applyNumberFormat="1" applyFill="1" applyBorder="1" applyAlignment="1">
      <alignment horizontal="center" vertical="center"/>
    </xf>
    <xf numFmtId="167" fontId="0" fillId="55" borderId="35" xfId="0" applyNumberFormat="1" applyFill="1" applyBorder="1" applyAlignment="1">
      <alignment horizontal="center" vertical="center"/>
    </xf>
    <xf numFmtId="0" fontId="0" fillId="64" borderId="54" xfId="0" applyFill="1" applyBorder="1" applyAlignment="1">
      <alignment horizontal="center" vertical="center" wrapText="1"/>
    </xf>
    <xf numFmtId="0" fontId="0" fillId="64" borderId="64" xfId="0" applyFill="1" applyBorder="1" applyAlignment="1">
      <alignment horizontal="center" vertical="center" wrapText="1"/>
    </xf>
    <xf numFmtId="0" fontId="0" fillId="64" borderId="55" xfId="0" applyFill="1" applyBorder="1" applyAlignment="1">
      <alignment horizontal="center" vertical="center" wrapText="1"/>
    </xf>
    <xf numFmtId="167" fontId="0" fillId="55" borderId="46" xfId="0" applyNumberFormat="1" applyFill="1" applyBorder="1" applyAlignment="1">
      <alignment horizontal="center" vertical="center"/>
    </xf>
    <xf numFmtId="0" fontId="0" fillId="64" borderId="53" xfId="0" applyFill="1" applyBorder="1" applyAlignment="1">
      <alignment horizontal="center" vertical="center" wrapText="1"/>
    </xf>
    <xf numFmtId="169" fontId="47" fillId="63" borderId="27" xfId="0" applyNumberFormat="1" applyFont="1" applyFill="1" applyBorder="1" applyAlignment="1">
      <alignment horizontal="center" vertical="center" wrapText="1"/>
    </xf>
    <xf numFmtId="169" fontId="47" fillId="63" borderId="25" xfId="0" applyNumberFormat="1" applyFont="1" applyFill="1" applyBorder="1" applyAlignment="1">
      <alignment horizontal="center" vertical="center" wrapText="1"/>
    </xf>
    <xf numFmtId="169" fontId="47" fillId="63" borderId="28" xfId="0" applyNumberFormat="1" applyFont="1" applyFill="1" applyBorder="1" applyAlignment="1">
      <alignment horizontal="center" vertical="center" wrapText="1"/>
    </xf>
    <xf numFmtId="0" fontId="18" fillId="64" borderId="29" xfId="0" applyFont="1" applyFill="1" applyBorder="1" applyAlignment="1">
      <alignment horizontal="center" vertical="center"/>
    </xf>
    <xf numFmtId="0" fontId="18" fillId="64" borderId="30" xfId="0" applyFont="1" applyFill="1" applyBorder="1" applyAlignment="1">
      <alignment horizontal="center" vertical="center"/>
    </xf>
    <xf numFmtId="0" fontId="18" fillId="64" borderId="31" xfId="0" applyFont="1" applyFill="1" applyBorder="1" applyAlignment="1">
      <alignment horizontal="center" vertical="center"/>
    </xf>
    <xf numFmtId="0" fontId="18" fillId="64" borderId="53" xfId="0" applyFont="1" applyFill="1" applyBorder="1" applyAlignment="1">
      <alignment horizontal="center" vertical="center"/>
    </xf>
    <xf numFmtId="0" fontId="18" fillId="64" borderId="54" xfId="0" applyFont="1" applyFill="1" applyBorder="1" applyAlignment="1">
      <alignment horizontal="center" vertical="center"/>
    </xf>
    <xf numFmtId="0" fontId="18" fillId="64" borderId="55" xfId="0" applyFont="1" applyFill="1" applyBorder="1" applyAlignment="1">
      <alignment horizontal="center" vertical="center"/>
    </xf>
    <xf numFmtId="0" fontId="0" fillId="64" borderId="66" xfId="0" applyFill="1" applyBorder="1" applyAlignment="1">
      <alignment horizontal="center" vertical="center" wrapText="1"/>
    </xf>
    <xf numFmtId="0" fontId="0" fillId="64" borderId="70" xfId="0" applyFill="1" applyBorder="1" applyAlignment="1">
      <alignment horizontal="center" vertical="center" wrapText="1"/>
    </xf>
    <xf numFmtId="0" fontId="0" fillId="64" borderId="71" xfId="0" applyFill="1" applyBorder="1" applyAlignment="1">
      <alignment horizontal="center" vertical="center" wrapText="1"/>
    </xf>
    <xf numFmtId="0" fontId="16" fillId="64" borderId="42" xfId="0" applyFont="1" applyFill="1" applyBorder="1" applyAlignment="1">
      <alignment horizontal="center" vertical="center" wrapText="1"/>
    </xf>
    <xf numFmtId="0" fontId="16" fillId="64" borderId="74" xfId="0" applyFont="1" applyFill="1" applyBorder="1" applyAlignment="1">
      <alignment horizontal="center" vertical="center" wrapText="1"/>
    </xf>
    <xf numFmtId="0" fontId="16" fillId="64" borderId="78" xfId="0" applyFont="1" applyFill="1" applyBorder="1" applyAlignment="1">
      <alignment horizontal="center" vertical="center" wrapText="1"/>
    </xf>
    <xf numFmtId="0" fontId="16" fillId="64" borderId="41" xfId="0" applyFont="1" applyFill="1" applyBorder="1" applyAlignment="1">
      <alignment horizontal="center" vertical="center" wrapText="1"/>
    </xf>
    <xf numFmtId="0" fontId="16" fillId="64" borderId="75" xfId="0" applyFont="1" applyFill="1" applyBorder="1" applyAlignment="1">
      <alignment horizontal="center" vertical="center" wrapText="1"/>
    </xf>
    <xf numFmtId="0" fontId="16" fillId="64" borderId="79" xfId="0" applyFont="1" applyFill="1" applyBorder="1" applyAlignment="1">
      <alignment horizontal="center" vertical="center" wrapText="1"/>
    </xf>
    <xf numFmtId="14" fontId="16" fillId="64" borderId="41" xfId="0" applyNumberFormat="1" applyFont="1" applyFill="1" applyBorder="1" applyAlignment="1">
      <alignment horizontal="center" vertical="center" wrapText="1"/>
    </xf>
    <xf numFmtId="167" fontId="0" fillId="0" borderId="41" xfId="0" applyNumberFormat="1" applyFill="1" applyBorder="1" applyAlignment="1">
      <alignment horizontal="center" vertical="center"/>
    </xf>
    <xf numFmtId="167" fontId="0" fillId="0" borderId="75" xfId="0" applyNumberFormat="1" applyFill="1" applyBorder="1" applyAlignment="1">
      <alignment horizontal="center" vertical="center"/>
    </xf>
    <xf numFmtId="167" fontId="0" fillId="0" borderId="79" xfId="0" applyNumberFormat="1" applyFill="1" applyBorder="1" applyAlignment="1">
      <alignment horizontal="center" vertical="center"/>
    </xf>
    <xf numFmtId="9" fontId="0" fillId="0" borderId="41" xfId="1" applyFont="1" applyFill="1" applyBorder="1" applyAlignment="1">
      <alignment horizontal="center" vertical="center"/>
    </xf>
    <xf numFmtId="9" fontId="0" fillId="0" borderId="75" xfId="1" applyFont="1" applyFill="1" applyBorder="1" applyAlignment="1">
      <alignment horizontal="center" vertical="center"/>
    </xf>
    <xf numFmtId="9" fontId="0" fillId="0" borderId="12" xfId="1" applyFont="1" applyFill="1" applyBorder="1" applyAlignment="1">
      <alignment horizontal="center" vertical="center"/>
    </xf>
    <xf numFmtId="167" fontId="0" fillId="0" borderId="73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4" fontId="16" fillId="64" borderId="42" xfId="0" applyNumberFormat="1" applyFont="1" applyFill="1" applyBorder="1" applyAlignment="1">
      <alignment horizontal="center" vertical="center" wrapText="1"/>
    </xf>
    <xf numFmtId="167" fontId="0" fillId="0" borderId="81" xfId="0" applyNumberFormat="1" applyFill="1" applyBorder="1" applyAlignment="1">
      <alignment horizontal="center" vertical="center"/>
    </xf>
    <xf numFmtId="167" fontId="0" fillId="0" borderId="82" xfId="0" applyNumberFormat="1" applyFill="1" applyBorder="1" applyAlignment="1">
      <alignment horizontal="center" vertical="center"/>
    </xf>
    <xf numFmtId="167" fontId="0" fillId="0" borderId="80" xfId="0" applyNumberFormat="1" applyFill="1" applyBorder="1" applyAlignment="1">
      <alignment horizontal="center" vertical="center"/>
    </xf>
    <xf numFmtId="9" fontId="0" fillId="0" borderId="79" xfId="1" applyFont="1" applyFill="1" applyBorder="1" applyAlignment="1">
      <alignment horizontal="center" vertical="center"/>
    </xf>
    <xf numFmtId="9" fontId="0" fillId="0" borderId="57" xfId="1" applyFont="1" applyFill="1" applyBorder="1" applyAlignment="1">
      <alignment horizontal="center" vertical="center"/>
    </xf>
    <xf numFmtId="9" fontId="0" fillId="0" borderId="77" xfId="1" applyFont="1" applyFill="1" applyBorder="1" applyAlignment="1">
      <alignment horizontal="center" vertical="center"/>
    </xf>
    <xf numFmtId="9" fontId="0" fillId="0" borderId="56" xfId="1" applyFont="1" applyFill="1" applyBorder="1" applyAlignment="1">
      <alignment horizontal="center" vertical="center"/>
    </xf>
    <xf numFmtId="0" fontId="16" fillId="64" borderId="42" xfId="0" applyFont="1" applyFill="1" applyBorder="1" applyAlignment="1">
      <alignment horizontal="center" vertical="center"/>
    </xf>
    <xf numFmtId="0" fontId="16" fillId="64" borderId="74" xfId="0" applyFont="1" applyFill="1" applyBorder="1" applyAlignment="1">
      <alignment horizontal="center" vertical="center"/>
    </xf>
    <xf numFmtId="0" fontId="16" fillId="64" borderId="78" xfId="0" applyFont="1" applyFill="1" applyBorder="1" applyAlignment="1">
      <alignment horizontal="center" vertical="center"/>
    </xf>
    <xf numFmtId="0" fontId="16" fillId="64" borderId="29" xfId="0" applyFont="1" applyFill="1" applyBorder="1" applyAlignment="1">
      <alignment horizontal="center" vertical="center"/>
    </xf>
    <xf numFmtId="0" fontId="16" fillId="64" borderId="30" xfId="0" applyFont="1" applyFill="1" applyBorder="1" applyAlignment="1">
      <alignment horizontal="center" vertical="center"/>
    </xf>
    <xf numFmtId="0" fontId="16" fillId="64" borderId="31" xfId="0" applyFont="1" applyFill="1" applyBorder="1" applyAlignment="1">
      <alignment horizontal="center" vertical="center"/>
    </xf>
    <xf numFmtId="14" fontId="16" fillId="64" borderId="29" xfId="0" applyNumberFormat="1" applyFont="1" applyFill="1" applyBorder="1" applyAlignment="1">
      <alignment horizontal="center" vertical="center"/>
    </xf>
    <xf numFmtId="14" fontId="16" fillId="64" borderId="42" xfId="0" applyNumberFormat="1" applyFont="1" applyFill="1" applyBorder="1" applyAlignment="1">
      <alignment horizontal="center" vertical="center"/>
    </xf>
    <xf numFmtId="0" fontId="16" fillId="64" borderId="36" xfId="0" applyFont="1" applyFill="1" applyBorder="1" applyAlignment="1">
      <alignment horizontal="center" vertical="center"/>
    </xf>
    <xf numFmtId="0" fontId="16" fillId="64" borderId="39" xfId="0" applyFont="1" applyFill="1" applyBorder="1" applyAlignment="1">
      <alignment horizontal="center" vertical="center"/>
    </xf>
    <xf numFmtId="167" fontId="0" fillId="0" borderId="36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39" xfId="0" applyNumberFormat="1" applyFill="1" applyBorder="1" applyAlignment="1">
      <alignment horizontal="center" vertical="center"/>
    </xf>
    <xf numFmtId="14" fontId="16" fillId="64" borderId="36" xfId="0" applyNumberFormat="1" applyFont="1" applyFill="1" applyBorder="1" applyAlignment="1">
      <alignment horizontal="center" vertical="center"/>
    </xf>
    <xf numFmtId="9" fontId="0" fillId="0" borderId="43" xfId="1" applyFont="1" applyFill="1" applyBorder="1" applyAlignment="1">
      <alignment horizontal="center" vertical="center"/>
    </xf>
    <xf numFmtId="9" fontId="0" fillId="0" borderId="44" xfId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0" fontId="16" fillId="59" borderId="78" xfId="0" applyFont="1" applyFill="1" applyBorder="1" applyAlignment="1">
      <alignment horizontal="center" vertical="center"/>
    </xf>
    <xf numFmtId="0" fontId="16" fillId="59" borderId="79" xfId="0" applyFont="1" applyFill="1" applyBorder="1" applyAlignment="1">
      <alignment horizontal="center" vertical="center"/>
    </xf>
    <xf numFmtId="0" fontId="16" fillId="64" borderId="35" xfId="0" applyFont="1" applyFill="1" applyBorder="1" applyAlignment="1">
      <alignment horizontal="center" vertical="center"/>
    </xf>
    <xf numFmtId="14" fontId="16" fillId="64" borderId="10" xfId="0" applyNumberFormat="1" applyFont="1" applyFill="1" applyBorder="1" applyAlignment="1">
      <alignment horizontal="center" vertical="center"/>
    </xf>
    <xf numFmtId="14" fontId="16" fillId="64" borderId="39" xfId="0" applyNumberFormat="1" applyFont="1" applyFill="1" applyBorder="1" applyAlignment="1">
      <alignment horizontal="center" vertical="center"/>
    </xf>
    <xf numFmtId="9" fontId="0" fillId="0" borderId="61" xfId="1" applyFont="1" applyFill="1" applyBorder="1" applyAlignment="1">
      <alignment horizontal="center" vertical="center"/>
    </xf>
    <xf numFmtId="9" fontId="0" fillId="0" borderId="76" xfId="1" applyFont="1" applyFill="1" applyBorder="1" applyAlignment="1">
      <alignment horizontal="center" vertical="center"/>
    </xf>
    <xf numFmtId="165" fontId="47" fillId="63" borderId="26" xfId="0" applyNumberFormat="1" applyFont="1" applyFill="1" applyBorder="1" applyAlignment="1">
      <alignment horizontal="center"/>
    </xf>
    <xf numFmtId="165" fontId="47" fillId="63" borderId="23" xfId="0" applyNumberFormat="1" applyFont="1" applyFill="1" applyBorder="1" applyAlignment="1">
      <alignment horizontal="center"/>
    </xf>
    <xf numFmtId="165" fontId="47" fillId="63" borderId="24" xfId="0" applyNumberFormat="1" applyFont="1" applyFill="1" applyBorder="1" applyAlignment="1">
      <alignment horizontal="center"/>
    </xf>
    <xf numFmtId="169" fontId="13" fillId="63" borderId="27" xfId="0" applyNumberFormat="1" applyFont="1" applyFill="1" applyBorder="1" applyAlignment="1">
      <alignment horizontal="center"/>
    </xf>
    <xf numFmtId="169" fontId="13" fillId="63" borderId="25" xfId="0" applyNumberFormat="1" applyFont="1" applyFill="1" applyBorder="1" applyAlignment="1">
      <alignment horizontal="center"/>
    </xf>
    <xf numFmtId="169" fontId="13" fillId="63" borderId="28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5" fillId="56" borderId="23" xfId="0" applyFont="1" applyFill="1" applyBorder="1" applyAlignment="1">
      <alignment horizontal="center"/>
    </xf>
    <xf numFmtId="0" fontId="16" fillId="64" borderId="72" xfId="0" applyFont="1" applyFill="1" applyBorder="1" applyAlignment="1">
      <alignment horizontal="center" vertical="center"/>
    </xf>
    <xf numFmtId="0" fontId="16" fillId="64" borderId="12" xfId="0" applyFont="1" applyFill="1" applyBorder="1" applyAlignment="1">
      <alignment horizontal="center" vertical="center"/>
    </xf>
    <xf numFmtId="0" fontId="16" fillId="64" borderId="73" xfId="0" applyFont="1" applyFill="1" applyBorder="1" applyAlignment="1">
      <alignment horizontal="center" vertical="center"/>
    </xf>
    <xf numFmtId="14" fontId="16" fillId="64" borderId="12" xfId="0" applyNumberFormat="1" applyFont="1" applyFill="1" applyBorder="1" applyAlignment="1">
      <alignment horizontal="center" vertical="center"/>
    </xf>
    <xf numFmtId="167" fontId="0" fillId="0" borderId="69" xfId="0" applyNumberFormat="1" applyFill="1" applyBorder="1" applyAlignment="1">
      <alignment horizontal="center" vertical="center"/>
    </xf>
    <xf numFmtId="167" fontId="0" fillId="0" borderId="84" xfId="0" applyNumberFormat="1" applyFill="1" applyBorder="1" applyAlignment="1">
      <alignment horizontal="center" vertical="center"/>
    </xf>
    <xf numFmtId="167" fontId="0" fillId="0" borderId="83" xfId="0" applyNumberFormat="1" applyFill="1" applyBorder="1" applyAlignment="1">
      <alignment horizontal="center" vertical="center"/>
    </xf>
    <xf numFmtId="0" fontId="47" fillId="63" borderId="26" xfId="0" applyFont="1" applyFill="1" applyBorder="1" applyAlignment="1">
      <alignment horizontal="center" vertical="center"/>
    </xf>
    <xf numFmtId="0" fontId="47" fillId="63" borderId="23" xfId="0" applyFont="1" applyFill="1" applyBorder="1" applyAlignment="1">
      <alignment horizontal="center" vertical="center"/>
    </xf>
    <xf numFmtId="0" fontId="47" fillId="63" borderId="24" xfId="0" applyFont="1" applyFill="1" applyBorder="1" applyAlignment="1">
      <alignment horizontal="center" vertical="center"/>
    </xf>
    <xf numFmtId="0" fontId="55" fillId="63" borderId="62" xfId="0" applyFont="1" applyFill="1" applyBorder="1" applyAlignment="1">
      <alignment horizontal="center" vertical="center"/>
    </xf>
    <xf numFmtId="0" fontId="55" fillId="63" borderId="0" xfId="0" applyFont="1" applyFill="1" applyBorder="1" applyAlignment="1">
      <alignment horizontal="center" vertical="center"/>
    </xf>
    <xf numFmtId="0" fontId="55" fillId="63" borderId="63" xfId="0" applyFont="1" applyFill="1" applyBorder="1" applyAlignment="1">
      <alignment horizontal="center" vertical="center"/>
    </xf>
    <xf numFmtId="169" fontId="55" fillId="63" borderId="27" xfId="0" applyNumberFormat="1" applyFont="1" applyFill="1" applyBorder="1" applyAlignment="1">
      <alignment horizontal="center" vertical="center"/>
    </xf>
    <xf numFmtId="169" fontId="55" fillId="63" borderId="25" xfId="0" applyNumberFormat="1" applyFont="1" applyFill="1" applyBorder="1" applyAlignment="1">
      <alignment horizontal="center" vertical="center"/>
    </xf>
    <xf numFmtId="169" fontId="55" fillId="63" borderId="28" xfId="0" applyNumberFormat="1" applyFont="1" applyFill="1" applyBorder="1" applyAlignment="1">
      <alignment horizontal="center" vertical="center"/>
    </xf>
    <xf numFmtId="0" fontId="16" fillId="63" borderId="58" xfId="0" applyFont="1" applyFill="1" applyBorder="1" applyAlignment="1">
      <alignment horizontal="center" vertical="center"/>
    </xf>
    <xf numFmtId="0" fontId="16" fillId="63" borderId="59" xfId="0" applyFont="1" applyFill="1" applyBorder="1" applyAlignment="1">
      <alignment horizontal="center" vertical="center"/>
    </xf>
    <xf numFmtId="0" fontId="16" fillId="63" borderId="60" xfId="0" applyFont="1" applyFill="1" applyBorder="1" applyAlignment="1">
      <alignment horizontal="center" vertical="center"/>
    </xf>
    <xf numFmtId="0" fontId="16" fillId="58" borderId="59" xfId="0" applyFont="1" applyFill="1" applyBorder="1" applyAlignment="1">
      <alignment horizontal="center" vertical="center"/>
    </xf>
    <xf numFmtId="0" fontId="16" fillId="58" borderId="52" xfId="0" applyFont="1" applyFill="1" applyBorder="1" applyAlignment="1">
      <alignment horizontal="center" vertical="center"/>
    </xf>
    <xf numFmtId="169" fontId="55" fillId="63" borderId="25" xfId="0" applyNumberFormat="1" applyFont="1" applyFill="1" applyBorder="1" applyAlignment="1">
      <alignment horizontal="center" vertical="top"/>
    </xf>
    <xf numFmtId="169" fontId="55" fillId="63" borderId="28" xfId="0" applyNumberFormat="1" applyFont="1" applyFill="1" applyBorder="1" applyAlignment="1">
      <alignment horizontal="center" vertical="top"/>
    </xf>
    <xf numFmtId="14" fontId="55" fillId="63" borderId="0" xfId="0" applyNumberFormat="1" applyFont="1" applyFill="1" applyBorder="1" applyAlignment="1">
      <alignment horizontal="center" vertical="center"/>
    </xf>
    <xf numFmtId="0" fontId="0" fillId="56" borderId="59" xfId="0" applyFont="1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" xfId="7" builtinId="26" customBuiltin="1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" xfId="3" builtinId="16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9CDE6"/>
      <color rgb="FFD5E9F7"/>
      <color rgb="FFBDDDD2"/>
      <color rgb="FFE7FBFF"/>
      <color rgb="FF199586"/>
      <color rgb="FFA7BCE3"/>
      <color rgb="FF3ABFC6"/>
      <color rgb="FFFF3300"/>
      <color rgb="FFF4F7FA"/>
      <color rgb="FF7AF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mila" id="{223B18B1-315E-4B4D-BA70-6CD66BAE5854}" userId="Kamil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0" dT="2020-04-02T14:29:16.69" personId="{223B18B1-315E-4B4D-BA70-6CD66BAE5854}" id="{A64CE59C-0D65-4CFB-B77E-C8B44611AEC8}">
    <text>Res. Ex. N° 3 Modifica distribución de cuota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99586"/>
  </sheetPr>
  <dimension ref="B1:K42"/>
  <sheetViews>
    <sheetView showGridLines="0" zoomScaleNormal="100" workbookViewId="0">
      <selection activeCell="E7" sqref="E7"/>
    </sheetView>
  </sheetViews>
  <sheetFormatPr baseColWidth="10" defaultColWidth="11.42578125" defaultRowHeight="15"/>
  <cols>
    <col min="1" max="1" width="11.140625" style="21" customWidth="1"/>
    <col min="2" max="2" width="15.85546875" style="21" customWidth="1"/>
    <col min="3" max="3" width="20.42578125" style="21" bestFit="1" customWidth="1"/>
    <col min="4" max="5" width="15.5703125" style="21" customWidth="1"/>
    <col min="6" max="6" width="18.140625" style="21" customWidth="1"/>
    <col min="7" max="7" width="14.28515625" style="21" customWidth="1"/>
    <col min="8" max="8" width="11.42578125" style="21"/>
    <col min="9" max="9" width="13" style="21" customWidth="1"/>
    <col min="10" max="11" width="11.42578125" style="21"/>
    <col min="12" max="12" width="95" style="21" customWidth="1"/>
    <col min="13" max="16384" width="11.42578125" style="21"/>
  </cols>
  <sheetData>
    <row r="1" spans="2:11" ht="28.5" customHeight="1" thickBot="1"/>
    <row r="2" spans="2:11" ht="27" customHeight="1">
      <c r="B2" s="254" t="s">
        <v>251</v>
      </c>
      <c r="C2" s="255"/>
      <c r="D2" s="255"/>
      <c r="E2" s="255"/>
      <c r="F2" s="255"/>
      <c r="G2" s="255"/>
      <c r="H2" s="255"/>
      <c r="I2" s="256"/>
    </row>
    <row r="3" spans="2:11" ht="27" customHeight="1" thickBot="1">
      <c r="B3" s="257">
        <v>44096</v>
      </c>
      <c r="C3" s="258"/>
      <c r="D3" s="258"/>
      <c r="E3" s="258"/>
      <c r="F3" s="258"/>
      <c r="G3" s="258"/>
      <c r="H3" s="258"/>
      <c r="I3" s="259"/>
    </row>
    <row r="4" spans="2:11" ht="15.75" thickBot="1">
      <c r="B4" s="260" t="s">
        <v>174</v>
      </c>
      <c r="C4" s="260"/>
      <c r="D4" s="260"/>
      <c r="E4" s="260"/>
      <c r="F4" s="260"/>
      <c r="G4" s="260"/>
      <c r="H4" s="260"/>
      <c r="I4" s="260"/>
    </row>
    <row r="5" spans="2:11" ht="30.75" thickBot="1">
      <c r="B5" s="113" t="s">
        <v>73</v>
      </c>
      <c r="C5" s="114" t="s">
        <v>72</v>
      </c>
      <c r="D5" s="115" t="s">
        <v>4</v>
      </c>
      <c r="E5" s="116" t="s">
        <v>3</v>
      </c>
      <c r="F5" s="116" t="s">
        <v>90</v>
      </c>
      <c r="G5" s="116" t="s">
        <v>91</v>
      </c>
      <c r="H5" s="116" t="s">
        <v>92</v>
      </c>
      <c r="I5" s="117" t="s">
        <v>93</v>
      </c>
      <c r="J5" s="22"/>
      <c r="K5" s="22"/>
    </row>
    <row r="6" spans="2:11" ht="15.75" thickBot="1">
      <c r="B6" s="261" t="s">
        <v>79</v>
      </c>
      <c r="C6" s="118" t="s">
        <v>33</v>
      </c>
      <c r="D6" s="104">
        <f>+'Cuota Artesanal'!E7+'Cuota Artesanal'!E8</f>
        <v>1537</v>
      </c>
      <c r="E6" s="90">
        <f>+'Cuota Artesanal'!L9</f>
        <v>0</v>
      </c>
      <c r="F6" s="90">
        <f>+D6+E6</f>
        <v>1537</v>
      </c>
      <c r="G6" s="90">
        <f>+'Cuota Artesanal'!H7+'Cuota Artesanal'!H8</f>
        <v>3.2000000000000001E-2</v>
      </c>
      <c r="H6" s="74">
        <f>+F6-G6</f>
        <v>1536.9680000000001</v>
      </c>
      <c r="I6" s="98">
        <f>+G6/F6</f>
        <v>2.0819778789850359E-5</v>
      </c>
      <c r="J6" s="22"/>
      <c r="K6" s="22"/>
    </row>
    <row r="7" spans="2:11" ht="15.75" thickBot="1">
      <c r="B7" s="262"/>
      <c r="C7" s="119" t="s">
        <v>34</v>
      </c>
      <c r="D7" s="100">
        <f>+'Cuota Artesanal'!E10+'Cuota Artesanal'!E11</f>
        <v>1537</v>
      </c>
      <c r="E7" s="91">
        <f>+'Cuota Artesanal'!L12</f>
        <v>0</v>
      </c>
      <c r="F7" s="90">
        <f t="shared" ref="F7:F27" si="0">+D7+E7</f>
        <v>1537</v>
      </c>
      <c r="G7" s="91">
        <f>+'Cuota Artesanal'!H10+'Cuota Artesanal'!H11</f>
        <v>17.797000000000001</v>
      </c>
      <c r="H7" s="74">
        <f t="shared" ref="H7:H28" si="1">+F7-G7</f>
        <v>1519.203</v>
      </c>
      <c r="I7" s="98">
        <f t="shared" ref="I7:I27" si="2">+G7/F7</f>
        <v>1.1579050097592714E-2</v>
      </c>
      <c r="J7" s="22"/>
      <c r="K7" s="22"/>
    </row>
    <row r="8" spans="2:11" ht="15.75" thickBot="1">
      <c r="B8" s="262"/>
      <c r="C8" s="119" t="s">
        <v>77</v>
      </c>
      <c r="D8" s="100">
        <f>+'Cuota Artesanal'!E13</f>
        <v>150</v>
      </c>
      <c r="E8" s="91">
        <f>+'Cuota Artesanal'!L14</f>
        <v>0</v>
      </c>
      <c r="F8" s="90">
        <f t="shared" si="0"/>
        <v>150</v>
      </c>
      <c r="G8" s="91">
        <f>+'Cuota Artesanal'!H13</f>
        <v>3.5000000000000003E-2</v>
      </c>
      <c r="H8" s="74">
        <f t="shared" si="1"/>
        <v>149.965</v>
      </c>
      <c r="I8" s="98">
        <f t="shared" si="2"/>
        <v>2.3333333333333336E-4</v>
      </c>
      <c r="J8" s="22"/>
      <c r="K8" s="22"/>
    </row>
    <row r="9" spans="2:11" ht="15.75" thickBot="1">
      <c r="B9" s="262"/>
      <c r="C9" s="119" t="s">
        <v>35</v>
      </c>
      <c r="D9" s="100">
        <f>+'Cuota Artesanal'!E15+'Cuota Artesanal'!E16</f>
        <v>4091.2200000000003</v>
      </c>
      <c r="E9" s="91">
        <f>+'Cuota Artesanal'!L17</f>
        <v>2195</v>
      </c>
      <c r="F9" s="90">
        <f t="shared" si="0"/>
        <v>6286.22</v>
      </c>
      <c r="G9" s="91">
        <f>+'Cuota Artesanal'!H15+'Cuota Artesanal'!H16</f>
        <v>5793.3379999999997</v>
      </c>
      <c r="H9" s="90">
        <f t="shared" si="1"/>
        <v>492.88200000000052</v>
      </c>
      <c r="I9" s="98">
        <f t="shared" si="2"/>
        <v>0.92159326272386255</v>
      </c>
      <c r="J9" s="22"/>
      <c r="K9" s="22"/>
    </row>
    <row r="10" spans="2:11" ht="15.75" thickBot="1">
      <c r="B10" s="262"/>
      <c r="C10" s="119" t="s">
        <v>69</v>
      </c>
      <c r="D10" s="100">
        <f>+'Cuota Artesanal'!E18+'Cuota Artesanal'!E19+'Cuota Artesanal'!E20+'Cuota Artesanal'!E21+'Cuota Artesanal'!E22+'Cuota Artesanal'!E23</f>
        <v>9498.1440000000002</v>
      </c>
      <c r="E10" s="91">
        <f>+'Cuota Artesanal'!L24</f>
        <v>681.09999999999991</v>
      </c>
      <c r="F10" s="90">
        <f t="shared" si="0"/>
        <v>10179.244000000001</v>
      </c>
      <c r="G10" s="91">
        <f>+'Cuota Artesanal'!H18+'Cuota Artesanal'!H19+'Cuota Artesanal'!H20+'Cuota Artesanal'!H21+'Cuota Artesanal'!H22+'Cuota Artesanal'!H23</f>
        <v>7919.3799999999992</v>
      </c>
      <c r="H10" s="74">
        <f t="shared" si="1"/>
        <v>2259.8640000000014</v>
      </c>
      <c r="I10" s="98">
        <f t="shared" si="2"/>
        <v>0.77799294328734026</v>
      </c>
      <c r="J10" s="22"/>
      <c r="K10" s="22"/>
    </row>
    <row r="11" spans="2:11" ht="15.75" thickBot="1">
      <c r="B11" s="262"/>
      <c r="C11" s="119" t="s">
        <v>42</v>
      </c>
      <c r="D11" s="100">
        <f>+'Cuota Artesanal'!E25+'Cuota Artesanal'!E26+'Cuota Artesanal'!E27+'Cuota Artesanal'!E28+'Cuota Artesanal'!E29+'Cuota Artesanal'!E30+'Cuota Artesanal'!E31+'Cuota Artesanal'!E32+'Cuota Artesanal'!E33+'Cuota Artesanal'!E34</f>
        <v>4230.4549999999999</v>
      </c>
      <c r="E11" s="91">
        <f>+'Cuota Artesanal'!L35</f>
        <v>-3441</v>
      </c>
      <c r="F11" s="90">
        <f t="shared" si="0"/>
        <v>789.45499999999993</v>
      </c>
      <c r="G11" s="91">
        <f>+'Cuota Artesanal'!H25+'Cuota Artesanal'!H26+'Cuota Artesanal'!H27+'Cuota Artesanal'!H28+'Cuota Artesanal'!H29+'Cuota Artesanal'!H30+'Cuota Artesanal'!H31+'Cuota Artesanal'!H32+'Cuota Artesanal'!H33+'Cuota Artesanal'!H34</f>
        <v>317.00200000000001</v>
      </c>
      <c r="H11" s="74">
        <f t="shared" si="1"/>
        <v>472.45299999999992</v>
      </c>
      <c r="I11" s="98">
        <f t="shared" si="2"/>
        <v>0.40154536990708783</v>
      </c>
      <c r="J11" s="22"/>
      <c r="K11" s="22"/>
    </row>
    <row r="12" spans="2:11" ht="15.75" thickBot="1">
      <c r="B12" s="262"/>
      <c r="C12" s="119" t="s">
        <v>70</v>
      </c>
      <c r="D12" s="100">
        <f>+'Cuota Artesanal'!E36+'Cuota Artesanal'!E37</f>
        <v>9.1930000000000014</v>
      </c>
      <c r="E12" s="91">
        <f>+'Cuota Artesanal'!L38</f>
        <v>0</v>
      </c>
      <c r="F12" s="90">
        <f t="shared" si="0"/>
        <v>9.1930000000000014</v>
      </c>
      <c r="G12" s="91">
        <f>+'Cuota Artesanal'!H36+'Cuota Artesanal'!H37</f>
        <v>6.0739999999999998</v>
      </c>
      <c r="H12" s="74">
        <f t="shared" si="1"/>
        <v>3.1190000000000015</v>
      </c>
      <c r="I12" s="98">
        <f t="shared" si="2"/>
        <v>0.66072011312955503</v>
      </c>
      <c r="J12" s="22"/>
      <c r="K12" s="22"/>
    </row>
    <row r="13" spans="2:11" ht="15.75" thickBot="1">
      <c r="B13" s="262"/>
      <c r="C13" s="119" t="s">
        <v>83</v>
      </c>
      <c r="D13" s="100">
        <f>+'Cuota Artesanal'!E39+'Cuota Artesanal'!E40</f>
        <v>146.947</v>
      </c>
      <c r="E13" s="91">
        <f>+'Cuota Artesanal'!L41</f>
        <v>0</v>
      </c>
      <c r="F13" s="90">
        <f t="shared" si="0"/>
        <v>146.947</v>
      </c>
      <c r="G13" s="91">
        <f>+'Cuota Artesanal'!H39+'Cuota Artesanal'!H40</f>
        <v>107.878</v>
      </c>
      <c r="H13" s="74">
        <f t="shared" si="1"/>
        <v>39.069000000000003</v>
      </c>
      <c r="I13" s="98">
        <f t="shared" si="2"/>
        <v>0.73412863141132512</v>
      </c>
      <c r="J13" s="22"/>
      <c r="K13" s="22"/>
    </row>
    <row r="14" spans="2:11" ht="15.75" thickBot="1">
      <c r="B14" s="262"/>
      <c r="C14" s="119" t="s">
        <v>84</v>
      </c>
      <c r="D14" s="100">
        <f>+'Cuota Artesanal'!E42+'Cuota Artesanal'!E43</f>
        <v>9574.8950000000004</v>
      </c>
      <c r="E14" s="91">
        <f>+'Cuota Artesanal'!L44</f>
        <v>0</v>
      </c>
      <c r="F14" s="90">
        <f t="shared" si="0"/>
        <v>9574.8950000000004</v>
      </c>
      <c r="G14" s="91">
        <f>+'Cuota Artesanal'!H42+'Cuota Artesanal'!H43</f>
        <v>10586.37</v>
      </c>
      <c r="H14" s="74">
        <f t="shared" si="1"/>
        <v>-1011.4750000000004</v>
      </c>
      <c r="I14" s="98">
        <f t="shared" si="2"/>
        <v>1.1056382341529594</v>
      </c>
      <c r="J14" s="22"/>
      <c r="K14" s="22"/>
    </row>
    <row r="15" spans="2:11" ht="15.75" thickBot="1">
      <c r="B15" s="262"/>
      <c r="C15" s="119" t="s">
        <v>43</v>
      </c>
      <c r="D15" s="100">
        <f>+'Cuota Artesanal'!E45+'Cuota Artesanal'!E46</f>
        <v>48.010999999999996</v>
      </c>
      <c r="E15" s="91">
        <f>+'Cuota Artesanal'!L47</f>
        <v>0</v>
      </c>
      <c r="F15" s="90">
        <f t="shared" si="0"/>
        <v>48.010999999999996</v>
      </c>
      <c r="G15" s="91">
        <f>+'Cuota Artesanal'!H45+'Cuota Artesanal'!H46</f>
        <v>5.4610000000000003</v>
      </c>
      <c r="H15" s="74">
        <f t="shared" si="1"/>
        <v>42.55</v>
      </c>
      <c r="I15" s="98">
        <f t="shared" si="2"/>
        <v>0.11374476682426946</v>
      </c>
      <c r="J15" s="22"/>
      <c r="K15" s="22"/>
    </row>
    <row r="16" spans="2:11" ht="15.75" thickBot="1">
      <c r="B16" s="262"/>
      <c r="C16" s="119" t="s">
        <v>44</v>
      </c>
      <c r="D16" s="100">
        <f>+'Cuota Artesanal'!E48+'Cuota Artesanal'!E49</f>
        <v>1119.8409999999999</v>
      </c>
      <c r="E16" s="91">
        <f>+'Cuota Artesanal'!L50</f>
        <v>0</v>
      </c>
      <c r="F16" s="90">
        <f t="shared" si="0"/>
        <v>1119.8409999999999</v>
      </c>
      <c r="G16" s="91">
        <f>+'Cuota Artesanal'!H48+'Cuota Artesanal'!H49</f>
        <v>1084.462</v>
      </c>
      <c r="H16" s="74">
        <f t="shared" si="1"/>
        <v>35.378999999999905</v>
      </c>
      <c r="I16" s="98">
        <f t="shared" si="2"/>
        <v>0.96840712208251001</v>
      </c>
      <c r="J16" s="22"/>
      <c r="K16" s="22"/>
    </row>
    <row r="17" spans="2:11" ht="15.75" thickBot="1">
      <c r="B17" s="262"/>
      <c r="C17" s="119" t="s">
        <v>71</v>
      </c>
      <c r="D17" s="100">
        <f>+'Cuota Artesanal'!E51+'Cuota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</f>
        <v>7492.2990000000009</v>
      </c>
      <c r="E17" s="91">
        <f>+'Cuota Artesanal'!L67</f>
        <v>-6915.71</v>
      </c>
      <c r="F17" s="90">
        <f t="shared" si="0"/>
        <v>576.58900000000085</v>
      </c>
      <c r="G17" s="91">
        <f>+'Cuota Artesanal'!H51+'Cuota Artesanal'!H52+'Cuota Artesanal'!H53+'Cuota Artesanal'!H54+'Cuota Artesanal'!H55+'Cuota Artesanal'!H56+'Cuota Artesanal'!H57+'Cuota Artesanal'!H58+'Cuota Artesanal'!H59+'Cuota Artesanal'!H60+'Cuota Artesanal'!H61+'Cuota Artesanal'!H62+'Cuota Artesanal'!H63+'Cuota Artesanal'!H64+'Cuota Artesanal'!H65+'Cuota Artesanal'!H66</f>
        <v>0.06</v>
      </c>
      <c r="H17" s="74">
        <f t="shared" si="1"/>
        <v>576.52900000000091</v>
      </c>
      <c r="I17" s="98">
        <f t="shared" si="2"/>
        <v>1.0406025782663198E-4</v>
      </c>
      <c r="J17" s="22"/>
      <c r="K17" s="22"/>
    </row>
    <row r="18" spans="2:11" ht="15.75" thickBot="1">
      <c r="B18" s="262"/>
      <c r="C18" s="119" t="s">
        <v>78</v>
      </c>
      <c r="D18" s="101">
        <f>+'Cuota Artesanal'!E68</f>
        <v>327</v>
      </c>
      <c r="E18" s="91">
        <f>+'Cuota Artesanal'!L69</f>
        <v>0</v>
      </c>
      <c r="F18" s="90">
        <f t="shared" si="0"/>
        <v>327</v>
      </c>
      <c r="G18" s="91">
        <f>+'Cuota Artesanal'!H68</f>
        <v>90.393000000000001</v>
      </c>
      <c r="H18" s="74">
        <f t="shared" si="1"/>
        <v>236.607</v>
      </c>
      <c r="I18" s="98">
        <f t="shared" si="2"/>
        <v>0.27643119266055044</v>
      </c>
      <c r="J18" s="22"/>
      <c r="K18" s="22"/>
    </row>
    <row r="19" spans="2:11" ht="15.75" thickBot="1">
      <c r="B19" s="262"/>
      <c r="C19" s="120" t="s">
        <v>89</v>
      </c>
      <c r="D19" s="101">
        <f>+'Cuota Artesanal'!E70</f>
        <v>176</v>
      </c>
      <c r="E19" s="101">
        <f>+'Cuota Artesanal'!L71</f>
        <v>0</v>
      </c>
      <c r="F19" s="90">
        <f t="shared" si="0"/>
        <v>176</v>
      </c>
      <c r="G19" s="100">
        <f>+'Cuota Artesanal'!H70</f>
        <v>20.177</v>
      </c>
      <c r="H19" s="74">
        <f t="shared" si="1"/>
        <v>155.82300000000001</v>
      </c>
      <c r="I19" s="98">
        <f t="shared" si="2"/>
        <v>0.11464204545454545</v>
      </c>
      <c r="J19" s="22"/>
      <c r="K19" s="22"/>
    </row>
    <row r="20" spans="2:11" ht="15.75" thickBot="1">
      <c r="B20" s="262"/>
      <c r="C20" s="120" t="s">
        <v>80</v>
      </c>
      <c r="D20" s="101">
        <v>4390</v>
      </c>
      <c r="E20" s="75">
        <f>-1486.976-2195</f>
        <v>-3681.9760000000001</v>
      </c>
      <c r="F20" s="90">
        <f t="shared" si="0"/>
        <v>708.02399999999989</v>
      </c>
      <c r="G20" s="91"/>
      <c r="H20" s="74">
        <f t="shared" si="1"/>
        <v>708.02399999999989</v>
      </c>
      <c r="I20" s="98">
        <f t="shared" si="2"/>
        <v>0</v>
      </c>
      <c r="J20" s="22"/>
      <c r="K20" s="22"/>
    </row>
    <row r="21" spans="2:11" ht="15.75" thickBot="1">
      <c r="B21" s="262"/>
      <c r="C21" s="120" t="s">
        <v>163</v>
      </c>
      <c r="D21" s="101">
        <v>200</v>
      </c>
      <c r="E21" s="75"/>
      <c r="F21" s="90">
        <f t="shared" si="0"/>
        <v>200</v>
      </c>
      <c r="G21" s="91"/>
      <c r="H21" s="74">
        <f t="shared" si="1"/>
        <v>200</v>
      </c>
      <c r="I21" s="98">
        <f t="shared" si="2"/>
        <v>0</v>
      </c>
      <c r="J21" s="22"/>
      <c r="K21" s="22"/>
    </row>
    <row r="22" spans="2:11" ht="15.75" thickBot="1">
      <c r="B22" s="262"/>
      <c r="C22" s="120" t="s">
        <v>81</v>
      </c>
      <c r="D22" s="101">
        <v>4390</v>
      </c>
      <c r="E22" s="75"/>
      <c r="F22" s="90">
        <f t="shared" si="0"/>
        <v>4390</v>
      </c>
      <c r="G22" s="91">
        <f>+'Consumo Humano'!F8</f>
        <v>3661.0619999999999</v>
      </c>
      <c r="H22" s="74">
        <f t="shared" si="1"/>
        <v>728.9380000000001</v>
      </c>
      <c r="I22" s="98">
        <f t="shared" si="2"/>
        <v>0.83395489749430518</v>
      </c>
      <c r="J22" s="22"/>
      <c r="K22" s="22"/>
    </row>
    <row r="23" spans="2:11" ht="15.75" thickBot="1">
      <c r="B23" s="263"/>
      <c r="C23" s="121" t="s">
        <v>172</v>
      </c>
      <c r="D23" s="102"/>
      <c r="E23" s="76">
        <f>+'Cesiones Cuota Individual'!E8</f>
        <v>104</v>
      </c>
      <c r="F23" s="90">
        <f t="shared" si="0"/>
        <v>104</v>
      </c>
      <c r="G23" s="94"/>
      <c r="H23" s="74">
        <f t="shared" si="1"/>
        <v>104</v>
      </c>
      <c r="I23" s="98">
        <v>0</v>
      </c>
      <c r="J23" s="22"/>
      <c r="K23" s="22"/>
    </row>
    <row r="24" spans="2:11" ht="15.75" thickBot="1">
      <c r="B24" s="251" t="s">
        <v>74</v>
      </c>
      <c r="C24" s="122" t="s">
        <v>59</v>
      </c>
      <c r="D24" s="103">
        <f>+'Cuota Industrial'!E22</f>
        <v>61254.999942499991</v>
      </c>
      <c r="E24" s="97">
        <f>+'Cuota Industrial'!F22</f>
        <v>-14054.74711</v>
      </c>
      <c r="F24" s="90">
        <f t="shared" si="0"/>
        <v>47200.252832499988</v>
      </c>
      <c r="G24" s="166">
        <f>+'Cuota Industrial'!H22</f>
        <v>40475.896000000001</v>
      </c>
      <c r="H24" s="74">
        <f>+F24-G24</f>
        <v>6724.3568324999869</v>
      </c>
      <c r="I24" s="98">
        <f>+G24/F24</f>
        <v>0.85753557599865449</v>
      </c>
      <c r="J24" s="22"/>
      <c r="K24" s="22"/>
    </row>
    <row r="25" spans="2:11" ht="15.75" thickBot="1">
      <c r="B25" s="252"/>
      <c r="C25" s="119" t="s">
        <v>75</v>
      </c>
      <c r="D25" s="101">
        <f>+'Cuota Industrial'!E51</f>
        <v>12927.001291500002</v>
      </c>
      <c r="E25" s="75">
        <f>+'Cuota Industrial'!F51</f>
        <v>-8307.3780480000005</v>
      </c>
      <c r="F25" s="90">
        <f t="shared" si="0"/>
        <v>4619.623243500002</v>
      </c>
      <c r="G25" s="91">
        <f>+'Cuota Industrial'!H51</f>
        <v>4219.9859999999999</v>
      </c>
      <c r="H25" s="74">
        <f t="shared" si="1"/>
        <v>399.63724350000211</v>
      </c>
      <c r="I25" s="98">
        <f t="shared" si="2"/>
        <v>0.91349137744894937</v>
      </c>
      <c r="J25" s="22"/>
      <c r="K25" s="22"/>
    </row>
    <row r="26" spans="2:11" ht="15.75" thickBot="1">
      <c r="B26" s="252"/>
      <c r="C26" s="119" t="s">
        <v>76</v>
      </c>
      <c r="D26" s="101">
        <f>+'Cuota Industrial'!E86</f>
        <v>277298.02783979999</v>
      </c>
      <c r="E26" s="75">
        <f>+'Cuota Industrial'!F86</f>
        <v>63685.264056</v>
      </c>
      <c r="F26" s="90">
        <f t="shared" si="0"/>
        <v>340983.29189579998</v>
      </c>
      <c r="G26" s="91">
        <f>+'Cuota Industrial'!H86</f>
        <v>337196.28899999999</v>
      </c>
      <c r="H26" s="74">
        <f t="shared" si="1"/>
        <v>3787.0028957999893</v>
      </c>
      <c r="I26" s="98">
        <f t="shared" si="2"/>
        <v>0.98889387548948515</v>
      </c>
      <c r="J26" s="22"/>
      <c r="K26" s="22"/>
    </row>
    <row r="27" spans="2:11" ht="15.75" thickBot="1">
      <c r="B27" s="253"/>
      <c r="C27" s="123" t="s">
        <v>82</v>
      </c>
      <c r="D27" s="102">
        <f>+'Cuota Industrial'!E115</f>
        <v>38615.996139400006</v>
      </c>
      <c r="E27" s="76">
        <f>+'Cuota Industrial'!F115</f>
        <v>-29945.172897999997</v>
      </c>
      <c r="F27" s="90">
        <f t="shared" si="0"/>
        <v>8670.8232414000086</v>
      </c>
      <c r="G27" s="94">
        <f>+'Cuota Industrial'!H115</f>
        <v>7911.38</v>
      </c>
      <c r="H27" s="74">
        <f t="shared" si="1"/>
        <v>759.44324140000845</v>
      </c>
      <c r="I27" s="98">
        <f t="shared" si="2"/>
        <v>0.91241394037720147</v>
      </c>
      <c r="J27" s="22"/>
      <c r="K27" s="22"/>
    </row>
    <row r="28" spans="2:11" hidden="1">
      <c r="B28" s="22"/>
      <c r="C28" s="22"/>
      <c r="D28" s="23">
        <f>SUM(D6:D27)</f>
        <v>439014.03021319996</v>
      </c>
      <c r="E28" s="22">
        <f>SUM(E6:E27)</f>
        <v>319.38000000000466</v>
      </c>
      <c r="F28" s="22"/>
      <c r="G28" s="22"/>
      <c r="H28" s="74">
        <f t="shared" si="1"/>
        <v>0</v>
      </c>
      <c r="I28" s="36">
        <v>1</v>
      </c>
      <c r="J28" s="22"/>
      <c r="K28" s="22"/>
    </row>
    <row r="29" spans="2:11">
      <c r="B29" s="22"/>
      <c r="C29" s="22"/>
      <c r="D29" s="106">
        <f>SUM(D6:D27)</f>
        <v>439014.03021319996</v>
      </c>
      <c r="E29" s="231">
        <f>+E6+E7+E8+E9+E10+E11+E12+E13+E14+E15+E16+E17+E18+E19+E24+E25+E26+E27+E23+E20</f>
        <v>319.37999999999965</v>
      </c>
      <c r="F29" s="106">
        <f>+D29+E29</f>
        <v>439333.41021319997</v>
      </c>
      <c r="G29" s="106">
        <f>SUM(G6:G27)</f>
        <v>419413.07199999999</v>
      </c>
      <c r="H29" s="106">
        <f>+F29-G29</f>
        <v>19920.338213199982</v>
      </c>
      <c r="I29" s="150">
        <f>+G29/F29</f>
        <v>0.95465781169810637</v>
      </c>
      <c r="J29" s="22"/>
      <c r="K29" s="22"/>
    </row>
    <row r="30" spans="2:11">
      <c r="D30" s="23"/>
      <c r="E30" s="23"/>
      <c r="F30" s="23"/>
      <c r="G30" s="23"/>
      <c r="H30" s="23"/>
      <c r="I30" s="23"/>
      <c r="J30" s="22"/>
      <c r="K30" s="22"/>
    </row>
    <row r="32" spans="2:11">
      <c r="B32" s="148" t="s">
        <v>175</v>
      </c>
    </row>
    <row r="34" spans="2:7">
      <c r="B34" s="248" t="s">
        <v>180</v>
      </c>
      <c r="C34" s="248"/>
      <c r="D34" s="248"/>
      <c r="E34" s="248"/>
      <c r="F34" s="248"/>
      <c r="G34" s="248"/>
    </row>
    <row r="35" spans="2:7">
      <c r="B35" s="249" t="s">
        <v>142</v>
      </c>
      <c r="C35" s="249" t="s">
        <v>143</v>
      </c>
      <c r="D35" s="250" t="s">
        <v>148</v>
      </c>
      <c r="E35" s="250"/>
      <c r="F35" s="250" t="s">
        <v>149</v>
      </c>
      <c r="G35" s="249" t="s">
        <v>144</v>
      </c>
    </row>
    <row r="36" spans="2:7">
      <c r="B36" s="249"/>
      <c r="C36" s="249"/>
      <c r="D36" s="152" t="s">
        <v>74</v>
      </c>
      <c r="E36" s="152" t="s">
        <v>79</v>
      </c>
      <c r="F36" s="250"/>
      <c r="G36" s="249"/>
    </row>
    <row r="37" spans="2:7">
      <c r="B37" s="51" t="s">
        <v>181</v>
      </c>
      <c r="C37" s="51">
        <v>20</v>
      </c>
      <c r="D37" s="149"/>
      <c r="E37" s="152"/>
      <c r="F37" s="51">
        <f>C37-D37</f>
        <v>20</v>
      </c>
      <c r="G37" s="153">
        <f>D37/C37</f>
        <v>0</v>
      </c>
    </row>
    <row r="39" spans="2:7">
      <c r="B39" s="248" t="s">
        <v>254</v>
      </c>
      <c r="C39" s="248"/>
      <c r="D39" s="248"/>
      <c r="E39" s="248"/>
      <c r="F39" s="248"/>
      <c r="G39" s="248"/>
    </row>
    <row r="40" spans="2:7">
      <c r="B40" s="249" t="s">
        <v>142</v>
      </c>
      <c r="C40" s="249" t="s">
        <v>143</v>
      </c>
      <c r="D40" s="250" t="s">
        <v>148</v>
      </c>
      <c r="E40" s="250"/>
      <c r="F40" s="250" t="s">
        <v>149</v>
      </c>
      <c r="G40" s="249" t="s">
        <v>144</v>
      </c>
    </row>
    <row r="41" spans="2:7">
      <c r="B41" s="249"/>
      <c r="C41" s="249"/>
      <c r="D41" s="244" t="s">
        <v>74</v>
      </c>
      <c r="E41" s="244" t="s">
        <v>79</v>
      </c>
      <c r="F41" s="250"/>
      <c r="G41" s="249"/>
    </row>
    <row r="42" spans="2:7">
      <c r="B42" s="51" t="s">
        <v>255</v>
      </c>
      <c r="C42" s="51">
        <v>0.05</v>
      </c>
      <c r="D42" s="245">
        <v>3.0000000000000001E-3</v>
      </c>
      <c r="E42" s="244"/>
      <c r="F42" s="51">
        <f>C42-D42</f>
        <v>4.7E-2</v>
      </c>
      <c r="G42" s="153">
        <f>D42/C42</f>
        <v>0.06</v>
      </c>
    </row>
  </sheetData>
  <mergeCells count="17">
    <mergeCell ref="B24:B27"/>
    <mergeCell ref="B2:I2"/>
    <mergeCell ref="B3:I3"/>
    <mergeCell ref="B4:I4"/>
    <mergeCell ref="B6:B23"/>
    <mergeCell ref="D35:E35"/>
    <mergeCell ref="B34:G34"/>
    <mergeCell ref="B35:B36"/>
    <mergeCell ref="C35:C36"/>
    <mergeCell ref="F35:F36"/>
    <mergeCell ref="G35:G36"/>
    <mergeCell ref="B39:G39"/>
    <mergeCell ref="B40:B41"/>
    <mergeCell ref="C40:C41"/>
    <mergeCell ref="D40:E40"/>
    <mergeCell ref="F40:F41"/>
    <mergeCell ref="G40:G41"/>
  </mergeCells>
  <pageMargins left="0.7" right="0.7" top="0.75" bottom="0.75" header="0.3" footer="0.3"/>
  <pageSetup paperSize="1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B1:Q81"/>
  <sheetViews>
    <sheetView tabSelected="1" topLeftCell="C4" zoomScale="90" zoomScaleNormal="90" workbookViewId="0">
      <selection activeCell="Q18" sqref="Q18"/>
    </sheetView>
  </sheetViews>
  <sheetFormatPr baseColWidth="10" defaultColWidth="11.42578125" defaultRowHeight="15"/>
  <cols>
    <col min="1" max="1" width="11.42578125" style="24"/>
    <col min="2" max="2" width="30.28515625" style="24" customWidth="1"/>
    <col min="3" max="3" width="32.7109375" style="24" customWidth="1"/>
    <col min="4" max="5" width="11.42578125" style="24" customWidth="1"/>
    <col min="6" max="6" width="18.5703125" style="24" customWidth="1"/>
    <col min="7" max="9" width="11.42578125" style="24" customWidth="1"/>
    <col min="10" max="10" width="17" style="24" customWidth="1"/>
    <col min="11" max="11" width="13.140625" style="24" customWidth="1"/>
    <col min="12" max="12" width="14.85546875" style="24" customWidth="1"/>
    <col min="13" max="13" width="12.85546875" style="24" customWidth="1"/>
    <col min="14" max="15" width="11.42578125" style="24" customWidth="1"/>
    <col min="16" max="16" width="18.42578125" style="24" customWidth="1"/>
    <col min="17" max="17" width="16" style="24" bestFit="1" customWidth="1"/>
    <col min="18" max="18" width="36.85546875" style="24" customWidth="1"/>
    <col min="19" max="16384" width="11.42578125" style="24"/>
  </cols>
  <sheetData>
    <row r="1" spans="2:17" ht="15.75" thickBot="1"/>
    <row r="2" spans="2:17" ht="26.25" customHeight="1">
      <c r="B2" s="303" t="s">
        <v>206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2:17" ht="24" customHeight="1" thickBot="1">
      <c r="B3" s="307">
        <f>Resumen!B3</f>
        <v>44096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</row>
    <row r="4" spans="2:17" ht="22.5" customHeight="1" thickBot="1">
      <c r="B4" s="271" t="s">
        <v>250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2:17" ht="16.5" customHeight="1">
      <c r="B5" s="290" t="s">
        <v>31</v>
      </c>
      <c r="C5" s="288" t="s">
        <v>36</v>
      </c>
      <c r="D5" s="275" t="s">
        <v>85</v>
      </c>
      <c r="E5" s="276"/>
      <c r="F5" s="276"/>
      <c r="G5" s="276"/>
      <c r="H5" s="276"/>
      <c r="I5" s="276"/>
      <c r="J5" s="277"/>
      <c r="K5" s="306" t="s">
        <v>66</v>
      </c>
      <c r="L5" s="276"/>
      <c r="M5" s="276"/>
      <c r="N5" s="276"/>
      <c r="O5" s="276"/>
      <c r="P5" s="277"/>
      <c r="Q5" s="284" t="s">
        <v>88</v>
      </c>
    </row>
    <row r="6" spans="2:17" ht="47.25">
      <c r="B6" s="291"/>
      <c r="C6" s="289"/>
      <c r="D6" s="124" t="s">
        <v>6</v>
      </c>
      <c r="E6" s="125" t="s">
        <v>4</v>
      </c>
      <c r="F6" s="125" t="s">
        <v>3</v>
      </c>
      <c r="G6" s="125" t="s">
        <v>2</v>
      </c>
      <c r="H6" s="125" t="s">
        <v>1</v>
      </c>
      <c r="I6" s="125" t="s">
        <v>0</v>
      </c>
      <c r="J6" s="126" t="s">
        <v>5</v>
      </c>
      <c r="K6" s="127" t="s">
        <v>4</v>
      </c>
      <c r="L6" s="125" t="s">
        <v>3</v>
      </c>
      <c r="M6" s="125" t="s">
        <v>2</v>
      </c>
      <c r="N6" s="125" t="s">
        <v>1</v>
      </c>
      <c r="O6" s="125" t="s">
        <v>0</v>
      </c>
      <c r="P6" s="126" t="s">
        <v>5</v>
      </c>
      <c r="Q6" s="285"/>
    </row>
    <row r="7" spans="2:17" ht="15" customHeight="1">
      <c r="B7" s="280" t="s">
        <v>58</v>
      </c>
      <c r="C7" s="282" t="s">
        <v>32</v>
      </c>
      <c r="D7" s="63" t="s">
        <v>7</v>
      </c>
      <c r="E7" s="89">
        <v>1460</v>
      </c>
      <c r="F7" s="51"/>
      <c r="G7" s="51">
        <f>E7+F7</f>
        <v>1460</v>
      </c>
      <c r="H7" s="39">
        <v>3.2000000000000001E-2</v>
      </c>
      <c r="I7" s="51">
        <f>G7-H7</f>
        <v>1459.9680000000001</v>
      </c>
      <c r="J7" s="16">
        <f>H7/G7</f>
        <v>2.1917808219178083E-5</v>
      </c>
      <c r="K7" s="267">
        <f>E7+E8</f>
        <v>1537</v>
      </c>
      <c r="L7" s="266">
        <f>F7+F8</f>
        <v>0</v>
      </c>
      <c r="M7" s="266">
        <f>K7+L7</f>
        <v>1537</v>
      </c>
      <c r="N7" s="266">
        <f>H7+H8</f>
        <v>3.2000000000000001E-2</v>
      </c>
      <c r="O7" s="266">
        <f>M7-N7</f>
        <v>1536.9680000000001</v>
      </c>
      <c r="P7" s="264">
        <f>N7/M7</f>
        <v>2.0819778789850359E-5</v>
      </c>
      <c r="Q7" s="64" t="s">
        <v>135</v>
      </c>
    </row>
    <row r="8" spans="2:17" ht="15" customHeight="1" thickBot="1">
      <c r="B8" s="279"/>
      <c r="C8" s="292"/>
      <c r="D8" s="10" t="s">
        <v>8</v>
      </c>
      <c r="E8" s="88">
        <v>77</v>
      </c>
      <c r="F8" s="52"/>
      <c r="G8" s="52">
        <f>E8+F8+I7</f>
        <v>1536.9680000000001</v>
      </c>
      <c r="H8" s="111"/>
      <c r="I8" s="52">
        <f t="shared" ref="I8:I66" si="0">G8-H8</f>
        <v>1536.9680000000001</v>
      </c>
      <c r="J8" s="14">
        <f>H8/G8</f>
        <v>0</v>
      </c>
      <c r="K8" s="283"/>
      <c r="L8" s="269"/>
      <c r="M8" s="269"/>
      <c r="N8" s="269"/>
      <c r="O8" s="269"/>
      <c r="P8" s="270"/>
      <c r="Q8" s="65" t="s">
        <v>135</v>
      </c>
    </row>
    <row r="9" spans="2:17" ht="15.95" customHeight="1" thickBot="1">
      <c r="B9" s="25"/>
      <c r="C9" s="26"/>
      <c r="D9" s="27"/>
      <c r="E9" s="27"/>
      <c r="F9" s="27"/>
      <c r="G9" s="27"/>
      <c r="H9" s="27"/>
      <c r="I9" s="27"/>
      <c r="J9" s="28"/>
      <c r="K9" s="27"/>
      <c r="L9" s="24">
        <f>SUM(L7)</f>
        <v>0</v>
      </c>
      <c r="P9" s="29"/>
      <c r="Q9" s="38"/>
    </row>
    <row r="10" spans="2:17">
      <c r="B10" s="278" t="s">
        <v>57</v>
      </c>
      <c r="C10" s="281" t="s">
        <v>182</v>
      </c>
      <c r="D10" s="6" t="s">
        <v>7</v>
      </c>
      <c r="E10" s="87">
        <v>1460</v>
      </c>
      <c r="F10" s="5"/>
      <c r="G10" s="5">
        <f>E10+F10</f>
        <v>1460</v>
      </c>
      <c r="H10" s="238">
        <v>17.797000000000001</v>
      </c>
      <c r="I10" s="5">
        <f>G10-H10</f>
        <v>1442.203</v>
      </c>
      <c r="J10" s="13">
        <f>H10/G10</f>
        <v>1.2189726027397261E-2</v>
      </c>
      <c r="K10" s="296">
        <f>E10+E11</f>
        <v>1537</v>
      </c>
      <c r="L10" s="265">
        <f>F10+F11</f>
        <v>0</v>
      </c>
      <c r="M10" s="265">
        <f>K10+L10</f>
        <v>1537</v>
      </c>
      <c r="N10" s="265">
        <f>H10+H11</f>
        <v>17.797000000000001</v>
      </c>
      <c r="O10" s="265">
        <f>M10-N10</f>
        <v>1519.203</v>
      </c>
      <c r="P10" s="268">
        <f>N10/M10</f>
        <v>1.1579050097592714E-2</v>
      </c>
      <c r="Q10" s="66" t="s">
        <v>135</v>
      </c>
    </row>
    <row r="11" spans="2:17" ht="15.75" thickBot="1">
      <c r="B11" s="279"/>
      <c r="C11" s="292"/>
      <c r="D11" s="2" t="s">
        <v>8</v>
      </c>
      <c r="E11" s="88">
        <v>77</v>
      </c>
      <c r="F11" s="52"/>
      <c r="G11" s="52">
        <f>E11+F11+I10</f>
        <v>1519.203</v>
      </c>
      <c r="H11" s="111"/>
      <c r="I11" s="52">
        <f>G11-H11</f>
        <v>1519.203</v>
      </c>
      <c r="J11" s="14">
        <f>H11/G11</f>
        <v>0</v>
      </c>
      <c r="K11" s="283"/>
      <c r="L11" s="269"/>
      <c r="M11" s="269"/>
      <c r="N11" s="269"/>
      <c r="O11" s="269"/>
      <c r="P11" s="270"/>
      <c r="Q11" s="54" t="s">
        <v>135</v>
      </c>
    </row>
    <row r="12" spans="2:17" ht="15.95" customHeight="1" thickBot="1">
      <c r="B12" s="25"/>
      <c r="C12" s="26"/>
      <c r="D12" s="27"/>
      <c r="E12" s="27"/>
      <c r="F12" s="27"/>
      <c r="G12" s="27"/>
      <c r="H12" s="27"/>
      <c r="I12" s="27"/>
      <c r="J12" s="28"/>
      <c r="K12" s="27"/>
      <c r="L12" s="24">
        <f>SUM(L10)</f>
        <v>0</v>
      </c>
      <c r="P12" s="29"/>
      <c r="Q12" s="38"/>
    </row>
    <row r="13" spans="2:17" ht="15.75" thickBot="1">
      <c r="B13" s="128" t="s">
        <v>59</v>
      </c>
      <c r="C13" s="129" t="s">
        <v>60</v>
      </c>
      <c r="D13" s="9" t="s">
        <v>61</v>
      </c>
      <c r="E13" s="7">
        <v>150</v>
      </c>
      <c r="F13" s="8"/>
      <c r="G13" s="8">
        <f>E13+F13</f>
        <v>150</v>
      </c>
      <c r="H13" s="239">
        <v>3.5000000000000003E-2</v>
      </c>
      <c r="I13" s="8">
        <f>G13-H13</f>
        <v>149.965</v>
      </c>
      <c r="J13" s="15">
        <f>H13/G13</f>
        <v>2.3333333333333336E-4</v>
      </c>
      <c r="K13" s="18">
        <f>E13</f>
        <v>150</v>
      </c>
      <c r="L13" s="19">
        <f>F13</f>
        <v>0</v>
      </c>
      <c r="M13" s="19">
        <f>K13+L13</f>
        <v>150</v>
      </c>
      <c r="N13" s="19">
        <f>H13</f>
        <v>3.5000000000000003E-2</v>
      </c>
      <c r="O13" s="19">
        <f>M13-N13</f>
        <v>149.965</v>
      </c>
      <c r="P13" s="20">
        <f>N13/M13</f>
        <v>2.3333333333333336E-4</v>
      </c>
      <c r="Q13" s="42" t="s">
        <v>135</v>
      </c>
    </row>
    <row r="14" spans="2:17" ht="15.75" customHeight="1" thickBot="1">
      <c r="B14" s="25"/>
      <c r="C14" s="26"/>
      <c r="D14" s="27"/>
      <c r="E14" s="27"/>
      <c r="F14" s="27"/>
      <c r="G14" s="27"/>
      <c r="H14" s="27"/>
      <c r="I14" s="27"/>
      <c r="J14" s="28"/>
      <c r="K14" s="27"/>
      <c r="L14" s="24">
        <f>SUM(L13)</f>
        <v>0</v>
      </c>
      <c r="P14" s="29"/>
      <c r="Q14" s="38"/>
    </row>
    <row r="15" spans="2:17" ht="15.75" thickBot="1">
      <c r="B15" s="278" t="s">
        <v>65</v>
      </c>
      <c r="C15" s="281" t="s">
        <v>188</v>
      </c>
      <c r="D15" s="187" t="s">
        <v>140</v>
      </c>
      <c r="E15" s="181">
        <v>3886.6590000000001</v>
      </c>
      <c r="F15" s="181">
        <v>2195</v>
      </c>
      <c r="G15" s="181">
        <f>E15+F15</f>
        <v>6081.6589999999997</v>
      </c>
      <c r="H15" s="238">
        <v>5793.3379999999997</v>
      </c>
      <c r="I15" s="181">
        <f>G15-H15</f>
        <v>288.32099999999991</v>
      </c>
      <c r="J15" s="188">
        <f>H15/G15</f>
        <v>0.95259171880567461</v>
      </c>
      <c r="K15" s="297">
        <f>E15+E16</f>
        <v>4091.2200000000003</v>
      </c>
      <c r="L15" s="273">
        <f>F15+F16</f>
        <v>2195</v>
      </c>
      <c r="M15" s="273">
        <f>K15+L15</f>
        <v>6286.22</v>
      </c>
      <c r="N15" s="273">
        <f>H15+H16</f>
        <v>5793.3379999999997</v>
      </c>
      <c r="O15" s="273">
        <f>M15-N15</f>
        <v>492.88200000000052</v>
      </c>
      <c r="P15" s="299">
        <f>N15/M15</f>
        <v>0.92159326272386255</v>
      </c>
      <c r="Q15" s="191" t="s">
        <v>135</v>
      </c>
    </row>
    <row r="16" spans="2:17" ht="15.75" thickBot="1">
      <c r="B16" s="279"/>
      <c r="C16" s="292"/>
      <c r="D16" s="189" t="s">
        <v>141</v>
      </c>
      <c r="E16" s="175">
        <v>204.56100000000001</v>
      </c>
      <c r="F16" s="175"/>
      <c r="G16" s="175">
        <f>+I15+E16+F16</f>
        <v>492.88199999999995</v>
      </c>
      <c r="H16" s="175"/>
      <c r="I16" s="175">
        <f>+G16-H16</f>
        <v>492.88199999999995</v>
      </c>
      <c r="J16" s="190">
        <f>+H16/G16</f>
        <v>0</v>
      </c>
      <c r="K16" s="298"/>
      <c r="L16" s="274"/>
      <c r="M16" s="274"/>
      <c r="N16" s="274"/>
      <c r="O16" s="274"/>
      <c r="P16" s="300"/>
      <c r="Q16" s="192" t="s">
        <v>135</v>
      </c>
    </row>
    <row r="17" spans="2:17" ht="15.75" customHeight="1" thickBot="1">
      <c r="B17" s="30"/>
      <c r="C17" s="26"/>
      <c r="D17" s="27"/>
      <c r="E17" s="27"/>
      <c r="F17" s="27"/>
      <c r="G17" s="27"/>
      <c r="H17" s="27"/>
      <c r="I17" s="27"/>
      <c r="J17" s="28"/>
      <c r="K17" s="27"/>
      <c r="L17" s="24">
        <f>SUM(L15)</f>
        <v>2195</v>
      </c>
      <c r="P17" s="29"/>
      <c r="Q17" s="38"/>
    </row>
    <row r="18" spans="2:17" ht="15.75" thickBot="1">
      <c r="B18" s="278" t="s">
        <v>56</v>
      </c>
      <c r="C18" s="281" t="s">
        <v>37</v>
      </c>
      <c r="D18" s="63" t="s">
        <v>140</v>
      </c>
      <c r="E18" s="71">
        <v>1257.5909999999999</v>
      </c>
      <c r="F18" s="5">
        <f>-685.257-440+319.384</f>
        <v>-805.87300000000005</v>
      </c>
      <c r="G18" s="71">
        <f>E18+F18</f>
        <v>451.71799999999985</v>
      </c>
      <c r="H18" s="240">
        <v>183.54</v>
      </c>
      <c r="I18" s="5">
        <f t="shared" si="0"/>
        <v>268.17799999999988</v>
      </c>
      <c r="J18" s="13">
        <f t="shared" ref="J18:J23" si="1">H18/G18</f>
        <v>0.40631544459153734</v>
      </c>
      <c r="K18" s="296">
        <f>E18+E19</f>
        <v>1323.78</v>
      </c>
      <c r="L18" s="265">
        <f>F18+F19</f>
        <v>-805.87300000000005</v>
      </c>
      <c r="M18" s="265">
        <f>K18+L18</f>
        <v>517.90699999999993</v>
      </c>
      <c r="N18" s="265">
        <f>H18+H19</f>
        <v>183.54</v>
      </c>
      <c r="O18" s="265">
        <f>M18-N18</f>
        <v>334.36699999999996</v>
      </c>
      <c r="P18" s="268">
        <f>N18/M18</f>
        <v>0.35438794996012801</v>
      </c>
      <c r="Q18" s="132" t="s">
        <v>135</v>
      </c>
    </row>
    <row r="19" spans="2:17" ht="15.75" thickBot="1">
      <c r="B19" s="280"/>
      <c r="C19" s="282"/>
      <c r="D19" s="10" t="s">
        <v>141</v>
      </c>
      <c r="E19" s="72">
        <v>66.188999999999993</v>
      </c>
      <c r="F19" s="51"/>
      <c r="G19" s="51">
        <f>E19+F19+I18</f>
        <v>334.36699999999985</v>
      </c>
      <c r="H19" s="51"/>
      <c r="I19" s="51">
        <f t="shared" si="0"/>
        <v>334.36699999999985</v>
      </c>
      <c r="J19" s="16">
        <f t="shared" si="1"/>
        <v>0</v>
      </c>
      <c r="K19" s="267"/>
      <c r="L19" s="266"/>
      <c r="M19" s="266"/>
      <c r="N19" s="266"/>
      <c r="O19" s="266"/>
      <c r="P19" s="264"/>
      <c r="Q19" s="134">
        <v>44063</v>
      </c>
    </row>
    <row r="20" spans="2:17" ht="15.75" thickBot="1">
      <c r="B20" s="280"/>
      <c r="C20" s="282" t="s">
        <v>38</v>
      </c>
      <c r="D20" s="63" t="s">
        <v>140</v>
      </c>
      <c r="E20" s="72">
        <v>6156.5389999999998</v>
      </c>
      <c r="F20" s="70">
        <v>1486.973</v>
      </c>
      <c r="G20" s="51">
        <f>E20+F20</f>
        <v>7643.5119999999997</v>
      </c>
      <c r="H20" s="241">
        <v>6904.07</v>
      </c>
      <c r="I20" s="51">
        <f t="shared" si="0"/>
        <v>739.44200000000001</v>
      </c>
      <c r="J20" s="16">
        <f>H20/G20</f>
        <v>0.90325886843639414</v>
      </c>
      <c r="K20" s="267">
        <f>E20+E21</f>
        <v>6480.567</v>
      </c>
      <c r="L20" s="266">
        <f>F20+F21</f>
        <v>1486.973</v>
      </c>
      <c r="M20" s="266">
        <f>K20+L20</f>
        <v>7967.54</v>
      </c>
      <c r="N20" s="266">
        <f>H20+H21</f>
        <v>6904.07</v>
      </c>
      <c r="O20" s="266">
        <f>M20-N20</f>
        <v>1063.4700000000003</v>
      </c>
      <c r="P20" s="264">
        <f>N20/M20</f>
        <v>0.86652467386420395</v>
      </c>
      <c r="Q20" s="132" t="s">
        <v>135</v>
      </c>
    </row>
    <row r="21" spans="2:17" ht="15.75" thickBot="1">
      <c r="B21" s="280"/>
      <c r="C21" s="282"/>
      <c r="D21" s="10" t="s">
        <v>141</v>
      </c>
      <c r="E21" s="72">
        <v>324.02800000000002</v>
      </c>
      <c r="F21" s="51"/>
      <c r="G21" s="51">
        <f>E21+F21+I20</f>
        <v>1063.47</v>
      </c>
      <c r="H21" s="51"/>
      <c r="I21" s="51">
        <f t="shared" si="0"/>
        <v>1063.47</v>
      </c>
      <c r="J21" s="16">
        <f t="shared" si="1"/>
        <v>0</v>
      </c>
      <c r="K21" s="267"/>
      <c r="L21" s="266"/>
      <c r="M21" s="266"/>
      <c r="N21" s="266"/>
      <c r="O21" s="266"/>
      <c r="P21" s="264"/>
      <c r="Q21" s="132" t="s">
        <v>135</v>
      </c>
    </row>
    <row r="22" spans="2:17">
      <c r="B22" s="280"/>
      <c r="C22" s="282" t="s">
        <v>39</v>
      </c>
      <c r="D22" s="63" t="s">
        <v>140</v>
      </c>
      <c r="E22" s="44">
        <v>1609.107</v>
      </c>
      <c r="F22" s="51"/>
      <c r="G22" s="51">
        <f>E22+F22</f>
        <v>1609.107</v>
      </c>
      <c r="H22" s="241">
        <v>831.77</v>
      </c>
      <c r="I22" s="51">
        <f t="shared" si="0"/>
        <v>777.33699999999999</v>
      </c>
      <c r="J22" s="16">
        <f t="shared" si="1"/>
        <v>0.51691403989914908</v>
      </c>
      <c r="K22" s="267">
        <f>E22+E23</f>
        <v>1693.797</v>
      </c>
      <c r="L22" s="266">
        <f>F22+F23</f>
        <v>0</v>
      </c>
      <c r="M22" s="266">
        <f>K22+L22</f>
        <v>1693.797</v>
      </c>
      <c r="N22" s="266">
        <f>H22+H23</f>
        <v>831.77</v>
      </c>
      <c r="O22" s="266">
        <f>M22-N22</f>
        <v>862.02700000000004</v>
      </c>
      <c r="P22" s="264">
        <f>N22/M22</f>
        <v>0.49106829212709668</v>
      </c>
      <c r="Q22" s="53" t="s">
        <v>135</v>
      </c>
    </row>
    <row r="23" spans="2:17" ht="15.75" thickBot="1">
      <c r="B23" s="279"/>
      <c r="C23" s="292"/>
      <c r="D23" s="10" t="s">
        <v>141</v>
      </c>
      <c r="E23" s="73">
        <v>84.69</v>
      </c>
      <c r="F23" s="52"/>
      <c r="G23" s="52">
        <f>E23+F23+I22</f>
        <v>862.02700000000004</v>
      </c>
      <c r="H23" s="52"/>
      <c r="I23" s="52">
        <f t="shared" si="0"/>
        <v>862.02700000000004</v>
      </c>
      <c r="J23" s="14">
        <f t="shared" si="1"/>
        <v>0</v>
      </c>
      <c r="K23" s="283"/>
      <c r="L23" s="269"/>
      <c r="M23" s="269"/>
      <c r="N23" s="269"/>
      <c r="O23" s="269"/>
      <c r="P23" s="270"/>
      <c r="Q23" s="54" t="s">
        <v>135</v>
      </c>
    </row>
    <row r="24" spans="2:17" ht="15.75" customHeight="1" thickBot="1">
      <c r="B24" s="25"/>
      <c r="C24" s="26"/>
      <c r="D24" s="27"/>
      <c r="E24" s="27"/>
      <c r="F24" s="27"/>
      <c r="G24" s="27"/>
      <c r="H24" s="27"/>
      <c r="I24" s="27"/>
      <c r="J24" s="28"/>
      <c r="K24" s="27"/>
      <c r="L24" s="24">
        <f>SUM(L18:L23)</f>
        <v>681.09999999999991</v>
      </c>
      <c r="P24" s="29"/>
      <c r="Q24" s="38"/>
    </row>
    <row r="25" spans="2:17" ht="15.75" thickBot="1">
      <c r="B25" s="278" t="s">
        <v>55</v>
      </c>
      <c r="C25" s="281" t="s">
        <v>40</v>
      </c>
      <c r="D25" s="63" t="s">
        <v>140</v>
      </c>
      <c r="E25" s="163">
        <f>3482.545+120</f>
        <v>3602.5450000000001</v>
      </c>
      <c r="F25" s="69">
        <v>-3380</v>
      </c>
      <c r="G25" s="5">
        <f>E25+F25</f>
        <v>222.54500000000007</v>
      </c>
      <c r="H25" s="199">
        <v>58.891000000000005</v>
      </c>
      <c r="I25" s="5">
        <f t="shared" si="0"/>
        <v>163.65400000000005</v>
      </c>
      <c r="J25" s="13">
        <f>H25/G25</f>
        <v>0.26462513199577609</v>
      </c>
      <c r="K25" s="296">
        <f>E25+E26</f>
        <v>3665.837</v>
      </c>
      <c r="L25" s="265">
        <f>F25+F26</f>
        <v>-3380</v>
      </c>
      <c r="M25" s="265">
        <f>K25+L25</f>
        <v>285.83699999999999</v>
      </c>
      <c r="N25" s="265">
        <f>H25+H26</f>
        <v>58.891000000000005</v>
      </c>
      <c r="O25" s="265">
        <f>M25-N25</f>
        <v>226.94599999999997</v>
      </c>
      <c r="P25" s="268">
        <f>N25/M25</f>
        <v>0.2060300101106575</v>
      </c>
      <c r="Q25" s="133" t="s">
        <v>135</v>
      </c>
    </row>
    <row r="26" spans="2:17" ht="15.75" thickBot="1">
      <c r="B26" s="280"/>
      <c r="C26" s="282"/>
      <c r="D26" s="10" t="s">
        <v>141</v>
      </c>
      <c r="E26" s="51">
        <f>183.292-120</f>
        <v>63.292000000000002</v>
      </c>
      <c r="F26" s="51"/>
      <c r="G26" s="51">
        <f>E26+F26+I25</f>
        <v>226.94600000000005</v>
      </c>
      <c r="H26" s="200">
        <v>0</v>
      </c>
      <c r="I26" s="51">
        <f t="shared" si="0"/>
        <v>226.94600000000005</v>
      </c>
      <c r="J26" s="16">
        <f t="shared" ref="J26:J34" si="2">H26/G26</f>
        <v>0</v>
      </c>
      <c r="K26" s="267"/>
      <c r="L26" s="266"/>
      <c r="M26" s="266"/>
      <c r="N26" s="266"/>
      <c r="O26" s="266"/>
      <c r="P26" s="264"/>
      <c r="Q26" s="132" t="s">
        <v>135</v>
      </c>
    </row>
    <row r="27" spans="2:17">
      <c r="B27" s="280"/>
      <c r="C27" s="282" t="s">
        <v>158</v>
      </c>
      <c r="D27" s="63" t="s">
        <v>140</v>
      </c>
      <c r="E27" s="51">
        <v>58.246000000000002</v>
      </c>
      <c r="F27" s="51">
        <v>-61</v>
      </c>
      <c r="G27" s="51">
        <f>E27+F27</f>
        <v>-2.7539999999999978</v>
      </c>
      <c r="H27" s="200">
        <v>0</v>
      </c>
      <c r="I27" s="51">
        <f t="shared" si="0"/>
        <v>-2.7539999999999978</v>
      </c>
      <c r="J27" s="16">
        <f>H27/G27</f>
        <v>0</v>
      </c>
      <c r="K27" s="267">
        <f>E27+E28</f>
        <v>61.312000000000005</v>
      </c>
      <c r="L27" s="266">
        <f>F27+F28</f>
        <v>-61</v>
      </c>
      <c r="M27" s="266">
        <f>K27+L27</f>
        <v>0.31200000000000472</v>
      </c>
      <c r="N27" s="266">
        <f>H27+H28</f>
        <v>0</v>
      </c>
      <c r="O27" s="266">
        <f>M27-N27</f>
        <v>0.31200000000000472</v>
      </c>
      <c r="P27" s="264">
        <f>N27/M27</f>
        <v>0</v>
      </c>
      <c r="Q27" s="134">
        <v>43936</v>
      </c>
    </row>
    <row r="28" spans="2:17" ht="15.75" thickBot="1">
      <c r="B28" s="280"/>
      <c r="C28" s="282"/>
      <c r="D28" s="10" t="s">
        <v>141</v>
      </c>
      <c r="E28" s="51">
        <v>3.0659999999999998</v>
      </c>
      <c r="F28" s="51"/>
      <c r="G28" s="51">
        <f>E28+F28+I27</f>
        <v>0.31200000000000205</v>
      </c>
      <c r="H28" s="200">
        <v>0</v>
      </c>
      <c r="I28" s="51">
        <f t="shared" si="0"/>
        <v>0.31200000000000205</v>
      </c>
      <c r="J28" s="16">
        <f t="shared" si="2"/>
        <v>0</v>
      </c>
      <c r="K28" s="267"/>
      <c r="L28" s="266"/>
      <c r="M28" s="266"/>
      <c r="N28" s="266"/>
      <c r="O28" s="266"/>
      <c r="P28" s="264"/>
      <c r="Q28" s="53" t="s">
        <v>135</v>
      </c>
    </row>
    <row r="29" spans="2:17">
      <c r="B29" s="280"/>
      <c r="C29" s="282" t="s">
        <v>157</v>
      </c>
      <c r="D29" s="63" t="s">
        <v>140</v>
      </c>
      <c r="E29" s="51">
        <v>70.626999999999995</v>
      </c>
      <c r="F29" s="51"/>
      <c r="G29" s="51">
        <f>E29+F29</f>
        <v>70.626999999999995</v>
      </c>
      <c r="H29" s="200">
        <v>12.435</v>
      </c>
      <c r="I29" s="51">
        <f t="shared" si="0"/>
        <v>58.191999999999993</v>
      </c>
      <c r="J29" s="16">
        <f t="shared" si="2"/>
        <v>0.17606581052571965</v>
      </c>
      <c r="K29" s="267">
        <f>E29+E30</f>
        <v>74.343999999999994</v>
      </c>
      <c r="L29" s="266">
        <f>F29+F30</f>
        <v>0</v>
      </c>
      <c r="M29" s="266">
        <f>K29+L29</f>
        <v>74.343999999999994</v>
      </c>
      <c r="N29" s="266">
        <f>H29+H30</f>
        <v>12.435</v>
      </c>
      <c r="O29" s="266">
        <f>M29-N29</f>
        <v>61.908999999999992</v>
      </c>
      <c r="P29" s="264">
        <f>N29/M29</f>
        <v>0.16726299365113528</v>
      </c>
      <c r="Q29" s="53" t="s">
        <v>135</v>
      </c>
    </row>
    <row r="30" spans="2:17" ht="15.75" thickBot="1">
      <c r="B30" s="280"/>
      <c r="C30" s="282"/>
      <c r="D30" s="10" t="s">
        <v>141</v>
      </c>
      <c r="E30" s="70">
        <v>3.7170000000000001</v>
      </c>
      <c r="F30" s="51"/>
      <c r="G30" s="51">
        <f>E30+F30+I29</f>
        <v>61.908999999999992</v>
      </c>
      <c r="H30" s="200">
        <v>0</v>
      </c>
      <c r="I30" s="51">
        <f t="shared" si="0"/>
        <v>61.908999999999992</v>
      </c>
      <c r="J30" s="16">
        <f t="shared" si="2"/>
        <v>0</v>
      </c>
      <c r="K30" s="267"/>
      <c r="L30" s="266"/>
      <c r="M30" s="266"/>
      <c r="N30" s="266"/>
      <c r="O30" s="266"/>
      <c r="P30" s="264"/>
      <c r="Q30" s="53" t="s">
        <v>135</v>
      </c>
    </row>
    <row r="31" spans="2:17">
      <c r="B31" s="280"/>
      <c r="C31" s="282" t="s">
        <v>41</v>
      </c>
      <c r="D31" s="63" t="s">
        <v>140</v>
      </c>
      <c r="E31" s="51">
        <v>86.988</v>
      </c>
      <c r="F31" s="51"/>
      <c r="G31" s="51">
        <f>E31+F31</f>
        <v>86.988</v>
      </c>
      <c r="H31" s="200">
        <v>0</v>
      </c>
      <c r="I31" s="51">
        <f t="shared" si="0"/>
        <v>86.988</v>
      </c>
      <c r="J31" s="16">
        <f t="shared" si="2"/>
        <v>0</v>
      </c>
      <c r="K31" s="267">
        <f>E31+E32</f>
        <v>91.566000000000003</v>
      </c>
      <c r="L31" s="266">
        <f>F31+F32</f>
        <v>0</v>
      </c>
      <c r="M31" s="266">
        <f>K31+L31</f>
        <v>91.566000000000003</v>
      </c>
      <c r="N31" s="266">
        <f>H31+H32</f>
        <v>0</v>
      </c>
      <c r="O31" s="266">
        <f>M31-N31</f>
        <v>91.566000000000003</v>
      </c>
      <c r="P31" s="264">
        <f>N31/M31</f>
        <v>0</v>
      </c>
      <c r="Q31" s="53" t="s">
        <v>135</v>
      </c>
    </row>
    <row r="32" spans="2:17" ht="15.75" thickBot="1">
      <c r="B32" s="280"/>
      <c r="C32" s="282"/>
      <c r="D32" s="10" t="s">
        <v>141</v>
      </c>
      <c r="E32" s="51">
        <v>4.5780000000000003</v>
      </c>
      <c r="F32" s="51"/>
      <c r="G32" s="51">
        <f>E32+F32+I31</f>
        <v>91.566000000000003</v>
      </c>
      <c r="H32" s="200">
        <v>0</v>
      </c>
      <c r="I32" s="51">
        <f t="shared" si="0"/>
        <v>91.566000000000003</v>
      </c>
      <c r="J32" s="16">
        <f t="shared" si="2"/>
        <v>0</v>
      </c>
      <c r="K32" s="267"/>
      <c r="L32" s="266"/>
      <c r="M32" s="266"/>
      <c r="N32" s="266"/>
      <c r="O32" s="266"/>
      <c r="P32" s="264"/>
      <c r="Q32" s="53" t="s">
        <v>135</v>
      </c>
    </row>
    <row r="33" spans="2:17">
      <c r="B33" s="280"/>
      <c r="C33" s="295" t="s">
        <v>39</v>
      </c>
      <c r="D33" s="63" t="s">
        <v>140</v>
      </c>
      <c r="E33" s="70">
        <v>320.52600000000001</v>
      </c>
      <c r="F33" s="51"/>
      <c r="G33" s="51">
        <f>E33+F33</f>
        <v>320.52600000000001</v>
      </c>
      <c r="H33" s="200">
        <v>245.67599999999999</v>
      </c>
      <c r="I33" s="51">
        <f t="shared" si="0"/>
        <v>74.850000000000023</v>
      </c>
      <c r="J33" s="16">
        <f t="shared" si="2"/>
        <v>0.76647760244098762</v>
      </c>
      <c r="K33" s="267">
        <f>E33+E34</f>
        <v>337.39600000000002</v>
      </c>
      <c r="L33" s="266">
        <f>F33+F34</f>
        <v>0</v>
      </c>
      <c r="M33" s="266">
        <f>K33+L33</f>
        <v>337.39600000000002</v>
      </c>
      <c r="N33" s="266">
        <f>H33+H34</f>
        <v>245.67599999999999</v>
      </c>
      <c r="O33" s="266">
        <f>M33-N33</f>
        <v>91.720000000000027</v>
      </c>
      <c r="P33" s="264">
        <f>N33/M33</f>
        <v>0.72815326796998181</v>
      </c>
      <c r="Q33" s="53" t="s">
        <v>135</v>
      </c>
    </row>
    <row r="34" spans="2:17" ht="15.75" thickBot="1">
      <c r="B34" s="279"/>
      <c r="C34" s="294"/>
      <c r="D34" s="10" t="s">
        <v>141</v>
      </c>
      <c r="E34" s="52">
        <v>16.87</v>
      </c>
      <c r="F34" s="52"/>
      <c r="G34" s="52">
        <f>E34+F34+I33</f>
        <v>91.720000000000027</v>
      </c>
      <c r="H34" s="201">
        <v>0</v>
      </c>
      <c r="I34" s="52">
        <f t="shared" si="0"/>
        <v>91.720000000000027</v>
      </c>
      <c r="J34" s="14">
        <f t="shared" si="2"/>
        <v>0</v>
      </c>
      <c r="K34" s="283"/>
      <c r="L34" s="269"/>
      <c r="M34" s="269"/>
      <c r="N34" s="269"/>
      <c r="O34" s="269"/>
      <c r="P34" s="270"/>
      <c r="Q34" s="54" t="s">
        <v>135</v>
      </c>
    </row>
    <row r="35" spans="2:17" ht="15.75" customHeight="1" thickBot="1">
      <c r="B35" s="25"/>
      <c r="C35" s="31"/>
      <c r="D35" s="27"/>
      <c r="E35" s="27"/>
      <c r="F35" s="27"/>
      <c r="G35" s="27"/>
      <c r="H35" s="27"/>
      <c r="I35" s="27"/>
      <c r="J35" s="28"/>
      <c r="K35" s="27"/>
      <c r="L35" s="24">
        <f>SUM(L25:L34)</f>
        <v>-3441</v>
      </c>
      <c r="P35" s="29"/>
      <c r="Q35" s="38"/>
    </row>
    <row r="36" spans="2:17" ht="15.75" thickBot="1">
      <c r="B36" s="278" t="s">
        <v>54</v>
      </c>
      <c r="C36" s="293" t="s">
        <v>183</v>
      </c>
      <c r="D36" s="63" t="s">
        <v>7</v>
      </c>
      <c r="E36" s="87">
        <v>8.7330000000000005</v>
      </c>
      <c r="F36" s="5"/>
      <c r="G36" s="5">
        <f>E36+F36</f>
        <v>8.7330000000000005</v>
      </c>
      <c r="H36" s="238">
        <v>6.0739999999999998</v>
      </c>
      <c r="I36" s="5">
        <f t="shared" si="0"/>
        <v>2.6590000000000007</v>
      </c>
      <c r="J36" s="13">
        <f>H36/G36</f>
        <v>0.69552272987518604</v>
      </c>
      <c r="K36" s="286">
        <f>E36+E37</f>
        <v>9.1930000000000014</v>
      </c>
      <c r="L36" s="265">
        <f>F36+F37</f>
        <v>0</v>
      </c>
      <c r="M36" s="265">
        <f>K36+L36</f>
        <v>9.1930000000000014</v>
      </c>
      <c r="N36" s="265">
        <f>H36+H37</f>
        <v>6.0739999999999998</v>
      </c>
      <c r="O36" s="265">
        <f>M36-N36</f>
        <v>3.1190000000000015</v>
      </c>
      <c r="P36" s="301">
        <f>N36/M36</f>
        <v>0.66072011312955503</v>
      </c>
      <c r="Q36" s="132" t="s">
        <v>135</v>
      </c>
    </row>
    <row r="37" spans="2:17" ht="15.75" thickBot="1">
      <c r="B37" s="279"/>
      <c r="C37" s="294"/>
      <c r="D37" s="10" t="s">
        <v>8</v>
      </c>
      <c r="E37" s="88">
        <v>0.46</v>
      </c>
      <c r="F37" s="52"/>
      <c r="G37" s="52">
        <f>E37+F37+I36</f>
        <v>3.1190000000000007</v>
      </c>
      <c r="H37" s="77"/>
      <c r="I37" s="52">
        <f t="shared" si="0"/>
        <v>3.1190000000000007</v>
      </c>
      <c r="J37" s="14">
        <f>H37/G37</f>
        <v>0</v>
      </c>
      <c r="K37" s="287"/>
      <c r="L37" s="269"/>
      <c r="M37" s="269"/>
      <c r="N37" s="269"/>
      <c r="O37" s="269"/>
      <c r="P37" s="302"/>
      <c r="Q37" s="41" t="s">
        <v>135</v>
      </c>
    </row>
    <row r="38" spans="2:17" ht="15.75" customHeight="1" thickBot="1">
      <c r="B38" s="25"/>
      <c r="C38" s="31"/>
      <c r="D38" s="27"/>
      <c r="E38" s="27"/>
      <c r="F38" s="27"/>
      <c r="G38" s="27"/>
      <c r="H38" s="27"/>
      <c r="I38" s="27"/>
      <c r="J38" s="28"/>
      <c r="K38" s="27"/>
      <c r="L38" s="24">
        <f>SUM(L36)</f>
        <v>0</v>
      </c>
      <c r="P38" s="29"/>
      <c r="Q38" s="38"/>
    </row>
    <row r="39" spans="2:17" ht="15.75" thickBot="1">
      <c r="B39" s="278" t="s">
        <v>53</v>
      </c>
      <c r="C39" s="293" t="s">
        <v>184</v>
      </c>
      <c r="D39" s="63" t="s">
        <v>7</v>
      </c>
      <c r="E39" s="87">
        <v>139.6</v>
      </c>
      <c r="F39" s="5"/>
      <c r="G39" s="5">
        <f>E39+F39</f>
        <v>139.6</v>
      </c>
      <c r="H39" s="238">
        <v>107.878</v>
      </c>
      <c r="I39" s="5">
        <f t="shared" si="0"/>
        <v>31.721999999999994</v>
      </c>
      <c r="J39" s="13">
        <f>H39/G39</f>
        <v>0.77276504297994275</v>
      </c>
      <c r="K39" s="286">
        <f>E39+E40</f>
        <v>146.947</v>
      </c>
      <c r="L39" s="265">
        <f>F39+F40</f>
        <v>0</v>
      </c>
      <c r="M39" s="265">
        <f>K39+L39</f>
        <v>146.947</v>
      </c>
      <c r="N39" s="265">
        <f>H39+H40</f>
        <v>107.878</v>
      </c>
      <c r="O39" s="265">
        <f>M39-N39</f>
        <v>39.069000000000003</v>
      </c>
      <c r="P39" s="301">
        <f>N39/M39</f>
        <v>0.73412863141132512</v>
      </c>
      <c r="Q39" s="132" t="s">
        <v>135</v>
      </c>
    </row>
    <row r="40" spans="2:17" ht="15.75" thickBot="1">
      <c r="B40" s="279"/>
      <c r="C40" s="294"/>
      <c r="D40" s="10" t="s">
        <v>8</v>
      </c>
      <c r="E40" s="88">
        <v>7.3470000000000004</v>
      </c>
      <c r="F40" s="52"/>
      <c r="G40" s="52">
        <f>E40+F40+I39</f>
        <v>39.068999999999996</v>
      </c>
      <c r="H40" s="77"/>
      <c r="I40" s="52">
        <f t="shared" si="0"/>
        <v>39.068999999999996</v>
      </c>
      <c r="J40" s="14">
        <f>H40/G40</f>
        <v>0</v>
      </c>
      <c r="K40" s="287"/>
      <c r="L40" s="269"/>
      <c r="M40" s="269"/>
      <c r="N40" s="269"/>
      <c r="O40" s="269"/>
      <c r="P40" s="302"/>
      <c r="Q40" s="86" t="s">
        <v>135</v>
      </c>
    </row>
    <row r="41" spans="2:17" ht="15.75" customHeight="1" thickBot="1">
      <c r="B41" s="25"/>
      <c r="C41" s="31"/>
      <c r="D41" s="27"/>
      <c r="E41" s="27"/>
      <c r="F41" s="27"/>
      <c r="G41" s="27"/>
      <c r="H41" s="27"/>
      <c r="I41" s="27"/>
      <c r="J41" s="28"/>
      <c r="K41" s="27"/>
      <c r="L41" s="24">
        <f>SUM(L39)</f>
        <v>0</v>
      </c>
      <c r="P41" s="29"/>
      <c r="Q41" s="38"/>
    </row>
    <row r="42" spans="2:17">
      <c r="B42" s="278" t="s">
        <v>64</v>
      </c>
      <c r="C42" s="293" t="s">
        <v>185</v>
      </c>
      <c r="D42" s="6" t="s">
        <v>7</v>
      </c>
      <c r="E42" s="87">
        <v>9096.15</v>
      </c>
      <c r="F42" s="59"/>
      <c r="G42" s="5">
        <f>E42+F42</f>
        <v>9096.15</v>
      </c>
      <c r="H42" s="238">
        <v>10586.37</v>
      </c>
      <c r="I42" s="5">
        <f>G42-H42</f>
        <v>-1490.2200000000012</v>
      </c>
      <c r="J42" s="13">
        <f>H42/G42</f>
        <v>1.1638297521478869</v>
      </c>
      <c r="K42" s="296">
        <f>E42+E43</f>
        <v>9574.8950000000004</v>
      </c>
      <c r="L42" s="265">
        <f>F42+F43</f>
        <v>0</v>
      </c>
      <c r="M42" s="265">
        <f>K42+L42</f>
        <v>9574.8950000000004</v>
      </c>
      <c r="N42" s="265">
        <f>H42+H43</f>
        <v>10586.37</v>
      </c>
      <c r="O42" s="265">
        <f>M42-N42</f>
        <v>-1011.4750000000004</v>
      </c>
      <c r="P42" s="268">
        <f>N42/M42</f>
        <v>1.1056382341529594</v>
      </c>
      <c r="Q42" s="133">
        <v>43837</v>
      </c>
    </row>
    <row r="43" spans="2:17">
      <c r="B43" s="280"/>
      <c r="C43" s="295"/>
      <c r="D43" s="1" t="s">
        <v>8</v>
      </c>
      <c r="E43" s="89">
        <v>478.745</v>
      </c>
      <c r="F43" s="61"/>
      <c r="G43" s="51">
        <f>E43+F43+I42</f>
        <v>-1011.4750000000012</v>
      </c>
      <c r="H43" s="109"/>
      <c r="I43" s="51">
        <f t="shared" si="0"/>
        <v>-1011.4750000000012</v>
      </c>
      <c r="J43" s="16">
        <f>H43/G43</f>
        <v>0</v>
      </c>
      <c r="K43" s="267"/>
      <c r="L43" s="266"/>
      <c r="M43" s="266"/>
      <c r="N43" s="266"/>
      <c r="O43" s="266"/>
      <c r="P43" s="264"/>
      <c r="Q43" s="134" t="s">
        <v>135</v>
      </c>
    </row>
    <row r="44" spans="2:17" ht="15.75" customHeight="1" thickBot="1">
      <c r="B44" s="25"/>
      <c r="C44" s="31"/>
      <c r="D44" s="27"/>
      <c r="E44" s="27"/>
      <c r="F44" s="27"/>
      <c r="G44" s="27"/>
      <c r="H44" s="27"/>
      <c r="I44" s="27"/>
      <c r="J44" s="28"/>
      <c r="K44" s="27"/>
      <c r="L44" s="24">
        <f>SUM(L42)</f>
        <v>0</v>
      </c>
      <c r="P44" s="29"/>
      <c r="Q44" s="38"/>
    </row>
    <row r="45" spans="2:17">
      <c r="B45" s="278" t="s">
        <v>52</v>
      </c>
      <c r="C45" s="293" t="s">
        <v>186</v>
      </c>
      <c r="D45" s="6" t="s">
        <v>7</v>
      </c>
      <c r="E45" s="87">
        <v>45.61</v>
      </c>
      <c r="F45" s="5"/>
      <c r="G45" s="5">
        <f>E45+F45</f>
        <v>45.61</v>
      </c>
      <c r="H45" s="235">
        <v>5.4610000000000003</v>
      </c>
      <c r="I45" s="5">
        <f t="shared" si="0"/>
        <v>40.149000000000001</v>
      </c>
      <c r="J45" s="13">
        <f>H45/G45</f>
        <v>0.11973251479938611</v>
      </c>
      <c r="K45" s="286">
        <f>E45+E46</f>
        <v>48.010999999999996</v>
      </c>
      <c r="L45" s="265">
        <f>F45+F46</f>
        <v>0</v>
      </c>
      <c r="M45" s="265">
        <f>K45+L45</f>
        <v>48.010999999999996</v>
      </c>
      <c r="N45" s="265">
        <f>H45+H46</f>
        <v>5.4610000000000003</v>
      </c>
      <c r="O45" s="265">
        <f>M45-N45</f>
        <v>42.55</v>
      </c>
      <c r="P45" s="301">
        <f>N45/M45</f>
        <v>0.11374476682426946</v>
      </c>
      <c r="Q45" s="161" t="s">
        <v>135</v>
      </c>
    </row>
    <row r="46" spans="2:17" ht="15.75" thickBot="1">
      <c r="B46" s="279"/>
      <c r="C46" s="294"/>
      <c r="D46" s="2" t="s">
        <v>8</v>
      </c>
      <c r="E46" s="88">
        <v>2.4009999999999998</v>
      </c>
      <c r="F46" s="52"/>
      <c r="G46" s="52">
        <f>E46+F46+I45</f>
        <v>42.55</v>
      </c>
      <c r="H46" s="92"/>
      <c r="I46" s="52">
        <f t="shared" si="0"/>
        <v>42.55</v>
      </c>
      <c r="J46" s="14">
        <f>H46/G46</f>
        <v>0</v>
      </c>
      <c r="K46" s="287"/>
      <c r="L46" s="269"/>
      <c r="M46" s="269"/>
      <c r="N46" s="269"/>
      <c r="O46" s="269"/>
      <c r="P46" s="302"/>
      <c r="Q46" s="162" t="s">
        <v>135</v>
      </c>
    </row>
    <row r="47" spans="2:17" ht="15.75" customHeight="1" thickBot="1">
      <c r="B47" s="25"/>
      <c r="C47" s="31"/>
      <c r="D47" s="27"/>
      <c r="E47" s="27"/>
      <c r="F47" s="27"/>
      <c r="G47" s="27"/>
      <c r="H47" s="27"/>
      <c r="I47" s="27"/>
      <c r="J47" s="28"/>
      <c r="K47" s="27"/>
      <c r="L47" s="24">
        <f>SUM(L45)</f>
        <v>0</v>
      </c>
      <c r="P47" s="29"/>
      <c r="Q47" s="38"/>
    </row>
    <row r="48" spans="2:17">
      <c r="B48" s="278" t="s">
        <v>51</v>
      </c>
      <c r="C48" s="293" t="s">
        <v>187</v>
      </c>
      <c r="D48" s="6" t="s">
        <v>7</v>
      </c>
      <c r="E48" s="87">
        <v>1063.8489999999999</v>
      </c>
      <c r="F48" s="5"/>
      <c r="G48" s="5">
        <f>E48+F48</f>
        <v>1063.8489999999999</v>
      </c>
      <c r="H48" s="235">
        <v>1084.462</v>
      </c>
      <c r="I48" s="5">
        <f t="shared" si="0"/>
        <v>-20.613000000000056</v>
      </c>
      <c r="J48" s="13">
        <f>H48/G48</f>
        <v>1.0193758700717865</v>
      </c>
      <c r="K48" s="286">
        <f>E48+E49</f>
        <v>1119.8409999999999</v>
      </c>
      <c r="L48" s="265">
        <f>F48+F49</f>
        <v>0</v>
      </c>
      <c r="M48" s="265">
        <f>K48+L48</f>
        <v>1119.8409999999999</v>
      </c>
      <c r="N48" s="265">
        <f>H48+H49</f>
        <v>1084.462</v>
      </c>
      <c r="O48" s="265">
        <f>M48-N48</f>
        <v>35.378999999999905</v>
      </c>
      <c r="P48" s="301">
        <f>N48/M48</f>
        <v>0.96840712208251001</v>
      </c>
      <c r="Q48" s="161">
        <v>43880</v>
      </c>
    </row>
    <row r="49" spans="2:17" ht="15.75" thickBot="1">
      <c r="B49" s="279"/>
      <c r="C49" s="294"/>
      <c r="D49" s="2" t="s">
        <v>8</v>
      </c>
      <c r="E49" s="88">
        <v>55.991999999999997</v>
      </c>
      <c r="F49" s="52"/>
      <c r="G49" s="52">
        <f>E49+F49+I48</f>
        <v>35.378999999999941</v>
      </c>
      <c r="H49" s="95"/>
      <c r="I49" s="52">
        <f t="shared" si="0"/>
        <v>35.378999999999941</v>
      </c>
      <c r="J49" s="14">
        <f>H49/G49</f>
        <v>0</v>
      </c>
      <c r="K49" s="287"/>
      <c r="L49" s="269"/>
      <c r="M49" s="269"/>
      <c r="N49" s="269"/>
      <c r="O49" s="269"/>
      <c r="P49" s="302"/>
      <c r="Q49" s="162">
        <v>43880</v>
      </c>
    </row>
    <row r="50" spans="2:17" ht="15.75" customHeight="1" thickBot="1">
      <c r="B50" s="25"/>
      <c r="C50" s="31"/>
      <c r="D50" s="27"/>
      <c r="E50" s="27"/>
      <c r="F50" s="27"/>
      <c r="G50" s="27"/>
      <c r="H50" s="27"/>
      <c r="I50" s="27"/>
      <c r="J50" s="28"/>
      <c r="K50" s="27"/>
      <c r="L50" s="24">
        <f>SUM(L48)</f>
        <v>0</v>
      </c>
      <c r="P50" s="29"/>
      <c r="Q50" s="38"/>
    </row>
    <row r="51" spans="2:17">
      <c r="B51" s="278" t="s">
        <v>50</v>
      </c>
      <c r="C51" s="281" t="s">
        <v>45</v>
      </c>
      <c r="D51" s="6" t="s">
        <v>7</v>
      </c>
      <c r="E51" s="59">
        <v>108.949</v>
      </c>
      <c r="F51" s="59">
        <v>-110</v>
      </c>
      <c r="G51" s="5">
        <f>E51+F51</f>
        <v>-1.0510000000000019</v>
      </c>
      <c r="H51" s="181"/>
      <c r="I51" s="5">
        <f t="shared" ref="I51:I56" si="3">G51-H51</f>
        <v>-1.0510000000000019</v>
      </c>
      <c r="J51" s="13">
        <f>H51/G51</f>
        <v>0</v>
      </c>
      <c r="K51" s="296">
        <f>E51+E52</f>
        <v>114.68299999999999</v>
      </c>
      <c r="L51" s="265">
        <f>F51+F52</f>
        <v>-110</v>
      </c>
      <c r="M51" s="265">
        <f>K51+L51</f>
        <v>4.6829999999999927</v>
      </c>
      <c r="N51" s="265">
        <f>H51+H52</f>
        <v>0</v>
      </c>
      <c r="O51" s="265">
        <f>M51-N51</f>
        <v>4.6829999999999927</v>
      </c>
      <c r="P51" s="268">
        <f>N51/M51</f>
        <v>0</v>
      </c>
      <c r="Q51" s="134">
        <v>43895</v>
      </c>
    </row>
    <row r="52" spans="2:17">
      <c r="B52" s="280"/>
      <c r="C52" s="282"/>
      <c r="D52" s="1" t="s">
        <v>8</v>
      </c>
      <c r="E52" s="61">
        <v>5.734</v>
      </c>
      <c r="F52" s="61"/>
      <c r="G52" s="51">
        <f>E52+F52+I51</f>
        <v>4.6829999999999981</v>
      </c>
      <c r="H52" s="184"/>
      <c r="I52" s="51">
        <f t="shared" si="3"/>
        <v>4.6829999999999981</v>
      </c>
      <c r="J52" s="16">
        <f>H52/G52</f>
        <v>0</v>
      </c>
      <c r="K52" s="267"/>
      <c r="L52" s="266"/>
      <c r="M52" s="266"/>
      <c r="N52" s="266"/>
      <c r="O52" s="266"/>
      <c r="P52" s="264"/>
      <c r="Q52" s="53" t="s">
        <v>135</v>
      </c>
    </row>
    <row r="53" spans="2:17">
      <c r="B53" s="280"/>
      <c r="C53" s="282" t="s">
        <v>46</v>
      </c>
      <c r="D53" s="1" t="s">
        <v>7</v>
      </c>
      <c r="E53" s="61">
        <v>514.71600000000001</v>
      </c>
      <c r="F53" s="61">
        <v>-530</v>
      </c>
      <c r="G53" s="51">
        <f>E53+F53</f>
        <v>-15.283999999999992</v>
      </c>
      <c r="H53" s="184"/>
      <c r="I53" s="51">
        <f t="shared" si="3"/>
        <v>-15.283999999999992</v>
      </c>
      <c r="J53" s="16">
        <f t="shared" ref="J53:J66" si="4">H53/G53</f>
        <v>0</v>
      </c>
      <c r="K53" s="267">
        <f>E53+E54</f>
        <v>541.80600000000004</v>
      </c>
      <c r="L53" s="266">
        <f>F53+F54</f>
        <v>-530</v>
      </c>
      <c r="M53" s="266">
        <f>K53+L53</f>
        <v>11.80600000000004</v>
      </c>
      <c r="N53" s="266">
        <f>H53+H54</f>
        <v>0</v>
      </c>
      <c r="O53" s="266">
        <f>M53-N53</f>
        <v>11.80600000000004</v>
      </c>
      <c r="P53" s="264">
        <f>N53/M53</f>
        <v>0</v>
      </c>
      <c r="Q53" s="134">
        <v>43916</v>
      </c>
    </row>
    <row r="54" spans="2:17">
      <c r="B54" s="280"/>
      <c r="C54" s="282"/>
      <c r="D54" s="1" t="s">
        <v>8</v>
      </c>
      <c r="E54" s="61">
        <v>27.09</v>
      </c>
      <c r="F54" s="61"/>
      <c r="G54" s="51">
        <f>+I53+E54+F54</f>
        <v>11.806000000000008</v>
      </c>
      <c r="H54" s="184"/>
      <c r="I54" s="51">
        <f t="shared" si="3"/>
        <v>11.806000000000008</v>
      </c>
      <c r="J54" s="16">
        <v>0</v>
      </c>
      <c r="K54" s="267"/>
      <c r="L54" s="266"/>
      <c r="M54" s="266"/>
      <c r="N54" s="266"/>
      <c r="O54" s="266"/>
      <c r="P54" s="264"/>
      <c r="Q54" s="134" t="s">
        <v>135</v>
      </c>
    </row>
    <row r="55" spans="2:17">
      <c r="B55" s="280"/>
      <c r="C55" s="282" t="s">
        <v>47</v>
      </c>
      <c r="D55" s="1" t="s">
        <v>7</v>
      </c>
      <c r="E55" s="61">
        <v>3142.1990000000001</v>
      </c>
      <c r="F55" s="61">
        <v>-3110</v>
      </c>
      <c r="G55" s="51">
        <f>E55+F55</f>
        <v>32.199000000000069</v>
      </c>
      <c r="H55" s="78"/>
      <c r="I55" s="51">
        <f t="shared" si="3"/>
        <v>32.199000000000069</v>
      </c>
      <c r="J55" s="16">
        <f t="shared" si="4"/>
        <v>0</v>
      </c>
      <c r="K55" s="267">
        <f>E55+E56</f>
        <v>3307.578</v>
      </c>
      <c r="L55" s="266">
        <f>F55+F56</f>
        <v>-3110</v>
      </c>
      <c r="M55" s="266">
        <f>K55+L55</f>
        <v>197.57799999999997</v>
      </c>
      <c r="N55" s="266">
        <f>H55+H56</f>
        <v>0</v>
      </c>
      <c r="O55" s="266">
        <f>M55-N55</f>
        <v>197.57799999999997</v>
      </c>
      <c r="P55" s="264">
        <f>N55/M55</f>
        <v>0</v>
      </c>
      <c r="Q55" s="134">
        <v>43895</v>
      </c>
    </row>
    <row r="56" spans="2:17">
      <c r="B56" s="280"/>
      <c r="C56" s="282"/>
      <c r="D56" s="1" t="s">
        <v>8</v>
      </c>
      <c r="E56" s="61">
        <v>165.37899999999999</v>
      </c>
      <c r="F56" s="61"/>
      <c r="G56" s="51">
        <f>E56+F56+I55</f>
        <v>197.57800000000006</v>
      </c>
      <c r="H56" s="184"/>
      <c r="I56" s="51">
        <f t="shared" si="3"/>
        <v>197.57800000000006</v>
      </c>
      <c r="J56" s="16">
        <f t="shared" si="4"/>
        <v>0</v>
      </c>
      <c r="K56" s="267"/>
      <c r="L56" s="266"/>
      <c r="M56" s="266"/>
      <c r="N56" s="266"/>
      <c r="O56" s="266"/>
      <c r="P56" s="264"/>
      <c r="Q56" s="53" t="s">
        <v>135</v>
      </c>
    </row>
    <row r="57" spans="2:17">
      <c r="B57" s="280"/>
      <c r="C57" s="282" t="s">
        <v>48</v>
      </c>
      <c r="D57" s="1" t="s">
        <v>7</v>
      </c>
      <c r="E57" s="61">
        <v>525.07299999999998</v>
      </c>
      <c r="F57" s="61">
        <v>-540</v>
      </c>
      <c r="G57" s="51">
        <f>E57+F57</f>
        <v>-14.927000000000021</v>
      </c>
      <c r="H57" s="184"/>
      <c r="I57" s="51">
        <f t="shared" si="0"/>
        <v>-14.927000000000021</v>
      </c>
      <c r="J57" s="16">
        <f>H57/G57</f>
        <v>0</v>
      </c>
      <c r="K57" s="267">
        <f>E57+E58</f>
        <v>552.70899999999995</v>
      </c>
      <c r="L57" s="266">
        <f>F57+F58</f>
        <v>-540</v>
      </c>
      <c r="M57" s="266">
        <f>K57+L57</f>
        <v>12.708999999999946</v>
      </c>
      <c r="N57" s="266">
        <f>H57+H58</f>
        <v>0</v>
      </c>
      <c r="O57" s="266">
        <f>M57-N57</f>
        <v>12.708999999999946</v>
      </c>
      <c r="P57" s="264">
        <f>((N57+L57)/K57)*-1</f>
        <v>0.97700598325701238</v>
      </c>
      <c r="Q57" s="134">
        <v>43895</v>
      </c>
    </row>
    <row r="58" spans="2:17" ht="12" customHeight="1">
      <c r="B58" s="280"/>
      <c r="C58" s="282"/>
      <c r="D58" s="1" t="s">
        <v>8</v>
      </c>
      <c r="E58" s="61">
        <v>27.635999999999999</v>
      </c>
      <c r="F58" s="61"/>
      <c r="G58" s="51">
        <f>E58+F58+I57</f>
        <v>12.708999999999978</v>
      </c>
      <c r="H58" s="184"/>
      <c r="I58" s="51">
        <f t="shared" si="0"/>
        <v>12.708999999999978</v>
      </c>
      <c r="J58" s="16">
        <f>H58/G58</f>
        <v>0</v>
      </c>
      <c r="K58" s="267"/>
      <c r="L58" s="266"/>
      <c r="M58" s="266"/>
      <c r="N58" s="266"/>
      <c r="O58" s="266"/>
      <c r="P58" s="264"/>
      <c r="Q58" s="53" t="s">
        <v>135</v>
      </c>
    </row>
    <row r="59" spans="2:17">
      <c r="B59" s="280"/>
      <c r="C59" s="282" t="s">
        <v>49</v>
      </c>
      <c r="D59" s="1" t="s">
        <v>7</v>
      </c>
      <c r="E59" s="61">
        <v>1664.87</v>
      </c>
      <c r="F59" s="61">
        <f>-900-800</f>
        <v>-1700</v>
      </c>
      <c r="G59" s="51">
        <f>E59+F59</f>
        <v>-35.130000000000109</v>
      </c>
      <c r="H59" s="184"/>
      <c r="I59" s="51">
        <f t="shared" si="0"/>
        <v>-35.130000000000109</v>
      </c>
      <c r="J59" s="16">
        <f t="shared" si="4"/>
        <v>0</v>
      </c>
      <c r="K59" s="267">
        <f>E59+E60</f>
        <v>1752.4949999999999</v>
      </c>
      <c r="L59" s="266">
        <f>F59+F60</f>
        <v>-1700</v>
      </c>
      <c r="M59" s="266">
        <f>K59+L59</f>
        <v>52.494999999999891</v>
      </c>
      <c r="N59" s="266">
        <f>H59+H60</f>
        <v>0</v>
      </c>
      <c r="O59" s="266">
        <f>M59-N59</f>
        <v>52.494999999999891</v>
      </c>
      <c r="P59" s="264">
        <f>N59/M59</f>
        <v>0</v>
      </c>
      <c r="Q59" s="134">
        <v>43895</v>
      </c>
    </row>
    <row r="60" spans="2:17">
      <c r="B60" s="280"/>
      <c r="C60" s="282"/>
      <c r="D60" s="1" t="s">
        <v>8</v>
      </c>
      <c r="E60" s="61">
        <v>87.625</v>
      </c>
      <c r="F60" s="61"/>
      <c r="G60" s="51">
        <f>E60+F60+I59</f>
        <v>52.494999999999891</v>
      </c>
      <c r="H60" s="184"/>
      <c r="I60" s="51">
        <f t="shared" si="0"/>
        <v>52.494999999999891</v>
      </c>
      <c r="J60" s="16">
        <f t="shared" si="4"/>
        <v>0</v>
      </c>
      <c r="K60" s="267"/>
      <c r="L60" s="266"/>
      <c r="M60" s="266"/>
      <c r="N60" s="266"/>
      <c r="O60" s="266"/>
      <c r="P60" s="264"/>
      <c r="Q60" s="53" t="s">
        <v>135</v>
      </c>
    </row>
    <row r="61" spans="2:17">
      <c r="B61" s="280"/>
      <c r="C61" s="282" t="s">
        <v>176</v>
      </c>
      <c r="D61" s="1" t="s">
        <v>7</v>
      </c>
      <c r="E61" s="61">
        <v>791.16</v>
      </c>
      <c r="F61" s="61">
        <v>-821.71</v>
      </c>
      <c r="G61" s="51">
        <f>E61+F61</f>
        <v>-30.550000000000068</v>
      </c>
      <c r="H61" s="184"/>
      <c r="I61" s="51">
        <f t="shared" si="0"/>
        <v>-30.550000000000068</v>
      </c>
      <c r="J61" s="16">
        <f t="shared" si="4"/>
        <v>0</v>
      </c>
      <c r="K61" s="267">
        <f>E61+E62</f>
        <v>832.79899999999998</v>
      </c>
      <c r="L61" s="266">
        <f>F61+F62</f>
        <v>-821.71</v>
      </c>
      <c r="M61" s="266">
        <f>K61+L61</f>
        <v>11.088999999999942</v>
      </c>
      <c r="N61" s="266">
        <f>H61+H62</f>
        <v>0</v>
      </c>
      <c r="O61" s="266">
        <f>M61-N61</f>
        <v>11.088999999999942</v>
      </c>
      <c r="P61" s="264">
        <f>N61/M61</f>
        <v>0</v>
      </c>
      <c r="Q61" s="134">
        <v>43895</v>
      </c>
    </row>
    <row r="62" spans="2:17">
      <c r="B62" s="280"/>
      <c r="C62" s="282"/>
      <c r="D62" s="1" t="s">
        <v>8</v>
      </c>
      <c r="E62" s="61">
        <v>41.639000000000003</v>
      </c>
      <c r="F62" s="61"/>
      <c r="G62" s="51">
        <f>E62+F62+I61</f>
        <v>11.088999999999935</v>
      </c>
      <c r="H62" s="184"/>
      <c r="I62" s="51">
        <f t="shared" si="0"/>
        <v>11.088999999999935</v>
      </c>
      <c r="J62" s="16">
        <f t="shared" si="4"/>
        <v>0</v>
      </c>
      <c r="K62" s="267"/>
      <c r="L62" s="266"/>
      <c r="M62" s="266"/>
      <c r="N62" s="266"/>
      <c r="O62" s="266"/>
      <c r="P62" s="264"/>
      <c r="Q62" s="53" t="s">
        <v>135</v>
      </c>
    </row>
    <row r="63" spans="2:17" ht="15" customHeight="1">
      <c r="B63" s="280"/>
      <c r="C63" s="282" t="s">
        <v>159</v>
      </c>
      <c r="D63" s="1" t="s">
        <v>7</v>
      </c>
      <c r="E63" s="61">
        <v>106.148</v>
      </c>
      <c r="F63" s="61">
        <v>-104</v>
      </c>
      <c r="G63" s="51">
        <f>E63+F63</f>
        <v>2.1479999999999961</v>
      </c>
      <c r="H63" s="184"/>
      <c r="I63" s="51">
        <f t="shared" si="0"/>
        <v>2.1479999999999961</v>
      </c>
      <c r="J63" s="16">
        <f t="shared" si="4"/>
        <v>0</v>
      </c>
      <c r="K63" s="267">
        <f>E63+E64</f>
        <v>111.735</v>
      </c>
      <c r="L63" s="266">
        <f>F63+F64</f>
        <v>-104</v>
      </c>
      <c r="M63" s="266">
        <f>K63+L63</f>
        <v>7.7349999999999994</v>
      </c>
      <c r="N63" s="266">
        <f>H63+H64</f>
        <v>0</v>
      </c>
      <c r="O63" s="266">
        <f>M63-N63</f>
        <v>7.7349999999999994</v>
      </c>
      <c r="P63" s="264">
        <f>N63/M63</f>
        <v>0</v>
      </c>
      <c r="Q63" s="134" t="s">
        <v>135</v>
      </c>
    </row>
    <row r="64" spans="2:17">
      <c r="B64" s="280"/>
      <c r="C64" s="282"/>
      <c r="D64" s="1" t="s">
        <v>8</v>
      </c>
      <c r="E64" s="61">
        <v>5.5869999999999997</v>
      </c>
      <c r="F64" s="61"/>
      <c r="G64" s="51">
        <f>E64+F64+I63</f>
        <v>7.7349999999999959</v>
      </c>
      <c r="H64" s="184"/>
      <c r="I64" s="51">
        <f t="shared" si="0"/>
        <v>7.7349999999999959</v>
      </c>
      <c r="J64" s="16">
        <f t="shared" si="4"/>
        <v>0</v>
      </c>
      <c r="K64" s="267"/>
      <c r="L64" s="266"/>
      <c r="M64" s="266"/>
      <c r="N64" s="266"/>
      <c r="O64" s="266"/>
      <c r="P64" s="264"/>
      <c r="Q64" s="53" t="s">
        <v>135</v>
      </c>
    </row>
    <row r="65" spans="2:17">
      <c r="B65" s="280"/>
      <c r="C65" s="282" t="s">
        <v>39</v>
      </c>
      <c r="D65" s="1" t="s">
        <v>7</v>
      </c>
      <c r="E65" s="61">
        <v>264.56099999999998</v>
      </c>
      <c r="F65" s="61"/>
      <c r="G65" s="51">
        <f>E65+F65</f>
        <v>264.56099999999998</v>
      </c>
      <c r="H65" s="236">
        <v>0.06</v>
      </c>
      <c r="I65" s="51">
        <f t="shared" si="0"/>
        <v>264.50099999999998</v>
      </c>
      <c r="J65" s="16">
        <f t="shared" si="4"/>
        <v>2.2679079682946468E-4</v>
      </c>
      <c r="K65" s="267">
        <f>E65+E66</f>
        <v>278.49399999999997</v>
      </c>
      <c r="L65" s="266">
        <f>F65+F66</f>
        <v>0</v>
      </c>
      <c r="M65" s="266">
        <f>K65+L65</f>
        <v>278.49399999999997</v>
      </c>
      <c r="N65" s="266">
        <f>H65+H66</f>
        <v>0.06</v>
      </c>
      <c r="O65" s="266">
        <f>M65-N65</f>
        <v>278.43399999999997</v>
      </c>
      <c r="P65" s="264">
        <f>N65/M65</f>
        <v>2.1544449790659764E-4</v>
      </c>
      <c r="Q65" s="53" t="s">
        <v>135</v>
      </c>
    </row>
    <row r="66" spans="2:17" ht="15.75" thickBot="1">
      <c r="B66" s="279"/>
      <c r="C66" s="292"/>
      <c r="D66" s="2" t="s">
        <v>8</v>
      </c>
      <c r="E66" s="60">
        <v>13.933</v>
      </c>
      <c r="F66" s="60"/>
      <c r="G66" s="52">
        <f>E66+F66+I65</f>
        <v>278.43399999999997</v>
      </c>
      <c r="H66" s="168"/>
      <c r="I66" s="52">
        <f t="shared" si="0"/>
        <v>278.43399999999997</v>
      </c>
      <c r="J66" s="14">
        <f t="shared" si="4"/>
        <v>0</v>
      </c>
      <c r="K66" s="283"/>
      <c r="L66" s="269"/>
      <c r="M66" s="269"/>
      <c r="N66" s="269"/>
      <c r="O66" s="269"/>
      <c r="P66" s="270"/>
      <c r="Q66" s="54" t="s">
        <v>135</v>
      </c>
    </row>
    <row r="67" spans="2:17" ht="15.75" customHeight="1" thickBot="1">
      <c r="C67" s="31"/>
      <c r="D67" s="27"/>
      <c r="E67" s="27"/>
      <c r="F67" s="27"/>
      <c r="G67" s="27"/>
      <c r="H67" s="27"/>
      <c r="I67" s="27"/>
      <c r="J67" s="28"/>
      <c r="K67" s="27">
        <f>SUM(K51:K66)</f>
        <v>7492.2989999999991</v>
      </c>
      <c r="L67" s="24">
        <f>SUM(L51:L66)</f>
        <v>-6915.71</v>
      </c>
      <c r="M67" s="24">
        <f>+K67+L67</f>
        <v>576.58899999999903</v>
      </c>
      <c r="N67" s="24">
        <f>SUM(N51:N66)</f>
        <v>0.06</v>
      </c>
      <c r="P67" s="29"/>
      <c r="Q67" s="38"/>
    </row>
    <row r="68" spans="2:17" ht="15.75" thickBot="1">
      <c r="B68" s="130" t="s">
        <v>63</v>
      </c>
      <c r="C68" s="131" t="s">
        <v>62</v>
      </c>
      <c r="D68" s="9" t="s">
        <v>61</v>
      </c>
      <c r="E68" s="7">
        <v>327</v>
      </c>
      <c r="F68" s="8"/>
      <c r="G68" s="8">
        <f>E68+F68</f>
        <v>327</v>
      </c>
      <c r="H68" s="7">
        <v>90.393000000000001</v>
      </c>
      <c r="I68" s="7">
        <f>G68-H68</f>
        <v>236.607</v>
      </c>
      <c r="J68" s="17">
        <f>H68/G68</f>
        <v>0.27643119266055044</v>
      </c>
      <c r="K68" s="18">
        <f>E68</f>
        <v>327</v>
      </c>
      <c r="L68" s="19">
        <f>F68</f>
        <v>0</v>
      </c>
      <c r="M68" s="19">
        <f>K68+L68</f>
        <v>327</v>
      </c>
      <c r="N68" s="19">
        <f>H68</f>
        <v>90.393000000000001</v>
      </c>
      <c r="O68" s="19">
        <f>M68-N68</f>
        <v>236.607</v>
      </c>
      <c r="P68" s="20">
        <f>N68/M68</f>
        <v>0.27643119266055044</v>
      </c>
      <c r="Q68" s="42" t="s">
        <v>135</v>
      </c>
    </row>
    <row r="69" spans="2:17" ht="15.75" thickBot="1">
      <c r="C69" s="31"/>
      <c r="J69" s="32"/>
      <c r="L69" s="24">
        <f>SUM(L68)</f>
        <v>0</v>
      </c>
      <c r="P69" s="29"/>
      <c r="Q69" s="38"/>
    </row>
    <row r="70" spans="2:17" ht="15.75" thickBot="1">
      <c r="B70" s="130" t="s">
        <v>67</v>
      </c>
      <c r="C70" s="131" t="s">
        <v>68</v>
      </c>
      <c r="D70" s="11" t="s">
        <v>61</v>
      </c>
      <c r="E70" s="8">
        <v>176</v>
      </c>
      <c r="F70" s="8"/>
      <c r="G70" s="8">
        <f>E70+F70</f>
        <v>176</v>
      </c>
      <c r="H70" s="242">
        <v>20.177</v>
      </c>
      <c r="I70" s="8">
        <f>G70-H70</f>
        <v>155.82300000000001</v>
      </c>
      <c r="J70" s="15">
        <f>H70/G70</f>
        <v>0.11464204545454545</v>
      </c>
      <c r="K70" s="18">
        <f>E70</f>
        <v>176</v>
      </c>
      <c r="L70" s="19">
        <f>F70</f>
        <v>0</v>
      </c>
      <c r="M70" s="19">
        <f>K70+L70</f>
        <v>176</v>
      </c>
      <c r="N70" s="19">
        <f>H70</f>
        <v>20.177</v>
      </c>
      <c r="O70" s="19">
        <f>M70-N70</f>
        <v>155.82300000000001</v>
      </c>
      <c r="P70" s="20">
        <f>N70/M70</f>
        <v>0.11464204545454545</v>
      </c>
      <c r="Q70" s="42" t="s">
        <v>135</v>
      </c>
    </row>
    <row r="71" spans="2:17">
      <c r="L71" s="24">
        <f>SUM(L70)</f>
        <v>0</v>
      </c>
    </row>
    <row r="72" spans="2:17" ht="15" customHeight="1"/>
    <row r="76" spans="2:17">
      <c r="C76" s="33"/>
    </row>
    <row r="77" spans="2:17">
      <c r="C77" s="33"/>
    </row>
    <row r="78" spans="2:17">
      <c r="C78" s="33"/>
    </row>
    <row r="79" spans="2:17">
      <c r="C79" s="33"/>
    </row>
    <row r="80" spans="2:17">
      <c r="C80" s="33"/>
    </row>
    <row r="81" spans="3:3">
      <c r="C81" s="33"/>
    </row>
  </sheetData>
  <mergeCells count="187">
    <mergeCell ref="B2:Q2"/>
    <mergeCell ref="O65:O66"/>
    <mergeCell ref="P65:P66"/>
    <mergeCell ref="K5:P5"/>
    <mergeCell ref="L63:L64"/>
    <mergeCell ref="M63:M64"/>
    <mergeCell ref="N63:N64"/>
    <mergeCell ref="O63:O64"/>
    <mergeCell ref="P63:P64"/>
    <mergeCell ref="M59:M60"/>
    <mergeCell ref="N59:N60"/>
    <mergeCell ref="O59:O60"/>
    <mergeCell ref="C27:C28"/>
    <mergeCell ref="P61:P62"/>
    <mergeCell ref="O55:O56"/>
    <mergeCell ref="P55:P56"/>
    <mergeCell ref="L57:L58"/>
    <mergeCell ref="M57:M58"/>
    <mergeCell ref="N36:N37"/>
    <mergeCell ref="O36:O37"/>
    <mergeCell ref="P36:P37"/>
    <mergeCell ref="P53:P54"/>
    <mergeCell ref="N53:N54"/>
    <mergeCell ref="B3:Q3"/>
    <mergeCell ref="O61:O62"/>
    <mergeCell ref="N65:N66"/>
    <mergeCell ref="K63:K64"/>
    <mergeCell ref="K65:K66"/>
    <mergeCell ref="N57:N58"/>
    <mergeCell ref="K61:K62"/>
    <mergeCell ref="L65:L66"/>
    <mergeCell ref="M65:M66"/>
    <mergeCell ref="N61:N62"/>
    <mergeCell ref="L59:L60"/>
    <mergeCell ref="K57:K58"/>
    <mergeCell ref="L61:L62"/>
    <mergeCell ref="M61:M62"/>
    <mergeCell ref="O57:O58"/>
    <mergeCell ref="K59:K60"/>
    <mergeCell ref="M53:M54"/>
    <mergeCell ref="P57:P58"/>
    <mergeCell ref="K45:K46"/>
    <mergeCell ref="L45:L46"/>
    <mergeCell ref="K51:K52"/>
    <mergeCell ref="K53:K54"/>
    <mergeCell ref="N51:N52"/>
    <mergeCell ref="L55:L56"/>
    <mergeCell ref="M55:M56"/>
    <mergeCell ref="N55:N56"/>
    <mergeCell ref="O53:O54"/>
    <mergeCell ref="L51:L52"/>
    <mergeCell ref="M51:M52"/>
    <mergeCell ref="K42:K43"/>
    <mergeCell ref="L42:L43"/>
    <mergeCell ref="P48:P49"/>
    <mergeCell ref="M42:M43"/>
    <mergeCell ref="N42:N43"/>
    <mergeCell ref="P39:P40"/>
    <mergeCell ref="C53:C54"/>
    <mergeCell ref="C55:C56"/>
    <mergeCell ref="B42:B43"/>
    <mergeCell ref="B39:B40"/>
    <mergeCell ref="C39:C40"/>
    <mergeCell ref="C42:C43"/>
    <mergeCell ref="C51:C52"/>
    <mergeCell ref="B51:B66"/>
    <mergeCell ref="C65:C66"/>
    <mergeCell ref="C63:C64"/>
    <mergeCell ref="C59:C60"/>
    <mergeCell ref="C61:C62"/>
    <mergeCell ref="C57:C58"/>
    <mergeCell ref="K55:K56"/>
    <mergeCell ref="P59:P60"/>
    <mergeCell ref="O51:O52"/>
    <mergeCell ref="P51:P52"/>
    <mergeCell ref="L53:L54"/>
    <mergeCell ref="P33:P34"/>
    <mergeCell ref="O15:O16"/>
    <mergeCell ref="P15:P16"/>
    <mergeCell ref="B36:B37"/>
    <mergeCell ref="K48:K49"/>
    <mergeCell ref="L48:L49"/>
    <mergeCell ref="M48:M49"/>
    <mergeCell ref="N48:N49"/>
    <mergeCell ref="O48:O49"/>
    <mergeCell ref="C45:C46"/>
    <mergeCell ref="C48:C49"/>
    <mergeCell ref="B45:B46"/>
    <mergeCell ref="O42:O43"/>
    <mergeCell ref="L39:L40"/>
    <mergeCell ref="M39:M40"/>
    <mergeCell ref="N39:N40"/>
    <mergeCell ref="O39:O40"/>
    <mergeCell ref="N45:N46"/>
    <mergeCell ref="O45:O46"/>
    <mergeCell ref="M45:M46"/>
    <mergeCell ref="B48:B49"/>
    <mergeCell ref="K39:K40"/>
    <mergeCell ref="P45:P46"/>
    <mergeCell ref="P42:P43"/>
    <mergeCell ref="O7:O8"/>
    <mergeCell ref="P7:P8"/>
    <mergeCell ref="L22:L23"/>
    <mergeCell ref="M22:M23"/>
    <mergeCell ref="N22:N23"/>
    <mergeCell ref="M15:M16"/>
    <mergeCell ref="L29:L30"/>
    <mergeCell ref="M29:M30"/>
    <mergeCell ref="O18:O19"/>
    <mergeCell ref="P18:P19"/>
    <mergeCell ref="M10:M11"/>
    <mergeCell ref="N10:N11"/>
    <mergeCell ref="O10:O11"/>
    <mergeCell ref="P10:P11"/>
    <mergeCell ref="P29:P30"/>
    <mergeCell ref="O29:O30"/>
    <mergeCell ref="N29:N30"/>
    <mergeCell ref="K7:K8"/>
    <mergeCell ref="L7:L8"/>
    <mergeCell ref="K15:K16"/>
    <mergeCell ref="K10:K11"/>
    <mergeCell ref="L10:L11"/>
    <mergeCell ref="K25:K26"/>
    <mergeCell ref="K29:K30"/>
    <mergeCell ref="M7:M8"/>
    <mergeCell ref="N7:N8"/>
    <mergeCell ref="K36:K37"/>
    <mergeCell ref="L36:L37"/>
    <mergeCell ref="M36:M37"/>
    <mergeCell ref="C5:C6"/>
    <mergeCell ref="N25:N26"/>
    <mergeCell ref="O25:O26"/>
    <mergeCell ref="K22:K23"/>
    <mergeCell ref="B5:B6"/>
    <mergeCell ref="B7:B8"/>
    <mergeCell ref="B10:B11"/>
    <mergeCell ref="C7:C8"/>
    <mergeCell ref="C10:C11"/>
    <mergeCell ref="C15:C16"/>
    <mergeCell ref="C36:C37"/>
    <mergeCell ref="C33:C34"/>
    <mergeCell ref="M18:M19"/>
    <mergeCell ref="M20:M21"/>
    <mergeCell ref="M25:M26"/>
    <mergeCell ref="K18:K19"/>
    <mergeCell ref="L18:L19"/>
    <mergeCell ref="C18:C19"/>
    <mergeCell ref="C20:C21"/>
    <mergeCell ref="C22:C23"/>
    <mergeCell ref="C31:C32"/>
    <mergeCell ref="B4:Q4"/>
    <mergeCell ref="O33:O34"/>
    <mergeCell ref="N15:N16"/>
    <mergeCell ref="D5:J5"/>
    <mergeCell ref="B15:B16"/>
    <mergeCell ref="L15:L16"/>
    <mergeCell ref="B18:B23"/>
    <mergeCell ref="B25:B34"/>
    <mergeCell ref="C25:C26"/>
    <mergeCell ref="C29:C30"/>
    <mergeCell ref="K33:K34"/>
    <mergeCell ref="N18:N19"/>
    <mergeCell ref="M33:M34"/>
    <mergeCell ref="N33:N34"/>
    <mergeCell ref="P20:P21"/>
    <mergeCell ref="L20:L21"/>
    <mergeCell ref="K20:K21"/>
    <mergeCell ref="O31:O32"/>
    <mergeCell ref="K27:K28"/>
    <mergeCell ref="L27:L28"/>
    <mergeCell ref="M27:M28"/>
    <mergeCell ref="N27:N28"/>
    <mergeCell ref="L33:L34"/>
    <mergeCell ref="Q5:Q6"/>
    <mergeCell ref="P31:P32"/>
    <mergeCell ref="L25:L26"/>
    <mergeCell ref="K31:K32"/>
    <mergeCell ref="L31:L32"/>
    <mergeCell ref="M31:M32"/>
    <mergeCell ref="N31:N32"/>
    <mergeCell ref="P25:P26"/>
    <mergeCell ref="N20:N21"/>
    <mergeCell ref="O22:O23"/>
    <mergeCell ref="P22:P23"/>
    <mergeCell ref="O20:O21"/>
    <mergeCell ref="O27:O28"/>
    <mergeCell ref="P27:P28"/>
  </mergeCells>
  <conditionalFormatting sqref="I7:I8">
    <cfRule type="cellIs" dxfId="13" priority="14" operator="lessThan">
      <formula>0</formula>
    </cfRule>
  </conditionalFormatting>
  <conditionalFormatting sqref="I10:I11">
    <cfRule type="cellIs" dxfId="12" priority="13" operator="lessThan">
      <formula>0</formula>
    </cfRule>
  </conditionalFormatting>
  <conditionalFormatting sqref="I13">
    <cfRule type="cellIs" dxfId="11" priority="12" operator="lessThan">
      <formula>0</formula>
    </cfRule>
  </conditionalFormatting>
  <conditionalFormatting sqref="I15:I16">
    <cfRule type="cellIs" dxfId="10" priority="11" operator="lessThan">
      <formula>0</formula>
    </cfRule>
  </conditionalFormatting>
  <conditionalFormatting sqref="I18:I23">
    <cfRule type="cellIs" dxfId="9" priority="10" operator="lessThan">
      <formula>0</formula>
    </cfRule>
  </conditionalFormatting>
  <conditionalFormatting sqref="I25:I34">
    <cfRule type="cellIs" dxfId="8" priority="9" operator="lessThan">
      <formula>0</formula>
    </cfRule>
  </conditionalFormatting>
  <conditionalFormatting sqref="I36:I37">
    <cfRule type="cellIs" dxfId="7" priority="8" operator="lessThan">
      <formula>0</formula>
    </cfRule>
  </conditionalFormatting>
  <conditionalFormatting sqref="I39:I40">
    <cfRule type="cellIs" dxfId="6" priority="7" operator="lessThan">
      <formula>0</formula>
    </cfRule>
  </conditionalFormatting>
  <conditionalFormatting sqref="I42:I43">
    <cfRule type="cellIs" dxfId="5" priority="6" operator="lessThan">
      <formula>0</formula>
    </cfRule>
  </conditionalFormatting>
  <conditionalFormatting sqref="I45:I46">
    <cfRule type="cellIs" dxfId="4" priority="5" operator="lessThan">
      <formula>0</formula>
    </cfRule>
  </conditionalFormatting>
  <conditionalFormatting sqref="I48:I49">
    <cfRule type="cellIs" dxfId="3" priority="4" operator="lessThan">
      <formula>0</formula>
    </cfRule>
  </conditionalFormatting>
  <conditionalFormatting sqref="I51:I66">
    <cfRule type="cellIs" dxfId="2" priority="3" operator="lessThan">
      <formula>0</formula>
    </cfRule>
  </conditionalFormatting>
  <conditionalFormatting sqref="I68">
    <cfRule type="cellIs" dxfId="1" priority="2" operator="lessThan">
      <formula>0</formula>
    </cfRule>
  </conditionalFormatting>
  <conditionalFormatting sqref="I70">
    <cfRule type="cellIs" dxfId="0" priority="1" operator="lessThan">
      <formula>0</formula>
    </cfRule>
  </conditionalFormatting>
  <pageMargins left="0.7" right="0.7" top="0.75" bottom="0.75" header="0.3" footer="0.3"/>
  <pageSetup paperSize="173" orientation="portrait" r:id="rId1"/>
  <ignoredErrors>
    <ignoredError sqref="G44 G17 G24 G33 M8:M9 M71 M69 M56 G47 G50 M11:M12 M14 M16 M17 M19 M21 M23 M24 M26 M30 M32 M34:M35 M37:M38 M40:M41 M44 M46:M47 M49:M50 M52 M54 M58 M60 M64 M66 M43" formula="1"/>
    <ignoredError sqref="P17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EG119"/>
  <sheetViews>
    <sheetView showGridLines="0" topLeftCell="C1" zoomScale="90" zoomScaleNormal="90" workbookViewId="0">
      <selection activeCell="F72" sqref="F72"/>
    </sheetView>
  </sheetViews>
  <sheetFormatPr baseColWidth="10" defaultColWidth="11.42578125" defaultRowHeight="15"/>
  <cols>
    <col min="1" max="1" width="6" style="33" customWidth="1"/>
    <col min="2" max="2" width="21.42578125" style="33" bestFit="1" customWidth="1"/>
    <col min="3" max="3" width="37.85546875" style="33" customWidth="1"/>
    <col min="4" max="4" width="8.7109375" style="31" customWidth="1"/>
    <col min="5" max="5" width="22.5703125" style="24" customWidth="1"/>
    <col min="6" max="6" width="18.5703125" style="24" customWidth="1"/>
    <col min="7" max="7" width="19.7109375" style="24" customWidth="1"/>
    <col min="8" max="8" width="14.140625" style="24" bestFit="1" customWidth="1"/>
    <col min="9" max="9" width="11.85546875" style="24" bestFit="1" customWidth="1"/>
    <col min="10" max="10" width="13.85546875" style="24" bestFit="1" customWidth="1"/>
    <col min="11" max="11" width="18.42578125" style="24" customWidth="1"/>
    <col min="12" max="12" width="16.42578125" style="24" customWidth="1"/>
    <col min="13" max="13" width="14.5703125" style="24" bestFit="1" customWidth="1"/>
    <col min="14" max="14" width="12.7109375" style="24" bestFit="1" customWidth="1"/>
    <col min="15" max="15" width="12" style="24" bestFit="1" customWidth="1"/>
    <col min="16" max="16" width="13.85546875" style="24" bestFit="1" customWidth="1"/>
    <col min="17" max="16384" width="11.42578125" style="33"/>
  </cols>
  <sheetData>
    <row r="1" spans="2:16" ht="7.5" customHeight="1" thickBot="1">
      <c r="F1" s="33"/>
      <c r="G1" s="33"/>
      <c r="J1" s="33"/>
      <c r="K1" s="33"/>
      <c r="L1" s="33"/>
      <c r="M1" s="33"/>
      <c r="N1" s="33"/>
      <c r="O1" s="33"/>
      <c r="P1" s="33"/>
    </row>
    <row r="2" spans="2:16" s="68" customFormat="1" ht="33" customHeight="1">
      <c r="B2" s="318" t="s">
        <v>252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20"/>
    </row>
    <row r="3" spans="2:16" ht="21.95" customHeight="1" thickBot="1">
      <c r="B3" s="333">
        <f>+Resumen!B3</f>
        <v>44096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2:16" ht="15.75" thickBot="1">
      <c r="B4" s="271" t="s">
        <v>250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2:16" ht="62.25" customHeight="1" thickBot="1">
      <c r="B5" s="135" t="s">
        <v>27</v>
      </c>
      <c r="C5" s="136" t="s">
        <v>28</v>
      </c>
      <c r="D5" s="137" t="s">
        <v>6</v>
      </c>
      <c r="E5" s="138" t="s">
        <v>4</v>
      </c>
      <c r="F5" s="138" t="s">
        <v>3</v>
      </c>
      <c r="G5" s="138" t="s">
        <v>2</v>
      </c>
      <c r="H5" s="138" t="s">
        <v>1</v>
      </c>
      <c r="I5" s="138" t="s">
        <v>0</v>
      </c>
      <c r="J5" s="139" t="s">
        <v>5</v>
      </c>
      <c r="K5" s="140" t="s">
        <v>4</v>
      </c>
      <c r="L5" s="141" t="s">
        <v>3</v>
      </c>
      <c r="M5" s="141" t="s">
        <v>2</v>
      </c>
      <c r="N5" s="141" t="s">
        <v>1</v>
      </c>
      <c r="O5" s="141" t="s">
        <v>0</v>
      </c>
      <c r="P5" s="142" t="s">
        <v>5</v>
      </c>
    </row>
    <row r="6" spans="2:16" ht="15" customHeight="1">
      <c r="B6" s="336" t="s">
        <v>13</v>
      </c>
      <c r="C6" s="329" t="s">
        <v>9</v>
      </c>
      <c r="D6" s="143" t="s">
        <v>7</v>
      </c>
      <c r="E6" s="108">
        <v>210.489192</v>
      </c>
      <c r="F6" s="59"/>
      <c r="G6" s="71">
        <f>E6+F6</f>
        <v>210.489192</v>
      </c>
      <c r="H6" s="107"/>
      <c r="I6" s="71">
        <f>G6-H6</f>
        <v>210.489192</v>
      </c>
      <c r="J6" s="67">
        <f>H6/G6</f>
        <v>0</v>
      </c>
      <c r="K6" s="327">
        <f>E6+E7</f>
        <v>214.78453200000001</v>
      </c>
      <c r="L6" s="326">
        <f>F6+F7</f>
        <v>0</v>
      </c>
      <c r="M6" s="326">
        <f>K6+L6</f>
        <v>214.78453200000001</v>
      </c>
      <c r="N6" s="326">
        <f>H6+H7</f>
        <v>0</v>
      </c>
      <c r="O6" s="323">
        <f>M6-N6</f>
        <v>214.78453200000001</v>
      </c>
      <c r="P6" s="324">
        <f>N6/M6</f>
        <v>0</v>
      </c>
    </row>
    <row r="7" spans="2:16" ht="15" customHeight="1" thickBot="1">
      <c r="B7" s="337"/>
      <c r="C7" s="322"/>
      <c r="D7" s="144" t="s">
        <v>8</v>
      </c>
      <c r="E7" s="44">
        <v>4.2953400000000004</v>
      </c>
      <c r="F7" s="61"/>
      <c r="G7" s="72">
        <f>E7+F7+I6</f>
        <v>214.78453200000001</v>
      </c>
      <c r="H7" s="167"/>
      <c r="I7" s="93">
        <f>G7-H7</f>
        <v>214.78453200000001</v>
      </c>
      <c r="J7" s="12">
        <f t="shared" ref="J7:J49" si="0">H7/G7</f>
        <v>0</v>
      </c>
      <c r="K7" s="321"/>
      <c r="L7" s="310"/>
      <c r="M7" s="310"/>
      <c r="N7" s="310"/>
      <c r="O7" s="311"/>
      <c r="P7" s="312"/>
    </row>
    <row r="8" spans="2:16" ht="15" customHeight="1">
      <c r="B8" s="337"/>
      <c r="C8" s="322" t="s">
        <v>10</v>
      </c>
      <c r="D8" s="143" t="s">
        <v>7</v>
      </c>
      <c r="E8" s="44">
        <v>2151.7813500000002</v>
      </c>
      <c r="F8" s="220">
        <f>192.729+656.281+187.43+1001.04339</f>
        <v>2037.4833900000001</v>
      </c>
      <c r="G8" s="93">
        <f>E8+F8</f>
        <v>4189.2647400000005</v>
      </c>
      <c r="H8" s="234">
        <v>3818.8290000000002</v>
      </c>
      <c r="I8" s="93">
        <f t="shared" ref="I8:I21" si="1">G8-H8</f>
        <v>370.43574000000035</v>
      </c>
      <c r="J8" s="12">
        <f t="shared" si="0"/>
        <v>0.9115749987192262</v>
      </c>
      <c r="K8" s="321">
        <f>E8+E9</f>
        <v>2195.6915975000002</v>
      </c>
      <c r="L8" s="310">
        <f>F8+F9</f>
        <v>2037.4833900000001</v>
      </c>
      <c r="M8" s="310">
        <f>K8+L8</f>
        <v>4233.1749875000005</v>
      </c>
      <c r="N8" s="310">
        <f>H8+H9</f>
        <v>3818.8290000000002</v>
      </c>
      <c r="O8" s="323">
        <f t="shared" ref="O8" si="2">M8-N8</f>
        <v>414.34598750000032</v>
      </c>
      <c r="P8" s="312">
        <f>N8/M8</f>
        <v>0.90211933389866739</v>
      </c>
    </row>
    <row r="9" spans="2:16" ht="15" customHeight="1" thickBot="1">
      <c r="B9" s="337"/>
      <c r="C9" s="322"/>
      <c r="D9" s="144" t="s">
        <v>8</v>
      </c>
      <c r="E9" s="44">
        <v>43.910247499999997</v>
      </c>
      <c r="F9" s="61"/>
      <c r="G9" s="72">
        <f>E9+F9+I8</f>
        <v>414.34598750000032</v>
      </c>
      <c r="H9" s="234"/>
      <c r="I9" s="93">
        <f t="shared" si="1"/>
        <v>414.34598750000032</v>
      </c>
      <c r="J9" s="12">
        <f t="shared" si="0"/>
        <v>0</v>
      </c>
      <c r="K9" s="321"/>
      <c r="L9" s="310"/>
      <c r="M9" s="310"/>
      <c r="N9" s="310"/>
      <c r="O9" s="311"/>
      <c r="P9" s="312"/>
    </row>
    <row r="10" spans="2:16" ht="15" customHeight="1">
      <c r="B10" s="337"/>
      <c r="C10" s="322" t="s">
        <v>11</v>
      </c>
      <c r="D10" s="143" t="s">
        <v>7</v>
      </c>
      <c r="E10" s="194">
        <v>14270.547699999999</v>
      </c>
      <c r="F10" s="220">
        <f>6328.471505+13807.57408+8054.41995</f>
        <v>28190.465534999999</v>
      </c>
      <c r="G10" s="197">
        <f>E10+F10</f>
        <v>42461.013234999999</v>
      </c>
      <c r="H10" s="234">
        <v>36657.067000000003</v>
      </c>
      <c r="I10" s="197">
        <f t="shared" si="1"/>
        <v>5803.9462349999958</v>
      </c>
      <c r="J10" s="198">
        <f t="shared" si="0"/>
        <v>0.86331116963982657</v>
      </c>
      <c r="K10" s="321">
        <f>E10+E11</f>
        <v>14561.759109999999</v>
      </c>
      <c r="L10" s="310">
        <f>F10+F11</f>
        <v>28190.465534999999</v>
      </c>
      <c r="M10" s="310">
        <f>K10+L10</f>
        <v>42752.224644999995</v>
      </c>
      <c r="N10" s="310">
        <f>H10+H11</f>
        <v>36657.067000000003</v>
      </c>
      <c r="O10" s="323">
        <f t="shared" ref="O10" si="3">M10-N10</f>
        <v>6095.157644999992</v>
      </c>
      <c r="P10" s="312">
        <f>N10/M10</f>
        <v>0.857430632075591</v>
      </c>
    </row>
    <row r="11" spans="2:16" ht="15" customHeight="1" thickBot="1">
      <c r="B11" s="337"/>
      <c r="C11" s="322"/>
      <c r="D11" s="144" t="s">
        <v>8</v>
      </c>
      <c r="E11" s="194">
        <v>291.21141</v>
      </c>
      <c r="F11" s="195"/>
      <c r="G11" s="194">
        <f>E11+F11+I10</f>
        <v>6095.1576449999957</v>
      </c>
      <c r="H11" s="195"/>
      <c r="I11" s="197">
        <f t="shared" si="1"/>
        <v>6095.1576449999957</v>
      </c>
      <c r="J11" s="198">
        <f t="shared" si="0"/>
        <v>0</v>
      </c>
      <c r="K11" s="321"/>
      <c r="L11" s="310"/>
      <c r="M11" s="310"/>
      <c r="N11" s="310"/>
      <c r="O11" s="311"/>
      <c r="P11" s="312"/>
    </row>
    <row r="12" spans="2:16" ht="15" customHeight="1">
      <c r="B12" s="337"/>
      <c r="C12" s="322" t="s">
        <v>177</v>
      </c>
      <c r="D12" s="143" t="s">
        <v>7</v>
      </c>
      <c r="E12" s="44">
        <v>30102.937900000001</v>
      </c>
      <c r="F12" s="220">
        <f>-6328.471505-13807.57408-8054.41995-2526.7</f>
        <v>-30717.165535</v>
      </c>
      <c r="G12" s="93">
        <f>E12+F12</f>
        <v>-614.22763499999928</v>
      </c>
      <c r="H12" s="167"/>
      <c r="I12" s="93">
        <f>G12-H12</f>
        <v>-614.22763499999928</v>
      </c>
      <c r="J12" s="12">
        <f>H12/G12</f>
        <v>0</v>
      </c>
      <c r="K12" s="321">
        <f>E12+E13</f>
        <v>30717.232403000002</v>
      </c>
      <c r="L12" s="310">
        <f>F12+F13</f>
        <v>-30717.165535</v>
      </c>
      <c r="M12" s="310">
        <f>K12+L12</f>
        <v>6.6868000001704786E-2</v>
      </c>
      <c r="N12" s="310">
        <f>H12+H13</f>
        <v>0</v>
      </c>
      <c r="O12" s="323">
        <f t="shared" ref="O12" si="4">M12-N12</f>
        <v>6.6868000001704786E-2</v>
      </c>
      <c r="P12" s="312">
        <v>0</v>
      </c>
    </row>
    <row r="13" spans="2:16" ht="15" customHeight="1" thickBot="1">
      <c r="B13" s="337"/>
      <c r="C13" s="322"/>
      <c r="D13" s="144" t="s">
        <v>8</v>
      </c>
      <c r="E13" s="44">
        <v>614.29450299999996</v>
      </c>
      <c r="F13" s="62"/>
      <c r="G13" s="72">
        <f>+I12+E13+F13</f>
        <v>6.6868000000681604E-2</v>
      </c>
      <c r="H13" s="167"/>
      <c r="I13" s="93">
        <f>G13-H13</f>
        <v>6.6868000000681604E-2</v>
      </c>
      <c r="J13" s="12">
        <v>0</v>
      </c>
      <c r="K13" s="321"/>
      <c r="L13" s="310"/>
      <c r="M13" s="310"/>
      <c r="N13" s="310"/>
      <c r="O13" s="311"/>
      <c r="P13" s="312"/>
    </row>
    <row r="14" spans="2:16" ht="15" customHeight="1">
      <c r="B14" s="337"/>
      <c r="C14" s="322" t="s">
        <v>178</v>
      </c>
      <c r="D14" s="143" t="s">
        <v>7</v>
      </c>
      <c r="E14" s="44">
        <v>1710.855</v>
      </c>
      <c r="F14" s="61">
        <v>-1745.7660000000001</v>
      </c>
      <c r="G14" s="93">
        <f>E14+F14</f>
        <v>-34.911000000000058</v>
      </c>
      <c r="H14" s="109"/>
      <c r="I14" s="93">
        <f t="shared" si="1"/>
        <v>-34.911000000000058</v>
      </c>
      <c r="J14" s="12">
        <f t="shared" si="0"/>
        <v>0</v>
      </c>
      <c r="K14" s="321">
        <f>E14+E15</f>
        <v>1745.7674999999999</v>
      </c>
      <c r="L14" s="310">
        <f>F14+F15</f>
        <v>-1745.7660000000001</v>
      </c>
      <c r="M14" s="310">
        <f>K14+L14</f>
        <v>1.4999999998508429E-3</v>
      </c>
      <c r="N14" s="310">
        <f>H14+H15</f>
        <v>0</v>
      </c>
      <c r="O14" s="323">
        <f t="shared" ref="O14" si="5">M14-N14</f>
        <v>1.4999999998508429E-3</v>
      </c>
      <c r="P14" s="312">
        <f>N14/M14</f>
        <v>0</v>
      </c>
    </row>
    <row r="15" spans="2:16" ht="15" customHeight="1" thickBot="1">
      <c r="B15" s="337"/>
      <c r="C15" s="322"/>
      <c r="D15" s="144" t="s">
        <v>8</v>
      </c>
      <c r="E15" s="44">
        <v>34.912500000000001</v>
      </c>
      <c r="F15" s="61"/>
      <c r="G15" s="72">
        <f>E15+F15+I14</f>
        <v>1.4999999999432134E-3</v>
      </c>
      <c r="H15" s="109"/>
      <c r="I15" s="93">
        <f t="shared" si="1"/>
        <v>1.4999999999432134E-3</v>
      </c>
      <c r="J15" s="12">
        <f t="shared" si="0"/>
        <v>0</v>
      </c>
      <c r="K15" s="321"/>
      <c r="L15" s="310"/>
      <c r="M15" s="310"/>
      <c r="N15" s="310"/>
      <c r="O15" s="311"/>
      <c r="P15" s="312"/>
    </row>
    <row r="16" spans="2:16" ht="15" customHeight="1">
      <c r="B16" s="337"/>
      <c r="C16" s="322" t="s">
        <v>117</v>
      </c>
      <c r="D16" s="143" t="s">
        <v>7</v>
      </c>
      <c r="E16" s="44">
        <v>1755.8775000000001</v>
      </c>
      <c r="F16" s="220">
        <f>-275.6475-275.6475-275.6475-367.53-597.236</f>
        <v>-1791.7084999999997</v>
      </c>
      <c r="G16" s="93">
        <f>E16+F16</f>
        <v>-35.830999999999676</v>
      </c>
      <c r="H16" s="109"/>
      <c r="I16" s="93">
        <f t="shared" si="1"/>
        <v>-35.830999999999676</v>
      </c>
      <c r="J16" s="12">
        <f t="shared" si="0"/>
        <v>0</v>
      </c>
      <c r="K16" s="321">
        <f>E16+E17</f>
        <v>1791.70875</v>
      </c>
      <c r="L16" s="310">
        <f>F16+F17</f>
        <v>-1791.7084999999997</v>
      </c>
      <c r="M16" s="310">
        <f>K16+L16</f>
        <v>2.5000000027830538E-4</v>
      </c>
      <c r="N16" s="310">
        <f>H16+H17</f>
        <v>0</v>
      </c>
      <c r="O16" s="323">
        <f t="shared" ref="O16" si="6">M16-N16</f>
        <v>2.5000000027830538E-4</v>
      </c>
      <c r="P16" s="312">
        <v>0</v>
      </c>
    </row>
    <row r="17" spans="1:137" ht="15" customHeight="1" thickBot="1">
      <c r="B17" s="337"/>
      <c r="C17" s="322"/>
      <c r="D17" s="144" t="s">
        <v>8</v>
      </c>
      <c r="E17" s="44">
        <v>35.831249999999997</v>
      </c>
      <c r="F17" s="61"/>
      <c r="G17" s="72">
        <f>+I16+E17+F17</f>
        <v>2.5000000032093794E-4</v>
      </c>
      <c r="H17" s="109"/>
      <c r="I17" s="93">
        <f t="shared" si="1"/>
        <v>2.5000000032093794E-4</v>
      </c>
      <c r="J17" s="12">
        <v>0</v>
      </c>
      <c r="K17" s="321"/>
      <c r="L17" s="310"/>
      <c r="M17" s="310"/>
      <c r="N17" s="310"/>
      <c r="O17" s="311"/>
      <c r="P17" s="312"/>
    </row>
    <row r="18" spans="1:137" ht="15" customHeight="1">
      <c r="B18" s="337"/>
      <c r="C18" s="322" t="s">
        <v>166</v>
      </c>
      <c r="D18" s="143" t="s">
        <v>7</v>
      </c>
      <c r="E18" s="44">
        <v>270.13499999999999</v>
      </c>
      <c r="F18" s="220">
        <f>275.6475+275.6475+275.6475+367.53-1470.12</f>
        <v>-275.64750000000004</v>
      </c>
      <c r="G18" s="93">
        <f>E18+F18</f>
        <v>-5.5125000000000455</v>
      </c>
      <c r="H18" s="109"/>
      <c r="I18" s="93">
        <f t="shared" si="1"/>
        <v>-5.5125000000000455</v>
      </c>
      <c r="J18" s="12">
        <f t="shared" si="0"/>
        <v>0</v>
      </c>
      <c r="K18" s="321">
        <f>E18+E19</f>
        <v>275.64749999999998</v>
      </c>
      <c r="L18" s="310">
        <f>F18+F19</f>
        <v>-275.64750000000004</v>
      </c>
      <c r="M18" s="310">
        <f>K18+L18</f>
        <v>0</v>
      </c>
      <c r="N18" s="310">
        <f>H18+H19</f>
        <v>0</v>
      </c>
      <c r="O18" s="323">
        <f t="shared" ref="O18" si="7">M18-N18</f>
        <v>0</v>
      </c>
      <c r="P18" s="312">
        <v>0</v>
      </c>
    </row>
    <row r="19" spans="1:137" ht="15" customHeight="1" thickBot="1">
      <c r="B19" s="337"/>
      <c r="C19" s="322"/>
      <c r="D19" s="144" t="s">
        <v>8</v>
      </c>
      <c r="E19" s="44">
        <v>5.5125000000000002</v>
      </c>
      <c r="F19" s="61"/>
      <c r="G19" s="72">
        <f>+I18+E19+F19</f>
        <v>-4.5297099404706387E-14</v>
      </c>
      <c r="H19" s="109"/>
      <c r="I19" s="93">
        <f t="shared" si="1"/>
        <v>-4.5297099404706387E-14</v>
      </c>
      <c r="J19" s="12">
        <v>0</v>
      </c>
      <c r="K19" s="321"/>
      <c r="L19" s="310"/>
      <c r="M19" s="310"/>
      <c r="N19" s="310"/>
      <c r="O19" s="311"/>
      <c r="P19" s="312"/>
    </row>
    <row r="20" spans="1:137" ht="15" customHeight="1">
      <c r="B20" s="337"/>
      <c r="C20" s="322" t="s">
        <v>21</v>
      </c>
      <c r="D20" s="143" t="s">
        <v>7</v>
      </c>
      <c r="E20" s="44">
        <v>9557.3762999999999</v>
      </c>
      <c r="F20" s="44">
        <f>-6904.051-2848.3575</f>
        <v>-9752.4085000000014</v>
      </c>
      <c r="G20" s="93">
        <f>E20+F20</f>
        <v>-195.03220000000147</v>
      </c>
      <c r="H20" s="109"/>
      <c r="I20" s="93">
        <f t="shared" si="1"/>
        <v>-195.03220000000147</v>
      </c>
      <c r="J20" s="12">
        <f t="shared" si="0"/>
        <v>0</v>
      </c>
      <c r="K20" s="321">
        <f>E20+E21</f>
        <v>9752.4085500000001</v>
      </c>
      <c r="L20" s="310">
        <f>F20+F21</f>
        <v>-9752.4085000000014</v>
      </c>
      <c r="M20" s="310">
        <f>K20+L20</f>
        <v>4.9999998736893758E-5</v>
      </c>
      <c r="N20" s="310">
        <f>H20+H21</f>
        <v>0</v>
      </c>
      <c r="O20" s="323">
        <f t="shared" ref="O20" si="8">M20-N20</f>
        <v>4.9999998736893758E-5</v>
      </c>
      <c r="P20" s="312">
        <v>0</v>
      </c>
    </row>
    <row r="21" spans="1:137" ht="15" customHeight="1" thickBot="1">
      <c r="B21" s="338"/>
      <c r="C21" s="322"/>
      <c r="D21" s="144" t="s">
        <v>8</v>
      </c>
      <c r="E21" s="44">
        <v>195.03225</v>
      </c>
      <c r="F21" s="61"/>
      <c r="G21" s="72">
        <f>+I20+E21+F21</f>
        <v>4.9999998537941792E-5</v>
      </c>
      <c r="H21" s="109"/>
      <c r="I21" s="93">
        <f t="shared" si="1"/>
        <v>4.9999998537941792E-5</v>
      </c>
      <c r="J21" s="12">
        <v>0</v>
      </c>
      <c r="K21" s="321"/>
      <c r="L21" s="310"/>
      <c r="M21" s="310"/>
      <c r="N21" s="310"/>
      <c r="O21" s="311"/>
      <c r="P21" s="312"/>
    </row>
    <row r="22" spans="1:137" s="169" customFormat="1" ht="15" customHeight="1" thickBot="1">
      <c r="A22" s="33"/>
      <c r="B22" s="33"/>
      <c r="C22" s="33"/>
      <c r="D22" s="33"/>
      <c r="E22" s="170">
        <f>SUM(E6:E21)</f>
        <v>61254.999942499991</v>
      </c>
      <c r="F22" s="170">
        <f>SUM(F6:F21)</f>
        <v>-14054.74711</v>
      </c>
      <c r="G22" s="33">
        <f>SUM(G6:G21)</f>
        <v>52699.609664499993</v>
      </c>
      <c r="H22" s="33">
        <f>SUM(H6:H21)</f>
        <v>40475.896000000001</v>
      </c>
      <c r="I22" s="33"/>
      <c r="J22" s="33"/>
      <c r="K22" s="33"/>
      <c r="L22" s="170">
        <f>SUM(L6:L21)</f>
        <v>-14054.74711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</row>
    <row r="23" spans="1:137" ht="15" customHeight="1">
      <c r="B23" s="336" t="s">
        <v>26</v>
      </c>
      <c r="C23" s="332" t="s">
        <v>22</v>
      </c>
      <c r="D23" s="143" t="s">
        <v>7</v>
      </c>
      <c r="E23" s="108">
        <v>1029.7409700000001</v>
      </c>
      <c r="F23" s="79">
        <v>-1083</v>
      </c>
      <c r="G23" s="71">
        <f>E23+F23</f>
        <v>-53.259029999999939</v>
      </c>
      <c r="H23" s="110"/>
      <c r="I23" s="71">
        <f>G23-H23</f>
        <v>-53.259029999999939</v>
      </c>
      <c r="J23" s="67">
        <f t="shared" si="0"/>
        <v>0</v>
      </c>
      <c r="K23" s="327">
        <f>E23+E24</f>
        <v>1083.9069718000001</v>
      </c>
      <c r="L23" s="326">
        <f>F23+F24</f>
        <v>-1083</v>
      </c>
      <c r="M23" s="326">
        <f>K23+L23</f>
        <v>0.90697180000006483</v>
      </c>
      <c r="N23" s="326">
        <f t="shared" ref="N23:N49" si="9">H23+H24</f>
        <v>0</v>
      </c>
      <c r="O23" s="323">
        <f>M23-N23</f>
        <v>0.90697180000006483</v>
      </c>
      <c r="P23" s="324">
        <f>N23/M23</f>
        <v>0</v>
      </c>
    </row>
    <row r="24" spans="1:137" ht="15" customHeight="1">
      <c r="B24" s="337"/>
      <c r="C24" s="328"/>
      <c r="D24" s="144" t="s">
        <v>8</v>
      </c>
      <c r="E24" s="44">
        <v>54.166001799999997</v>
      </c>
      <c r="F24" s="80"/>
      <c r="G24" s="72">
        <f>E24+F24+I23</f>
        <v>0.90697180000005773</v>
      </c>
      <c r="H24" s="109"/>
      <c r="I24" s="72">
        <f>G24-H24</f>
        <v>0.90697180000005773</v>
      </c>
      <c r="J24" s="81">
        <f t="shared" si="0"/>
        <v>0</v>
      </c>
      <c r="K24" s="321"/>
      <c r="L24" s="310"/>
      <c r="M24" s="310"/>
      <c r="N24" s="310"/>
      <c r="O24" s="311"/>
      <c r="P24" s="312"/>
    </row>
    <row r="25" spans="1:137" ht="15" customHeight="1">
      <c r="B25" s="337"/>
      <c r="C25" s="328" t="s">
        <v>9</v>
      </c>
      <c r="D25" s="144" t="s">
        <v>7</v>
      </c>
      <c r="E25" s="44">
        <v>3.1758666</v>
      </c>
      <c r="F25" s="80"/>
      <c r="G25" s="72">
        <f>E25+F25</f>
        <v>3.1758666</v>
      </c>
      <c r="H25" s="109"/>
      <c r="I25" s="72">
        <f t="shared" ref="I25:I51" si="10">G25-H25</f>
        <v>3.1758666</v>
      </c>
      <c r="J25" s="81">
        <f t="shared" si="0"/>
        <v>0</v>
      </c>
      <c r="K25" s="321">
        <f>E25+E26</f>
        <v>3.3429221999999998</v>
      </c>
      <c r="L25" s="310">
        <f>F25+F26</f>
        <v>0</v>
      </c>
      <c r="M25" s="310">
        <f>K25+L25</f>
        <v>3.3429221999999998</v>
      </c>
      <c r="N25" s="310">
        <f t="shared" si="9"/>
        <v>0</v>
      </c>
      <c r="O25" s="311">
        <f>M25-N25</f>
        <v>3.3429221999999998</v>
      </c>
      <c r="P25" s="312">
        <f>N25/M25</f>
        <v>0</v>
      </c>
    </row>
    <row r="26" spans="1:137" ht="15" customHeight="1">
      <c r="B26" s="337"/>
      <c r="C26" s="328"/>
      <c r="D26" s="144" t="s">
        <v>8</v>
      </c>
      <c r="E26" s="44">
        <v>0.1670556</v>
      </c>
      <c r="F26" s="80"/>
      <c r="G26" s="72">
        <f>E26+F26+I25</f>
        <v>3.3429221999999998</v>
      </c>
      <c r="H26" s="109"/>
      <c r="I26" s="72">
        <f t="shared" si="10"/>
        <v>3.3429221999999998</v>
      </c>
      <c r="J26" s="81">
        <f t="shared" si="0"/>
        <v>0</v>
      </c>
      <c r="K26" s="321"/>
      <c r="L26" s="310"/>
      <c r="M26" s="310"/>
      <c r="N26" s="310"/>
      <c r="O26" s="311"/>
      <c r="P26" s="312"/>
    </row>
    <row r="27" spans="1:137" ht="15" customHeight="1">
      <c r="B27" s="337"/>
      <c r="C27" s="328" t="s">
        <v>14</v>
      </c>
      <c r="D27" s="144" t="s">
        <v>7</v>
      </c>
      <c r="E27" s="44">
        <v>46.273579900000001</v>
      </c>
      <c r="F27" s="80"/>
      <c r="G27" s="72">
        <f>E27+F27</f>
        <v>46.273579900000001</v>
      </c>
      <c r="H27" s="109"/>
      <c r="I27" s="72">
        <f t="shared" si="10"/>
        <v>46.273579900000001</v>
      </c>
      <c r="J27" s="81">
        <f t="shared" si="0"/>
        <v>0</v>
      </c>
      <c r="K27" s="321">
        <f>E27+E28</f>
        <v>48.707643300000001</v>
      </c>
      <c r="L27" s="310">
        <f>F27+F28</f>
        <v>0</v>
      </c>
      <c r="M27" s="310">
        <f>K27+L27</f>
        <v>48.707643300000001</v>
      </c>
      <c r="N27" s="310">
        <f t="shared" si="9"/>
        <v>0</v>
      </c>
      <c r="O27" s="311">
        <f>M27-N27</f>
        <v>48.707643300000001</v>
      </c>
      <c r="P27" s="312">
        <f>N27/M27</f>
        <v>0</v>
      </c>
    </row>
    <row r="28" spans="1:137" ht="15" customHeight="1">
      <c r="B28" s="337"/>
      <c r="C28" s="328"/>
      <c r="D28" s="144" t="s">
        <v>8</v>
      </c>
      <c r="E28" s="44">
        <v>2.4340633999999999</v>
      </c>
      <c r="F28" s="80"/>
      <c r="G28" s="72">
        <f>E28+F28+I27</f>
        <v>48.707643300000001</v>
      </c>
      <c r="H28" s="109"/>
      <c r="I28" s="72">
        <f t="shared" si="10"/>
        <v>48.707643300000001</v>
      </c>
      <c r="J28" s="81">
        <f t="shared" si="0"/>
        <v>0</v>
      </c>
      <c r="K28" s="321"/>
      <c r="L28" s="310"/>
      <c r="M28" s="310"/>
      <c r="N28" s="310"/>
      <c r="O28" s="311"/>
      <c r="P28" s="312"/>
    </row>
    <row r="29" spans="1:137" ht="15" customHeight="1">
      <c r="B29" s="337"/>
      <c r="C29" s="328" t="s">
        <v>15</v>
      </c>
      <c r="D29" s="144" t="s">
        <v>7</v>
      </c>
      <c r="E29" s="44">
        <v>2803.0596500000001</v>
      </c>
      <c r="F29" s="80">
        <v>-2800</v>
      </c>
      <c r="G29" s="72">
        <f>E29+F29</f>
        <v>3.059650000000147</v>
      </c>
      <c r="H29" s="109"/>
      <c r="I29" s="72">
        <f t="shared" si="10"/>
        <v>3.059650000000147</v>
      </c>
      <c r="J29" s="81">
        <f t="shared" si="0"/>
        <v>0</v>
      </c>
      <c r="K29" s="321">
        <f>E29+E30</f>
        <v>2950.5050160000001</v>
      </c>
      <c r="L29" s="310">
        <f>F29+F30</f>
        <v>-2800</v>
      </c>
      <c r="M29" s="310">
        <f>K29+L29</f>
        <v>150.50501600000007</v>
      </c>
      <c r="N29" s="310">
        <f t="shared" si="9"/>
        <v>0</v>
      </c>
      <c r="O29" s="311">
        <f>M29-N29</f>
        <v>150.50501600000007</v>
      </c>
      <c r="P29" s="312">
        <f>N29/M29</f>
        <v>0</v>
      </c>
    </row>
    <row r="30" spans="1:137" ht="15" customHeight="1">
      <c r="B30" s="337"/>
      <c r="C30" s="328"/>
      <c r="D30" s="144" t="s">
        <v>8</v>
      </c>
      <c r="E30" s="44">
        <v>147.44536600000001</v>
      </c>
      <c r="F30" s="80"/>
      <c r="G30" s="72">
        <f>E30+F30+I29</f>
        <v>150.50501600000015</v>
      </c>
      <c r="H30" s="109"/>
      <c r="I30" s="72">
        <f t="shared" si="10"/>
        <v>150.50501600000015</v>
      </c>
      <c r="J30" s="81">
        <f t="shared" si="0"/>
        <v>0</v>
      </c>
      <c r="K30" s="321"/>
      <c r="L30" s="310"/>
      <c r="M30" s="310"/>
      <c r="N30" s="310"/>
      <c r="O30" s="311"/>
      <c r="P30" s="312"/>
    </row>
    <row r="31" spans="1:137" ht="15" customHeight="1">
      <c r="B31" s="337"/>
      <c r="C31" s="328" t="s">
        <v>10</v>
      </c>
      <c r="D31" s="144" t="s">
        <v>7</v>
      </c>
      <c r="E31" s="44">
        <v>183.09742900000001</v>
      </c>
      <c r="F31" s="80">
        <v>-192.72900000000001</v>
      </c>
      <c r="G31" s="72">
        <f>E31+F31</f>
        <v>-9.6315710000000081</v>
      </c>
      <c r="H31" s="109"/>
      <c r="I31" s="72">
        <f t="shared" si="10"/>
        <v>-9.6315710000000081</v>
      </c>
      <c r="J31" s="81">
        <f t="shared" si="0"/>
        <v>0</v>
      </c>
      <c r="K31" s="321">
        <f>E31+E32</f>
        <v>192.72864300000001</v>
      </c>
      <c r="L31" s="310">
        <f>F31+F32</f>
        <v>-192.72900000000001</v>
      </c>
      <c r="M31" s="310">
        <f>K31+L31</f>
        <v>-3.5700000000815635E-4</v>
      </c>
      <c r="N31" s="310">
        <f t="shared" si="9"/>
        <v>0</v>
      </c>
      <c r="O31" s="311">
        <f>M31-N31</f>
        <v>-3.5700000000815635E-4</v>
      </c>
      <c r="P31" s="312">
        <v>0</v>
      </c>
    </row>
    <row r="32" spans="1:137" ht="15" customHeight="1">
      <c r="B32" s="337"/>
      <c r="C32" s="328"/>
      <c r="D32" s="144" t="s">
        <v>8</v>
      </c>
      <c r="E32" s="44">
        <v>9.6312139999999999</v>
      </c>
      <c r="F32" s="80"/>
      <c r="G32" s="72">
        <f>E32+F32+I31</f>
        <v>-3.5700000000815635E-4</v>
      </c>
      <c r="H32" s="109"/>
      <c r="I32" s="72">
        <f t="shared" si="10"/>
        <v>-3.5700000000815635E-4</v>
      </c>
      <c r="J32" s="81">
        <v>0</v>
      </c>
      <c r="K32" s="321"/>
      <c r="L32" s="310"/>
      <c r="M32" s="310"/>
      <c r="N32" s="310"/>
      <c r="O32" s="311"/>
      <c r="P32" s="312"/>
    </row>
    <row r="33" spans="2:16" ht="15" customHeight="1">
      <c r="B33" s="337"/>
      <c r="C33" s="328" t="s">
        <v>16</v>
      </c>
      <c r="D33" s="144" t="s">
        <v>7</v>
      </c>
      <c r="E33" s="44">
        <v>586.90653399999997</v>
      </c>
      <c r="F33" s="44">
        <v>-617.78</v>
      </c>
      <c r="G33" s="72">
        <f>E33+F33</f>
        <v>-30.873466000000008</v>
      </c>
      <c r="H33" s="109"/>
      <c r="I33" s="72">
        <f t="shared" si="10"/>
        <v>-30.873466000000008</v>
      </c>
      <c r="J33" s="81">
        <f t="shared" si="0"/>
        <v>0</v>
      </c>
      <c r="K33" s="321">
        <f>E33+E34</f>
        <v>617.77874479999991</v>
      </c>
      <c r="L33" s="310">
        <f>F33+F34</f>
        <v>-617.78</v>
      </c>
      <c r="M33" s="310">
        <f>K33+L33</f>
        <v>-1.2552000000596308E-3</v>
      </c>
      <c r="N33" s="310">
        <f t="shared" si="9"/>
        <v>0</v>
      </c>
      <c r="O33" s="311">
        <f>M33-N33</f>
        <v>-1.2552000000596308E-3</v>
      </c>
      <c r="P33" s="312">
        <f>N33/M33</f>
        <v>0</v>
      </c>
    </row>
    <row r="34" spans="2:16" ht="15" customHeight="1">
      <c r="B34" s="337"/>
      <c r="C34" s="328"/>
      <c r="D34" s="144" t="s">
        <v>8</v>
      </c>
      <c r="E34" s="44">
        <v>30.872210800000001</v>
      </c>
      <c r="F34" s="80"/>
      <c r="G34" s="72">
        <f>E34+F34+I33</f>
        <v>-1.2552000000063401E-3</v>
      </c>
      <c r="H34" s="109"/>
      <c r="I34" s="72">
        <f t="shared" si="10"/>
        <v>-1.2552000000063401E-3</v>
      </c>
      <c r="J34" s="81">
        <f t="shared" si="0"/>
        <v>0</v>
      </c>
      <c r="K34" s="321"/>
      <c r="L34" s="310"/>
      <c r="M34" s="310"/>
      <c r="N34" s="310"/>
      <c r="O34" s="311"/>
      <c r="P34" s="312"/>
    </row>
    <row r="35" spans="2:16" ht="15" customHeight="1">
      <c r="B35" s="337"/>
      <c r="C35" s="328" t="s">
        <v>120</v>
      </c>
      <c r="D35" s="144" t="s">
        <v>7</v>
      </c>
      <c r="E35" s="44">
        <v>506.072992</v>
      </c>
      <c r="F35" s="80">
        <v>-474.52199999999999</v>
      </c>
      <c r="G35" s="72">
        <f>E35+F35</f>
        <v>31.550992000000008</v>
      </c>
      <c r="H35" s="109"/>
      <c r="I35" s="72">
        <f t="shared" si="10"/>
        <v>31.550992000000008</v>
      </c>
      <c r="J35" s="81">
        <f t="shared" si="0"/>
        <v>0</v>
      </c>
      <c r="K35" s="321">
        <f>E35+E36</f>
        <v>532.69323080000004</v>
      </c>
      <c r="L35" s="310">
        <f>F35+F36</f>
        <v>-474.52199999999999</v>
      </c>
      <c r="M35" s="310">
        <f>K35+L35</f>
        <v>58.171230800000046</v>
      </c>
      <c r="N35" s="310">
        <f t="shared" si="9"/>
        <v>0</v>
      </c>
      <c r="O35" s="311">
        <f>M35-N35</f>
        <v>58.171230800000046</v>
      </c>
      <c r="P35" s="312">
        <f>N35/M35</f>
        <v>0</v>
      </c>
    </row>
    <row r="36" spans="2:16" ht="15" customHeight="1">
      <c r="B36" s="337"/>
      <c r="C36" s="328"/>
      <c r="D36" s="144" t="s">
        <v>8</v>
      </c>
      <c r="E36" s="44">
        <v>26.620238799999999</v>
      </c>
      <c r="F36" s="80"/>
      <c r="G36" s="72">
        <f>E36+F36+I35</f>
        <v>58.171230800000004</v>
      </c>
      <c r="H36" s="109"/>
      <c r="I36" s="72">
        <f t="shared" si="10"/>
        <v>58.171230800000004</v>
      </c>
      <c r="J36" s="81">
        <f t="shared" si="0"/>
        <v>0</v>
      </c>
      <c r="K36" s="321"/>
      <c r="L36" s="310"/>
      <c r="M36" s="310"/>
      <c r="N36" s="310"/>
      <c r="O36" s="311"/>
      <c r="P36" s="312"/>
    </row>
    <row r="37" spans="2:16" ht="15" customHeight="1">
      <c r="B37" s="337"/>
      <c r="C37" s="328" t="s">
        <v>17</v>
      </c>
      <c r="D37" s="144" t="s">
        <v>7</v>
      </c>
      <c r="E37" s="44">
        <v>11.7357236</v>
      </c>
      <c r="F37" s="80"/>
      <c r="G37" s="72">
        <f>E37+F37</f>
        <v>11.7357236</v>
      </c>
      <c r="H37" s="109"/>
      <c r="I37" s="72">
        <f t="shared" si="10"/>
        <v>11.7357236</v>
      </c>
      <c r="J37" s="81">
        <f t="shared" si="0"/>
        <v>0</v>
      </c>
      <c r="K37" s="321">
        <f>E37+E38</f>
        <v>12.3530412</v>
      </c>
      <c r="L37" s="310">
        <f>F37+F38</f>
        <v>0</v>
      </c>
      <c r="M37" s="310">
        <f>K37+L37</f>
        <v>12.3530412</v>
      </c>
      <c r="N37" s="310">
        <f t="shared" si="9"/>
        <v>0</v>
      </c>
      <c r="O37" s="311">
        <f>M37-N37</f>
        <v>12.3530412</v>
      </c>
      <c r="P37" s="312">
        <f>N37/M37</f>
        <v>0</v>
      </c>
    </row>
    <row r="38" spans="2:16" ht="15" customHeight="1">
      <c r="B38" s="337"/>
      <c r="C38" s="328"/>
      <c r="D38" s="144" t="s">
        <v>8</v>
      </c>
      <c r="E38" s="44">
        <v>0.61731760000000002</v>
      </c>
      <c r="F38" s="80"/>
      <c r="G38" s="72">
        <f>E38+F38+I37</f>
        <v>12.3530412</v>
      </c>
      <c r="H38" s="109"/>
      <c r="I38" s="72">
        <f t="shared" si="10"/>
        <v>12.3530412</v>
      </c>
      <c r="J38" s="81">
        <f t="shared" si="0"/>
        <v>0</v>
      </c>
      <c r="K38" s="321"/>
      <c r="L38" s="310"/>
      <c r="M38" s="310"/>
      <c r="N38" s="310"/>
      <c r="O38" s="311"/>
      <c r="P38" s="312"/>
    </row>
    <row r="39" spans="2:16" ht="15" customHeight="1">
      <c r="B39" s="337"/>
      <c r="C39" s="328" t="s">
        <v>18</v>
      </c>
      <c r="D39" s="144" t="s">
        <v>7</v>
      </c>
      <c r="E39" s="44">
        <v>81.312500999999997</v>
      </c>
      <c r="F39" s="44">
        <f>5.55861043-91.019</f>
        <v>-85.460389570000004</v>
      </c>
      <c r="G39" s="72">
        <f>E39+F39</f>
        <v>-4.1478885700000063</v>
      </c>
      <c r="H39" s="109"/>
      <c r="I39" s="72">
        <f t="shared" si="10"/>
        <v>-4.1478885700000063</v>
      </c>
      <c r="J39" s="81">
        <f t="shared" si="0"/>
        <v>0</v>
      </c>
      <c r="K39" s="321">
        <f>E39+E40</f>
        <v>85.589666999999992</v>
      </c>
      <c r="L39" s="310">
        <f>F39+F40</f>
        <v>-85.460389570000004</v>
      </c>
      <c r="M39" s="310">
        <f>K39+L39</f>
        <v>0.1292774299999877</v>
      </c>
      <c r="N39" s="310">
        <f t="shared" si="9"/>
        <v>0</v>
      </c>
      <c r="O39" s="311">
        <f>M39-N39</f>
        <v>0.1292774299999877</v>
      </c>
      <c r="P39" s="312">
        <f>N39/M39</f>
        <v>0</v>
      </c>
    </row>
    <row r="40" spans="2:16" ht="15" customHeight="1">
      <c r="B40" s="337"/>
      <c r="C40" s="328"/>
      <c r="D40" s="144" t="s">
        <v>8</v>
      </c>
      <c r="E40" s="44">
        <v>4.2771660000000002</v>
      </c>
      <c r="F40" s="44"/>
      <c r="G40" s="72">
        <f>E40+F40+I39</f>
        <v>0.12927742999999392</v>
      </c>
      <c r="H40" s="109"/>
      <c r="I40" s="72">
        <f t="shared" si="10"/>
        <v>0.12927742999999392</v>
      </c>
      <c r="J40" s="81">
        <f t="shared" si="0"/>
        <v>0</v>
      </c>
      <c r="K40" s="321"/>
      <c r="L40" s="310"/>
      <c r="M40" s="310"/>
      <c r="N40" s="310"/>
      <c r="O40" s="311"/>
      <c r="P40" s="312"/>
    </row>
    <row r="41" spans="2:16" ht="15" customHeight="1">
      <c r="B41" s="337"/>
      <c r="C41" s="328" t="s">
        <v>19</v>
      </c>
      <c r="D41" s="144" t="s">
        <v>7</v>
      </c>
      <c r="E41" s="44">
        <v>5.2808299999999999</v>
      </c>
      <c r="F41" s="44">
        <v>-5.5586104299999999</v>
      </c>
      <c r="G41" s="72">
        <f>E41+F41</f>
        <v>-0.27778042999999997</v>
      </c>
      <c r="H41" s="109"/>
      <c r="I41" s="72">
        <f t="shared" si="10"/>
        <v>-0.27778042999999997</v>
      </c>
      <c r="J41" s="81">
        <f t="shared" si="0"/>
        <v>0</v>
      </c>
      <c r="K41" s="321">
        <f>E41+E42</f>
        <v>5.5586099999999998</v>
      </c>
      <c r="L41" s="310">
        <f>F41+F42</f>
        <v>-5.5586104299999999</v>
      </c>
      <c r="M41" s="310">
        <f>K41+L41</f>
        <v>-4.3000000005122274E-7</v>
      </c>
      <c r="N41" s="310">
        <f t="shared" si="9"/>
        <v>0</v>
      </c>
      <c r="O41" s="311">
        <f>M41-N41</f>
        <v>-4.3000000005122274E-7</v>
      </c>
      <c r="P41" s="312">
        <f>N41/M41</f>
        <v>0</v>
      </c>
    </row>
    <row r="42" spans="2:16" ht="15" customHeight="1">
      <c r="B42" s="337"/>
      <c r="C42" s="328"/>
      <c r="D42" s="144" t="s">
        <v>8</v>
      </c>
      <c r="E42" s="44">
        <v>0.27778000000000003</v>
      </c>
      <c r="F42" s="80"/>
      <c r="G42" s="72">
        <f>E42+F42+I41</f>
        <v>-4.2999999994020044E-7</v>
      </c>
      <c r="H42" s="109"/>
      <c r="I42" s="72">
        <f t="shared" si="10"/>
        <v>-4.2999999994020044E-7</v>
      </c>
      <c r="J42" s="81">
        <f t="shared" si="0"/>
        <v>0</v>
      </c>
      <c r="K42" s="321"/>
      <c r="L42" s="310"/>
      <c r="M42" s="310"/>
      <c r="N42" s="310"/>
      <c r="O42" s="311"/>
      <c r="P42" s="312"/>
    </row>
    <row r="43" spans="2:16" ht="15" customHeight="1">
      <c r="B43" s="337"/>
      <c r="C43" s="328" t="s">
        <v>20</v>
      </c>
      <c r="D43" s="144" t="s">
        <v>7</v>
      </c>
      <c r="E43" s="44">
        <v>5631.6994000000004</v>
      </c>
      <c r="F43" s="80">
        <f>-2000+77.562+2000-1680</f>
        <v>-1602.4380000000001</v>
      </c>
      <c r="G43" s="72">
        <f>E43+F43</f>
        <v>4029.2614000000003</v>
      </c>
      <c r="H43" s="234">
        <v>4219.9859999999999</v>
      </c>
      <c r="I43" s="72">
        <f t="shared" si="10"/>
        <v>-190.72459999999955</v>
      </c>
      <c r="J43" s="81">
        <f t="shared" si="0"/>
        <v>1.0473348787944112</v>
      </c>
      <c r="K43" s="321">
        <f>E43+E44</f>
        <v>5927.9356850000004</v>
      </c>
      <c r="L43" s="310">
        <f>F43+F44</f>
        <v>-1602.4380000000001</v>
      </c>
      <c r="M43" s="310">
        <f>K43+L43</f>
        <v>4325.4976850000003</v>
      </c>
      <c r="N43" s="310">
        <f t="shared" si="9"/>
        <v>4219.9859999999999</v>
      </c>
      <c r="O43" s="311">
        <f>M43-N43</f>
        <v>105.5116850000004</v>
      </c>
      <c r="P43" s="312">
        <f>N43/M43</f>
        <v>0.97560704162069145</v>
      </c>
    </row>
    <row r="44" spans="2:16" ht="15" customHeight="1">
      <c r="B44" s="337"/>
      <c r="C44" s="328"/>
      <c r="D44" s="144" t="s">
        <v>8</v>
      </c>
      <c r="E44" s="44">
        <v>296.23628500000001</v>
      </c>
      <c r="F44" s="80"/>
      <c r="G44" s="72">
        <f>E44+F44+I43</f>
        <v>105.51168500000045</v>
      </c>
      <c r="H44" s="109"/>
      <c r="I44" s="72">
        <f t="shared" si="10"/>
        <v>105.51168500000045</v>
      </c>
      <c r="J44" s="81">
        <f t="shared" si="0"/>
        <v>0</v>
      </c>
      <c r="K44" s="321"/>
      <c r="L44" s="310"/>
      <c r="M44" s="310"/>
      <c r="N44" s="310"/>
      <c r="O44" s="311"/>
      <c r="P44" s="312"/>
    </row>
    <row r="45" spans="2:16" ht="15" customHeight="1">
      <c r="B45" s="337"/>
      <c r="C45" s="328" t="s">
        <v>21</v>
      </c>
      <c r="D45" s="144" t="s">
        <v>7</v>
      </c>
      <c r="E45" s="44">
        <v>729.47175000000004</v>
      </c>
      <c r="F45" s="220">
        <f>-700.0018-47.8302</f>
        <v>-747.83199999999999</v>
      </c>
      <c r="G45" s="72">
        <f>E45+F45</f>
        <v>-18.360249999999951</v>
      </c>
      <c r="H45" s="109"/>
      <c r="I45" s="72">
        <f t="shared" si="10"/>
        <v>-18.360249999999951</v>
      </c>
      <c r="J45" s="81">
        <f t="shared" si="0"/>
        <v>0</v>
      </c>
      <c r="K45" s="321">
        <f>E45+E46</f>
        <v>767.8431164000001</v>
      </c>
      <c r="L45" s="310">
        <f>F45+F46</f>
        <v>-747.83199999999999</v>
      </c>
      <c r="M45" s="310">
        <f>K45+L45</f>
        <v>20.011116400000105</v>
      </c>
      <c r="N45" s="310">
        <f t="shared" si="9"/>
        <v>0</v>
      </c>
      <c r="O45" s="311">
        <f>M45-N45</f>
        <v>20.011116400000105</v>
      </c>
      <c r="P45" s="312">
        <f>N45/M45</f>
        <v>0</v>
      </c>
    </row>
    <row r="46" spans="2:16" ht="15" customHeight="1">
      <c r="B46" s="337"/>
      <c r="C46" s="328"/>
      <c r="D46" s="144" t="s">
        <v>8</v>
      </c>
      <c r="E46" s="44">
        <v>38.371366399999999</v>
      </c>
      <c r="F46" s="80"/>
      <c r="G46" s="72">
        <f>E46+F46+I45</f>
        <v>20.011116400000049</v>
      </c>
      <c r="H46" s="109"/>
      <c r="I46" s="72">
        <f t="shared" si="10"/>
        <v>20.011116400000049</v>
      </c>
      <c r="J46" s="81">
        <f t="shared" si="0"/>
        <v>0</v>
      </c>
      <c r="K46" s="321"/>
      <c r="L46" s="310"/>
      <c r="M46" s="310"/>
      <c r="N46" s="310"/>
      <c r="O46" s="311"/>
      <c r="P46" s="312"/>
    </row>
    <row r="47" spans="2:16" ht="15" customHeight="1">
      <c r="B47" s="337"/>
      <c r="C47" s="343" t="s">
        <v>166</v>
      </c>
      <c r="D47" s="144" t="s">
        <v>7</v>
      </c>
      <c r="E47" s="44">
        <v>589.48800000000006</v>
      </c>
      <c r="F47" s="186">
        <v>-620.49604799999997</v>
      </c>
      <c r="G47" s="72">
        <f>+E47+F47</f>
        <v>-31.008047999999917</v>
      </c>
      <c r="H47" s="172"/>
      <c r="I47" s="72">
        <f>+G47-H47</f>
        <v>-31.008047999999917</v>
      </c>
      <c r="J47" s="81">
        <f>+H47/G47</f>
        <v>0</v>
      </c>
      <c r="K47" s="321">
        <f>E47+E48</f>
        <v>620.49600000000009</v>
      </c>
      <c r="L47" s="310">
        <f>F47+F48</f>
        <v>-620.49604799999997</v>
      </c>
      <c r="M47" s="310">
        <f>K47+L47</f>
        <v>-4.799999987881165E-5</v>
      </c>
      <c r="N47" s="310">
        <f t="shared" ref="N47" si="11">H47+H48</f>
        <v>0</v>
      </c>
      <c r="O47" s="311">
        <f>M47-N47</f>
        <v>-4.799999987881165E-5</v>
      </c>
      <c r="P47" s="312">
        <f>N47/M47</f>
        <v>0</v>
      </c>
    </row>
    <row r="48" spans="2:16" ht="15" customHeight="1">
      <c r="B48" s="337"/>
      <c r="C48" s="344"/>
      <c r="D48" s="144" t="s">
        <v>8</v>
      </c>
      <c r="E48" s="44">
        <v>31.007999999999999</v>
      </c>
      <c r="F48" s="172"/>
      <c r="G48" s="72">
        <f>+I47+E48+F48</f>
        <v>-4.79999999178915E-5</v>
      </c>
      <c r="H48" s="172"/>
      <c r="I48" s="72">
        <f>+G48-H48</f>
        <v>-4.79999999178915E-5</v>
      </c>
      <c r="J48" s="81">
        <f>+H48/G48</f>
        <v>0</v>
      </c>
      <c r="K48" s="321"/>
      <c r="L48" s="310"/>
      <c r="M48" s="310"/>
      <c r="N48" s="310"/>
      <c r="O48" s="311"/>
      <c r="P48" s="312"/>
    </row>
    <row r="49" spans="2:16" ht="15" customHeight="1">
      <c r="B49" s="337"/>
      <c r="C49" s="328" t="s">
        <v>87</v>
      </c>
      <c r="D49" s="144" t="s">
        <v>7</v>
      </c>
      <c r="E49" s="44">
        <v>73.686000000000007</v>
      </c>
      <c r="F49" s="80">
        <v>-77.561999999999998</v>
      </c>
      <c r="G49" s="72">
        <f>E49+F49</f>
        <v>-3.8759999999999906</v>
      </c>
      <c r="H49" s="109"/>
      <c r="I49" s="72">
        <f t="shared" si="10"/>
        <v>-3.8759999999999906</v>
      </c>
      <c r="J49" s="81">
        <f t="shared" si="0"/>
        <v>0</v>
      </c>
      <c r="K49" s="321">
        <f>E49+E50</f>
        <v>77.562000000000012</v>
      </c>
      <c r="L49" s="310">
        <f>F49+F50</f>
        <v>-77.561999999999998</v>
      </c>
      <c r="M49" s="310">
        <f>K49+L49</f>
        <v>0</v>
      </c>
      <c r="N49" s="310">
        <f t="shared" si="9"/>
        <v>0</v>
      </c>
      <c r="O49" s="311">
        <f>M49-N49</f>
        <v>0</v>
      </c>
      <c r="P49" s="312">
        <v>0</v>
      </c>
    </row>
    <row r="50" spans="2:16" ht="15" customHeight="1" thickBot="1">
      <c r="B50" s="338"/>
      <c r="C50" s="330"/>
      <c r="D50" s="144" t="s">
        <v>8</v>
      </c>
      <c r="E50" s="44">
        <v>3.8759999999999999</v>
      </c>
      <c r="F50" s="80"/>
      <c r="G50" s="72">
        <f>E50+F50+I49</f>
        <v>9.3258734068513149E-15</v>
      </c>
      <c r="H50" s="109"/>
      <c r="I50" s="72">
        <f t="shared" si="10"/>
        <v>9.3258734068513149E-15</v>
      </c>
      <c r="J50" s="81">
        <f t="shared" ref="J50:J87" si="12">H50/G50</f>
        <v>0</v>
      </c>
      <c r="K50" s="321"/>
      <c r="L50" s="310"/>
      <c r="M50" s="310"/>
      <c r="N50" s="310"/>
      <c r="O50" s="311"/>
      <c r="P50" s="312"/>
    </row>
    <row r="51" spans="2:16" ht="15" customHeight="1" thickBot="1">
      <c r="D51" s="33"/>
      <c r="E51" s="171">
        <f>SUM(E23:E50)</f>
        <v>12927.001291500002</v>
      </c>
      <c r="F51" s="170">
        <f>SUM(F23:F50)</f>
        <v>-8307.3780480000005</v>
      </c>
      <c r="G51" s="33">
        <f>SUM(G23:G50)</f>
        <v>4373.2604216000018</v>
      </c>
      <c r="H51" s="33">
        <f>SUM(H23:H50)</f>
        <v>4219.9859999999999</v>
      </c>
      <c r="I51" s="33">
        <f t="shared" si="10"/>
        <v>153.27442160000192</v>
      </c>
      <c r="J51" s="33">
        <v>0</v>
      </c>
      <c r="K51" s="33"/>
      <c r="L51" s="170">
        <f>SUM(L23:L50)</f>
        <v>-8307.3780480000005</v>
      </c>
      <c r="M51" s="33"/>
      <c r="N51" s="33"/>
      <c r="O51" s="33"/>
      <c r="P51" s="33"/>
    </row>
    <row r="52" spans="2:16" ht="15" customHeight="1">
      <c r="B52" s="336" t="s">
        <v>29</v>
      </c>
      <c r="C52" s="329" t="s">
        <v>22</v>
      </c>
      <c r="D52" s="143" t="s">
        <v>7</v>
      </c>
      <c r="E52" s="108">
        <v>32606.815900000001</v>
      </c>
      <c r="F52" s="219">
        <f>821.71+540+900+3380+61+1083+3770</f>
        <v>10555.71</v>
      </c>
      <c r="G52" s="71">
        <f>E52+F52</f>
        <v>43162.525900000001</v>
      </c>
      <c r="H52" s="232">
        <v>43802.843999999997</v>
      </c>
      <c r="I52" s="71">
        <f t="shared" ref="I52:I65" si="13">G52-H52</f>
        <v>-640.31809999999678</v>
      </c>
      <c r="J52" s="67">
        <f t="shared" si="12"/>
        <v>1.0148350469915386</v>
      </c>
      <c r="K52" s="327">
        <f>E52+E53</f>
        <v>33272.266020000003</v>
      </c>
      <c r="L52" s="326">
        <f>F52+F53</f>
        <v>10555.71</v>
      </c>
      <c r="M52" s="326">
        <f>K52+L52</f>
        <v>43827.976020000002</v>
      </c>
      <c r="N52" s="326">
        <f>H52+H53</f>
        <v>43802.843999999997</v>
      </c>
      <c r="O52" s="323">
        <f>M52-N52</f>
        <v>25.132020000004559</v>
      </c>
      <c r="P52" s="324">
        <f>N52/M52</f>
        <v>0.99942657584761529</v>
      </c>
    </row>
    <row r="53" spans="2:16" ht="15" customHeight="1">
      <c r="B53" s="337"/>
      <c r="C53" s="322"/>
      <c r="D53" s="144" t="s">
        <v>8</v>
      </c>
      <c r="E53" s="44">
        <v>665.45011999999997</v>
      </c>
      <c r="F53" s="80"/>
      <c r="G53" s="72">
        <f>E53+F53+I52</f>
        <v>25.132020000003195</v>
      </c>
      <c r="H53" s="234"/>
      <c r="I53" s="72">
        <f t="shared" si="13"/>
        <v>25.132020000003195</v>
      </c>
      <c r="J53" s="81">
        <f t="shared" si="12"/>
        <v>0</v>
      </c>
      <c r="K53" s="321"/>
      <c r="L53" s="310"/>
      <c r="M53" s="310"/>
      <c r="N53" s="310"/>
      <c r="O53" s="311"/>
      <c r="P53" s="312"/>
    </row>
    <row r="54" spans="2:16" ht="15" customHeight="1">
      <c r="B54" s="337"/>
      <c r="C54" s="322" t="s">
        <v>15</v>
      </c>
      <c r="D54" s="144" t="s">
        <v>7</v>
      </c>
      <c r="E54" s="44">
        <v>56222.825599999996</v>
      </c>
      <c r="F54" s="44">
        <f>2800+3500</f>
        <v>6300</v>
      </c>
      <c r="G54" s="72">
        <f>E54+F54</f>
        <v>62522.825599999996</v>
      </c>
      <c r="H54" s="234">
        <v>63477.264000000003</v>
      </c>
      <c r="I54" s="72">
        <f t="shared" si="13"/>
        <v>-954.43840000000637</v>
      </c>
      <c r="J54" s="81">
        <f t="shared" si="12"/>
        <v>1.015265439315014</v>
      </c>
      <c r="K54" s="321">
        <f>E54+E55</f>
        <v>57370.238649999999</v>
      </c>
      <c r="L54" s="310">
        <f>F54+F55</f>
        <v>6300</v>
      </c>
      <c r="M54" s="310">
        <f>K54+L54</f>
        <v>63670.238649999999</v>
      </c>
      <c r="N54" s="310">
        <f>H54+H55</f>
        <v>63477.264000000003</v>
      </c>
      <c r="O54" s="311">
        <f>M54-N54</f>
        <v>192.97464999999647</v>
      </c>
      <c r="P54" s="312">
        <f>N54/M54</f>
        <v>0.99696915459888891</v>
      </c>
    </row>
    <row r="55" spans="2:16" ht="15" customHeight="1">
      <c r="B55" s="337"/>
      <c r="C55" s="322"/>
      <c r="D55" s="144" t="s">
        <v>8</v>
      </c>
      <c r="E55" s="44">
        <v>1147.4130500000001</v>
      </c>
      <c r="F55" s="80"/>
      <c r="G55" s="72">
        <f>E55+F55+I54</f>
        <v>192.97464999999374</v>
      </c>
      <c r="H55" s="234"/>
      <c r="I55" s="72">
        <f t="shared" si="13"/>
        <v>192.97464999999374</v>
      </c>
      <c r="J55" s="81">
        <f t="shared" si="12"/>
        <v>0</v>
      </c>
      <c r="K55" s="321"/>
      <c r="L55" s="310"/>
      <c r="M55" s="310"/>
      <c r="N55" s="310"/>
      <c r="O55" s="311"/>
      <c r="P55" s="312"/>
    </row>
    <row r="56" spans="2:16" ht="15" customHeight="1">
      <c r="B56" s="337"/>
      <c r="C56" s="322" t="s">
        <v>21</v>
      </c>
      <c r="D56" s="144" t="s">
        <v>7</v>
      </c>
      <c r="E56" s="44">
        <v>46341.759899999997</v>
      </c>
      <c r="F56" s="220">
        <f>6904.051+700.0018+5068.172+2848.3575-1001.045881+47.8302+161.034</f>
        <v>14728.400619</v>
      </c>
      <c r="G56" s="72">
        <f>E56+F56</f>
        <v>61070.160518999997</v>
      </c>
      <c r="H56" s="233">
        <v>61455.044999999998</v>
      </c>
      <c r="I56" s="72">
        <f t="shared" si="13"/>
        <v>-384.88448100000096</v>
      </c>
      <c r="J56" s="81">
        <f t="shared" si="12"/>
        <v>1.0063023328861278</v>
      </c>
      <c r="K56" s="321">
        <f>E56+E57</f>
        <v>47287.517061999999</v>
      </c>
      <c r="L56" s="310">
        <f>F56+F57</f>
        <v>14728.400619</v>
      </c>
      <c r="M56" s="310">
        <f>K56+L56</f>
        <v>62015.917680999999</v>
      </c>
      <c r="N56" s="310">
        <f>H56+H57</f>
        <v>61455.044999999998</v>
      </c>
      <c r="O56" s="311">
        <f>M56-N56</f>
        <v>560.87268100000074</v>
      </c>
      <c r="P56" s="312">
        <f>N56/M56</f>
        <v>0.9909559883660024</v>
      </c>
    </row>
    <row r="57" spans="2:16" ht="15" customHeight="1">
      <c r="B57" s="337"/>
      <c r="C57" s="322"/>
      <c r="D57" s="144" t="s">
        <v>8</v>
      </c>
      <c r="E57" s="44">
        <v>945.75716199999999</v>
      </c>
      <c r="F57" s="80"/>
      <c r="G57" s="72">
        <f>E57+F57+I56</f>
        <v>560.87268099999903</v>
      </c>
      <c r="H57" s="234"/>
      <c r="I57" s="72">
        <f>G57-H57</f>
        <v>560.87268099999903</v>
      </c>
      <c r="J57" s="81">
        <f t="shared" si="12"/>
        <v>0</v>
      </c>
      <c r="K57" s="321"/>
      <c r="L57" s="310"/>
      <c r="M57" s="310"/>
      <c r="N57" s="310"/>
      <c r="O57" s="311"/>
      <c r="P57" s="312"/>
    </row>
    <row r="58" spans="2:16" ht="15" customHeight="1">
      <c r="B58" s="337"/>
      <c r="C58" s="322" t="s">
        <v>10</v>
      </c>
      <c r="D58" s="144" t="s">
        <v>7</v>
      </c>
      <c r="E58" s="44">
        <v>643.15545799999995</v>
      </c>
      <c r="F58" s="220">
        <f>-656.281+1001.045881-1001.04339</f>
        <v>-656.27850899999999</v>
      </c>
      <c r="G58" s="72">
        <f>E58+F58</f>
        <v>-13.123051000000032</v>
      </c>
      <c r="H58" s="234"/>
      <c r="I58" s="44">
        <f t="shared" si="13"/>
        <v>-13.123051000000032</v>
      </c>
      <c r="J58" s="81">
        <f t="shared" si="12"/>
        <v>0</v>
      </c>
      <c r="K58" s="321">
        <f>E58+E59</f>
        <v>656.2811762</v>
      </c>
      <c r="L58" s="310">
        <f>F58+F59</f>
        <v>-656.27850899999999</v>
      </c>
      <c r="M58" s="310">
        <f>K58+L58</f>
        <v>2.6672000000189655E-3</v>
      </c>
      <c r="N58" s="310">
        <f>H58+H59</f>
        <v>0</v>
      </c>
      <c r="O58" s="311">
        <f>M58-N58</f>
        <v>2.6672000000189655E-3</v>
      </c>
      <c r="P58" s="312">
        <f>N58/M58</f>
        <v>0</v>
      </c>
    </row>
    <row r="59" spans="2:16" ht="15" customHeight="1">
      <c r="B59" s="337"/>
      <c r="C59" s="322"/>
      <c r="D59" s="144" t="s">
        <v>8</v>
      </c>
      <c r="E59" s="44">
        <v>13.1257182</v>
      </c>
      <c r="F59" s="80"/>
      <c r="G59" s="72">
        <f>E59+F59+I58</f>
        <v>2.6671999999674512E-3</v>
      </c>
      <c r="H59" s="234"/>
      <c r="I59" s="44">
        <f>G59-H59</f>
        <v>2.6671999999674512E-3</v>
      </c>
      <c r="J59" s="81">
        <f t="shared" si="12"/>
        <v>0</v>
      </c>
      <c r="K59" s="321"/>
      <c r="L59" s="310"/>
      <c r="M59" s="310"/>
      <c r="N59" s="310"/>
      <c r="O59" s="311"/>
      <c r="P59" s="312"/>
    </row>
    <row r="60" spans="2:16" ht="15" customHeight="1">
      <c r="B60" s="337"/>
      <c r="C60" s="322" t="s">
        <v>23</v>
      </c>
      <c r="D60" s="144" t="s">
        <v>7</v>
      </c>
      <c r="E60" s="44">
        <v>14693.1415</v>
      </c>
      <c r="F60" s="80">
        <f>474.522+1198.896+1200.278</f>
        <v>2873.6959999999999</v>
      </c>
      <c r="G60" s="72">
        <f>E60+F60</f>
        <v>17566.837500000001</v>
      </c>
      <c r="H60" s="234">
        <v>17185.228999999999</v>
      </c>
      <c r="I60" s="72">
        <f t="shared" si="13"/>
        <v>381.6085000000021</v>
      </c>
      <c r="J60" s="81">
        <f t="shared" si="12"/>
        <v>0.97827676723257662</v>
      </c>
      <c r="K60" s="321">
        <f>E60+E61</f>
        <v>14993.003736999999</v>
      </c>
      <c r="L60" s="310">
        <f>F60+F61</f>
        <v>2873.6959999999999</v>
      </c>
      <c r="M60" s="310">
        <f>K60+L60</f>
        <v>17866.699736999999</v>
      </c>
      <c r="N60" s="310">
        <f>H60+H61</f>
        <v>17185.228999999999</v>
      </c>
      <c r="O60" s="311">
        <f>M60-N60</f>
        <v>681.47073699999964</v>
      </c>
      <c r="P60" s="312">
        <f>N60/M60</f>
        <v>0.96185805173695582</v>
      </c>
    </row>
    <row r="61" spans="2:16" ht="15" customHeight="1">
      <c r="B61" s="337"/>
      <c r="C61" s="322"/>
      <c r="D61" s="144" t="s">
        <v>8</v>
      </c>
      <c r="E61" s="44">
        <v>299.86223699999999</v>
      </c>
      <c r="F61" s="80"/>
      <c r="G61" s="72">
        <f>E61+F61+I60</f>
        <v>681.47073700000215</v>
      </c>
      <c r="H61" s="234"/>
      <c r="I61" s="72">
        <f t="shared" si="13"/>
        <v>681.47073700000215</v>
      </c>
      <c r="J61" s="81">
        <f t="shared" si="12"/>
        <v>0</v>
      </c>
      <c r="K61" s="321"/>
      <c r="L61" s="310"/>
      <c r="M61" s="310"/>
      <c r="N61" s="310"/>
      <c r="O61" s="311"/>
      <c r="P61" s="312"/>
    </row>
    <row r="62" spans="2:16" ht="15" customHeight="1">
      <c r="B62" s="337"/>
      <c r="C62" s="322" t="s">
        <v>16</v>
      </c>
      <c r="D62" s="144" t="s">
        <v>7</v>
      </c>
      <c r="E62" s="44">
        <v>27874.010300000002</v>
      </c>
      <c r="F62" s="80">
        <f>1745.766+617.779+685.257+3300+550+440</f>
        <v>7338.8019999999997</v>
      </c>
      <c r="G62" s="72">
        <f>E62+F62</f>
        <v>35212.812300000005</v>
      </c>
      <c r="H62" s="234">
        <v>35592.482000000004</v>
      </c>
      <c r="I62" s="72">
        <f t="shared" si="13"/>
        <v>-379.66969999999856</v>
      </c>
      <c r="J62" s="81">
        <f t="shared" si="12"/>
        <v>1.0107821464745659</v>
      </c>
      <c r="K62" s="321">
        <f>E62+E63</f>
        <v>28442.871839000003</v>
      </c>
      <c r="L62" s="310">
        <f>F62+F63</f>
        <v>7338.8019999999997</v>
      </c>
      <c r="M62" s="310">
        <f>K62+L62</f>
        <v>35781.673839000003</v>
      </c>
      <c r="N62" s="310">
        <f>H62+H63</f>
        <v>35592.482000000004</v>
      </c>
      <c r="O62" s="311">
        <f>M62-N62</f>
        <v>189.19183899999916</v>
      </c>
      <c r="P62" s="312">
        <f>N62/M62</f>
        <v>0.9947126051215136</v>
      </c>
    </row>
    <row r="63" spans="2:16" ht="15" customHeight="1">
      <c r="B63" s="337"/>
      <c r="C63" s="322"/>
      <c r="D63" s="144" t="s">
        <v>8</v>
      </c>
      <c r="E63" s="44">
        <v>568.86153899999999</v>
      </c>
      <c r="F63" s="80"/>
      <c r="G63" s="72">
        <f>E63+F63+I62</f>
        <v>189.19183900000144</v>
      </c>
      <c r="H63" s="234"/>
      <c r="I63" s="72">
        <f t="shared" si="13"/>
        <v>189.19183900000144</v>
      </c>
      <c r="J63" s="81">
        <f t="shared" si="12"/>
        <v>0</v>
      </c>
      <c r="K63" s="321"/>
      <c r="L63" s="310"/>
      <c r="M63" s="310"/>
      <c r="N63" s="310"/>
      <c r="O63" s="311"/>
      <c r="P63" s="312"/>
    </row>
    <row r="64" spans="2:16" ht="15" customHeight="1">
      <c r="B64" s="337"/>
      <c r="C64" s="322" t="s">
        <v>24</v>
      </c>
      <c r="D64" s="144" t="s">
        <v>7</v>
      </c>
      <c r="E64" s="44">
        <v>2.3098920000000001</v>
      </c>
      <c r="F64" s="80"/>
      <c r="G64" s="72">
        <f>E64+F64</f>
        <v>2.3098920000000001</v>
      </c>
      <c r="H64" s="234"/>
      <c r="I64" s="72">
        <f t="shared" si="13"/>
        <v>2.3098920000000001</v>
      </c>
      <c r="J64" s="81">
        <f t="shared" si="12"/>
        <v>0</v>
      </c>
      <c r="K64" s="321">
        <f>E64+E65</f>
        <v>2.3570329999999999</v>
      </c>
      <c r="L64" s="310">
        <f>F64+F65</f>
        <v>0</v>
      </c>
      <c r="M64" s="310">
        <f>K64+L64</f>
        <v>2.3570329999999999</v>
      </c>
      <c r="N64" s="310">
        <f>H64+H65</f>
        <v>0</v>
      </c>
      <c r="O64" s="311">
        <f>M64-N64</f>
        <v>2.3570329999999999</v>
      </c>
      <c r="P64" s="312">
        <f>N64/M64</f>
        <v>0</v>
      </c>
    </row>
    <row r="65" spans="2:16" ht="15" customHeight="1">
      <c r="B65" s="337"/>
      <c r="C65" s="322"/>
      <c r="D65" s="144" t="s">
        <v>8</v>
      </c>
      <c r="E65" s="44">
        <v>4.7141000000000002E-2</v>
      </c>
      <c r="F65" s="80"/>
      <c r="G65" s="72">
        <f>E65+F65+I64</f>
        <v>2.3570329999999999</v>
      </c>
      <c r="H65" s="234"/>
      <c r="I65" s="72">
        <f t="shared" si="13"/>
        <v>2.3570329999999999</v>
      </c>
      <c r="J65" s="81">
        <f t="shared" si="12"/>
        <v>0</v>
      </c>
      <c r="K65" s="321"/>
      <c r="L65" s="310"/>
      <c r="M65" s="310"/>
      <c r="N65" s="310"/>
      <c r="O65" s="311"/>
      <c r="P65" s="312"/>
    </row>
    <row r="66" spans="2:16" ht="15" customHeight="1">
      <c r="B66" s="337"/>
      <c r="C66" s="322" t="s">
        <v>18</v>
      </c>
      <c r="D66" s="144" t="s">
        <v>7</v>
      </c>
      <c r="E66" s="44">
        <v>17730.975600000002</v>
      </c>
      <c r="F66" s="220">
        <f>3110+800+597.236+110+530+3831.7873+1798.212+91.019+1581.171+345.272</f>
        <v>12794.697300000002</v>
      </c>
      <c r="G66" s="72">
        <f>E66+F66</f>
        <v>30525.672900000005</v>
      </c>
      <c r="H66" s="234">
        <v>30551.076000000001</v>
      </c>
      <c r="I66" s="72">
        <f t="shared" ref="I66:I114" si="14">G66-H66</f>
        <v>-25.403099999995902</v>
      </c>
      <c r="J66" s="81">
        <f t="shared" si="12"/>
        <v>1.0008321880432649</v>
      </c>
      <c r="K66" s="321">
        <f>E66+E67</f>
        <v>18092.834907</v>
      </c>
      <c r="L66" s="310">
        <f>F66+F67</f>
        <v>12794.697300000002</v>
      </c>
      <c r="M66" s="310">
        <f>K66+L66</f>
        <v>30887.532207000004</v>
      </c>
      <c r="N66" s="310">
        <f>H66+H67</f>
        <v>30551.076000000001</v>
      </c>
      <c r="O66" s="311">
        <f>M66-N66</f>
        <v>336.45620700000291</v>
      </c>
      <c r="P66" s="312">
        <f>N66/M66</f>
        <v>0.98910705443396507</v>
      </c>
    </row>
    <row r="67" spans="2:16" ht="15" customHeight="1">
      <c r="B67" s="337"/>
      <c r="C67" s="322"/>
      <c r="D67" s="144" t="s">
        <v>8</v>
      </c>
      <c r="E67" s="44">
        <v>361.859307</v>
      </c>
      <c r="F67" s="80"/>
      <c r="G67" s="72">
        <f>E67+F67+I66</f>
        <v>336.4562070000041</v>
      </c>
      <c r="H67" s="234"/>
      <c r="I67" s="72">
        <f t="shared" si="14"/>
        <v>336.4562070000041</v>
      </c>
      <c r="J67" s="81">
        <f t="shared" si="12"/>
        <v>0</v>
      </c>
      <c r="K67" s="321"/>
      <c r="L67" s="310"/>
      <c r="M67" s="310"/>
      <c r="N67" s="310"/>
      <c r="O67" s="311"/>
      <c r="P67" s="312"/>
    </row>
    <row r="68" spans="2:16" ht="15" customHeight="1">
      <c r="B68" s="337"/>
      <c r="C68" s="322" t="s">
        <v>19</v>
      </c>
      <c r="D68" s="144" t="s">
        <v>7</v>
      </c>
      <c r="E68" s="44">
        <v>3755.1506599999998</v>
      </c>
      <c r="F68" s="220">
        <v>-3831.7873</v>
      </c>
      <c r="G68" s="72">
        <f>E68+F68</f>
        <v>-76.63664000000017</v>
      </c>
      <c r="H68" s="234"/>
      <c r="I68" s="44">
        <f t="shared" si="14"/>
        <v>-76.63664000000017</v>
      </c>
      <c r="J68" s="81">
        <f t="shared" si="12"/>
        <v>0</v>
      </c>
      <c r="K68" s="321">
        <f>E68+E69</f>
        <v>3831.7869517999998</v>
      </c>
      <c r="L68" s="310">
        <f>F68+F69</f>
        <v>-3831.7873</v>
      </c>
      <c r="M68" s="310">
        <f>K68+L68</f>
        <v>-3.4820000018953579E-4</v>
      </c>
      <c r="N68" s="310">
        <f>H68+H69</f>
        <v>0</v>
      </c>
      <c r="O68" s="311">
        <f>M68-N68</f>
        <v>-3.4820000018953579E-4</v>
      </c>
      <c r="P68" s="312">
        <f>N68/M68</f>
        <v>0</v>
      </c>
    </row>
    <row r="69" spans="2:16" ht="15" customHeight="1">
      <c r="B69" s="337"/>
      <c r="C69" s="322"/>
      <c r="D69" s="144" t="s">
        <v>8</v>
      </c>
      <c r="E69" s="44">
        <v>76.636291799999995</v>
      </c>
      <c r="F69" s="58"/>
      <c r="G69" s="72">
        <f>E69+F69+I68</f>
        <v>-3.4820000017532493E-4</v>
      </c>
      <c r="H69" s="234"/>
      <c r="I69" s="44">
        <f t="shared" si="14"/>
        <v>-3.4820000017532493E-4</v>
      </c>
      <c r="J69" s="81">
        <f t="shared" si="12"/>
        <v>0</v>
      </c>
      <c r="K69" s="321"/>
      <c r="L69" s="310"/>
      <c r="M69" s="310"/>
      <c r="N69" s="310"/>
      <c r="O69" s="311"/>
      <c r="P69" s="312"/>
    </row>
    <row r="70" spans="2:16" ht="15" customHeight="1">
      <c r="B70" s="337"/>
      <c r="C70" s="322" t="s">
        <v>12</v>
      </c>
      <c r="D70" s="144" t="s">
        <v>7</v>
      </c>
      <c r="E70" s="44">
        <v>69083.353199999998</v>
      </c>
      <c r="F70" s="220">
        <f>4000+2000+2526.7+207.973521-2000+4300+1680-4300+2300</f>
        <v>10714.673521000001</v>
      </c>
      <c r="G70" s="72">
        <f>E70+F70</f>
        <v>79798.026721000002</v>
      </c>
      <c r="H70" s="234">
        <v>79557.679999999993</v>
      </c>
      <c r="I70" s="44">
        <f t="shared" si="14"/>
        <v>240.34672100000898</v>
      </c>
      <c r="J70" s="81">
        <f t="shared" si="12"/>
        <v>0.99698806184969535</v>
      </c>
      <c r="K70" s="321">
        <f>E70+E71</f>
        <v>70493.227929999994</v>
      </c>
      <c r="L70" s="310">
        <f>F70+F71</f>
        <v>10714.673521000001</v>
      </c>
      <c r="M70" s="310">
        <f>K70+L70</f>
        <v>81207.901450999998</v>
      </c>
      <c r="N70" s="310">
        <f>H70+H71</f>
        <v>79557.679999999993</v>
      </c>
      <c r="O70" s="311">
        <f>M70-N70</f>
        <v>1650.2214510000049</v>
      </c>
      <c r="P70" s="312">
        <f>N70/M70</f>
        <v>0.9796790531276599</v>
      </c>
    </row>
    <row r="71" spans="2:16" ht="15" customHeight="1">
      <c r="B71" s="337"/>
      <c r="C71" s="322"/>
      <c r="D71" s="144" t="s">
        <v>8</v>
      </c>
      <c r="E71" s="44">
        <v>1409.87473</v>
      </c>
      <c r="F71" s="80"/>
      <c r="G71" s="72">
        <f>E71+F71+I70</f>
        <v>1650.221451000009</v>
      </c>
      <c r="H71" s="234"/>
      <c r="I71" s="44">
        <f t="shared" si="14"/>
        <v>1650.221451000009</v>
      </c>
      <c r="J71" s="81">
        <f t="shared" si="12"/>
        <v>0</v>
      </c>
      <c r="K71" s="321"/>
      <c r="L71" s="310"/>
      <c r="M71" s="310"/>
      <c r="N71" s="310"/>
      <c r="O71" s="311"/>
      <c r="P71" s="312"/>
    </row>
    <row r="72" spans="2:16" ht="15" customHeight="1">
      <c r="B72" s="337"/>
      <c r="C72" s="322" t="s">
        <v>25</v>
      </c>
      <c r="D72" s="144" t="s">
        <v>7</v>
      </c>
      <c r="E72" s="44">
        <v>89.161831199999995</v>
      </c>
      <c r="F72" s="80"/>
      <c r="G72" s="72">
        <f>E72+F72</f>
        <v>89.161831199999995</v>
      </c>
      <c r="H72" s="234"/>
      <c r="I72" s="72">
        <f t="shared" si="14"/>
        <v>89.161831199999995</v>
      </c>
      <c r="J72" s="81">
        <f t="shared" si="12"/>
        <v>0</v>
      </c>
      <c r="K72" s="321">
        <f>E72+E73</f>
        <v>90.981473799999989</v>
      </c>
      <c r="L72" s="310">
        <f>F72+F73</f>
        <v>0</v>
      </c>
      <c r="M72" s="310">
        <f>K72+L72</f>
        <v>90.981473799999989</v>
      </c>
      <c r="N72" s="310">
        <f>H72+H73</f>
        <v>0</v>
      </c>
      <c r="O72" s="311">
        <f>M72-N72</f>
        <v>90.981473799999989</v>
      </c>
      <c r="P72" s="312">
        <v>0</v>
      </c>
    </row>
    <row r="73" spans="2:16" ht="15" customHeight="1">
      <c r="B73" s="337"/>
      <c r="C73" s="322"/>
      <c r="D73" s="144" t="s">
        <v>8</v>
      </c>
      <c r="E73" s="44">
        <v>1.8196426000000001</v>
      </c>
      <c r="F73" s="80"/>
      <c r="G73" s="72">
        <f>E73+F73+I72</f>
        <v>90.981473799999989</v>
      </c>
      <c r="H73" s="234"/>
      <c r="I73" s="72">
        <f t="shared" si="14"/>
        <v>90.981473799999989</v>
      </c>
      <c r="J73" s="81">
        <f t="shared" si="12"/>
        <v>0</v>
      </c>
      <c r="K73" s="321"/>
      <c r="L73" s="310"/>
      <c r="M73" s="310"/>
      <c r="N73" s="310"/>
      <c r="O73" s="311"/>
      <c r="P73" s="312"/>
    </row>
    <row r="74" spans="2:16" ht="15" customHeight="1">
      <c r="B74" s="337"/>
      <c r="C74" s="322" t="s">
        <v>165</v>
      </c>
      <c r="D74" s="144" t="s">
        <v>7</v>
      </c>
      <c r="E74" s="44">
        <v>46.197839999999999</v>
      </c>
      <c r="F74" s="44"/>
      <c r="G74" s="72">
        <f>E74+F74</f>
        <v>46.197839999999999</v>
      </c>
      <c r="H74" s="234">
        <v>30.558</v>
      </c>
      <c r="I74" s="44">
        <f t="shared" si="14"/>
        <v>15.63984</v>
      </c>
      <c r="J74" s="81">
        <f t="shared" si="12"/>
        <v>0.66145949680764293</v>
      </c>
      <c r="K74" s="321">
        <f>E74+E75</f>
        <v>47.140659999999997</v>
      </c>
      <c r="L74" s="310">
        <f>F74+F75</f>
        <v>0</v>
      </c>
      <c r="M74" s="310">
        <f>K74+L74</f>
        <v>47.140659999999997</v>
      </c>
      <c r="N74" s="310">
        <f>H74+H75</f>
        <v>30.558</v>
      </c>
      <c r="O74" s="311">
        <f>M74-N74</f>
        <v>16.582659999999997</v>
      </c>
      <c r="P74" s="312">
        <f>N74/M74</f>
        <v>0.64823021145652182</v>
      </c>
    </row>
    <row r="75" spans="2:16" ht="15" customHeight="1">
      <c r="B75" s="337"/>
      <c r="C75" s="322"/>
      <c r="D75" s="144" t="s">
        <v>8</v>
      </c>
      <c r="E75" s="44">
        <v>0.94281999999999999</v>
      </c>
      <c r="F75" s="80"/>
      <c r="G75" s="72">
        <f>E75+F75+I74</f>
        <v>16.582660000000001</v>
      </c>
      <c r="H75" s="234"/>
      <c r="I75" s="44">
        <f t="shared" si="14"/>
        <v>16.582660000000001</v>
      </c>
      <c r="J75" s="81">
        <f t="shared" si="12"/>
        <v>0</v>
      </c>
      <c r="K75" s="321"/>
      <c r="L75" s="310"/>
      <c r="M75" s="310"/>
      <c r="N75" s="310"/>
      <c r="O75" s="311"/>
      <c r="P75" s="312"/>
    </row>
    <row r="76" spans="2:16" ht="15" customHeight="1">
      <c r="B76" s="337"/>
      <c r="C76" s="322" t="s">
        <v>87</v>
      </c>
      <c r="D76" s="144" t="s">
        <v>7</v>
      </c>
      <c r="E76" s="44">
        <v>203.81399999999999</v>
      </c>
      <c r="F76" s="220">
        <v>-207.97352100000001</v>
      </c>
      <c r="G76" s="72">
        <f>E76+F76</f>
        <v>-4.1595210000000122</v>
      </c>
      <c r="H76" s="234"/>
      <c r="I76" s="72">
        <f t="shared" ref="I76:I86" si="15">G76-H76</f>
        <v>-4.1595210000000122</v>
      </c>
      <c r="J76" s="81">
        <f t="shared" si="12"/>
        <v>0</v>
      </c>
      <c r="K76" s="321">
        <f>E76+E77</f>
        <v>207.9735</v>
      </c>
      <c r="L76" s="310">
        <f>F76+F77</f>
        <v>-207.97352100000001</v>
      </c>
      <c r="M76" s="310">
        <f>K76+L76</f>
        <v>-2.1000000003823516E-5</v>
      </c>
      <c r="N76" s="310">
        <f>H76+H77</f>
        <v>0</v>
      </c>
      <c r="O76" s="311">
        <f>M76-N76</f>
        <v>-2.1000000003823516E-5</v>
      </c>
      <c r="P76" s="312">
        <v>0</v>
      </c>
    </row>
    <row r="77" spans="2:16" ht="15" customHeight="1">
      <c r="B77" s="337"/>
      <c r="C77" s="322"/>
      <c r="D77" s="144" t="s">
        <v>8</v>
      </c>
      <c r="E77" s="44">
        <v>4.1595000000000004</v>
      </c>
      <c r="F77" s="80"/>
      <c r="G77" s="72">
        <f>+I76+E77+F77</f>
        <v>-2.1000000011817122E-5</v>
      </c>
      <c r="H77" s="234"/>
      <c r="I77" s="72">
        <f t="shared" si="15"/>
        <v>-2.1000000011817122E-5</v>
      </c>
      <c r="J77" s="81">
        <v>0</v>
      </c>
      <c r="K77" s="321"/>
      <c r="L77" s="310"/>
      <c r="M77" s="310"/>
      <c r="N77" s="310"/>
      <c r="O77" s="311"/>
      <c r="P77" s="312"/>
    </row>
    <row r="78" spans="2:16" ht="15" customHeight="1">
      <c r="B78" s="337"/>
      <c r="C78" s="322" t="s">
        <v>86</v>
      </c>
      <c r="D78" s="144" t="s">
        <v>7</v>
      </c>
      <c r="E78" s="44">
        <v>13.5876</v>
      </c>
      <c r="F78" s="80"/>
      <c r="G78" s="72">
        <f>E78+F78</f>
        <v>13.5876</v>
      </c>
      <c r="H78" s="234"/>
      <c r="I78" s="72">
        <f t="shared" si="15"/>
        <v>13.5876</v>
      </c>
      <c r="J78" s="81">
        <f t="shared" si="12"/>
        <v>0</v>
      </c>
      <c r="K78" s="321">
        <f>E78+E79</f>
        <v>13.8649</v>
      </c>
      <c r="L78" s="310">
        <f>F78+F79</f>
        <v>0</v>
      </c>
      <c r="M78" s="310">
        <f>K78+L78</f>
        <v>13.8649</v>
      </c>
      <c r="N78" s="310">
        <f>H78+H79</f>
        <v>0</v>
      </c>
      <c r="O78" s="311">
        <f>M78-N78</f>
        <v>13.8649</v>
      </c>
      <c r="P78" s="312">
        <f>N78/M78</f>
        <v>0</v>
      </c>
    </row>
    <row r="79" spans="2:16" ht="15" customHeight="1">
      <c r="B79" s="337"/>
      <c r="C79" s="322"/>
      <c r="D79" s="144" t="s">
        <v>8</v>
      </c>
      <c r="E79" s="44">
        <v>0.27729999999999999</v>
      </c>
      <c r="F79" s="80"/>
      <c r="G79" s="72">
        <f>E79+F79+I78</f>
        <v>13.8649</v>
      </c>
      <c r="H79" s="234"/>
      <c r="I79" s="72">
        <f t="shared" si="15"/>
        <v>13.8649</v>
      </c>
      <c r="J79" s="81">
        <f t="shared" si="12"/>
        <v>0</v>
      </c>
      <c r="K79" s="321"/>
      <c r="L79" s="310"/>
      <c r="M79" s="310"/>
      <c r="N79" s="310"/>
      <c r="O79" s="311"/>
      <c r="P79" s="312"/>
    </row>
    <row r="80" spans="2:16" ht="15" customHeight="1">
      <c r="B80" s="337"/>
      <c r="C80" s="343" t="s">
        <v>208</v>
      </c>
      <c r="D80" s="144" t="s">
        <v>7</v>
      </c>
      <c r="E80" s="44">
        <v>0</v>
      </c>
      <c r="F80" s="173"/>
      <c r="G80" s="72">
        <f>+E80+F80</f>
        <v>0</v>
      </c>
      <c r="H80" s="234">
        <v>0.29499999999999998</v>
      </c>
      <c r="I80" s="72">
        <f>+G80-H80</f>
        <v>-0.29499999999999998</v>
      </c>
      <c r="J80" s="81">
        <v>0</v>
      </c>
      <c r="K80" s="321">
        <f>E80+E81</f>
        <v>0</v>
      </c>
      <c r="L80" s="310">
        <f>F80+F81</f>
        <v>0</v>
      </c>
      <c r="M80" s="310">
        <f>K80+L80</f>
        <v>0</v>
      </c>
      <c r="N80" s="310">
        <f>H80+H81</f>
        <v>0.29499999999999998</v>
      </c>
      <c r="O80" s="311">
        <f>M80-N80</f>
        <v>-0.29499999999999998</v>
      </c>
      <c r="P80" s="325">
        <v>1</v>
      </c>
    </row>
    <row r="81" spans="2:16" ht="15" customHeight="1">
      <c r="B81" s="337"/>
      <c r="C81" s="344"/>
      <c r="D81" s="144" t="s">
        <v>8</v>
      </c>
      <c r="E81" s="44">
        <v>0</v>
      </c>
      <c r="F81" s="173"/>
      <c r="G81" s="72">
        <f>+I80+E81+F81</f>
        <v>-0.29499999999999998</v>
      </c>
      <c r="H81" s="234"/>
      <c r="I81" s="72">
        <f>+G81-H81</f>
        <v>-0.29499999999999998</v>
      </c>
      <c r="J81" s="81">
        <f>+H81/G81</f>
        <v>0</v>
      </c>
      <c r="K81" s="321"/>
      <c r="L81" s="310"/>
      <c r="M81" s="310"/>
      <c r="N81" s="310"/>
      <c r="O81" s="311"/>
      <c r="P81" s="325"/>
    </row>
    <row r="82" spans="2:16" ht="15" customHeight="1">
      <c r="B82" s="337"/>
      <c r="C82" s="343" t="s">
        <v>209</v>
      </c>
      <c r="D82" s="144" t="s">
        <v>7</v>
      </c>
      <c r="E82" s="44">
        <v>0</v>
      </c>
      <c r="F82" s="173"/>
      <c r="G82" s="72">
        <f>+E82+F82</f>
        <v>0</v>
      </c>
      <c r="H82" s="234">
        <v>3.2000000000000001E-2</v>
      </c>
      <c r="I82" s="72">
        <f>+G82-H82</f>
        <v>-3.2000000000000001E-2</v>
      </c>
      <c r="J82" s="81">
        <v>0</v>
      </c>
      <c r="K82" s="321">
        <f>E82+E83</f>
        <v>0</v>
      </c>
      <c r="L82" s="310">
        <f>F82+F83</f>
        <v>0</v>
      </c>
      <c r="M82" s="310">
        <f>K82+L82</f>
        <v>0</v>
      </c>
      <c r="N82" s="310">
        <f>H82+H83</f>
        <v>3.2000000000000001E-2</v>
      </c>
      <c r="O82" s="311">
        <f>M82-N82</f>
        <v>-3.2000000000000001E-2</v>
      </c>
      <c r="P82" s="325">
        <v>1</v>
      </c>
    </row>
    <row r="83" spans="2:16" ht="15" customHeight="1">
      <c r="B83" s="337"/>
      <c r="C83" s="344"/>
      <c r="D83" s="144" t="s">
        <v>8</v>
      </c>
      <c r="E83" s="44">
        <v>0</v>
      </c>
      <c r="F83" s="173"/>
      <c r="G83" s="72">
        <f>+I82+E83+F83</f>
        <v>-3.2000000000000001E-2</v>
      </c>
      <c r="H83" s="234"/>
      <c r="I83" s="72">
        <f>+G83-H83</f>
        <v>-3.2000000000000001E-2</v>
      </c>
      <c r="J83" s="81">
        <f>+H83/G84</f>
        <v>0</v>
      </c>
      <c r="K83" s="321"/>
      <c r="L83" s="310"/>
      <c r="M83" s="310"/>
      <c r="N83" s="310"/>
      <c r="O83" s="311"/>
      <c r="P83" s="325"/>
    </row>
    <row r="84" spans="2:16" ht="15" customHeight="1">
      <c r="B84" s="337"/>
      <c r="C84" s="322" t="s">
        <v>166</v>
      </c>
      <c r="D84" s="144" t="s">
        <v>7</v>
      </c>
      <c r="E84" s="44">
        <v>2445.768</v>
      </c>
      <c r="F84" s="44">
        <f>1470.12+620.496048+984.707898</f>
        <v>3075.323946</v>
      </c>
      <c r="G84" s="72">
        <f>E84+F84</f>
        <v>5521.0919460000005</v>
      </c>
      <c r="H84" s="234">
        <v>5543.7839999999997</v>
      </c>
      <c r="I84" s="44">
        <f t="shared" si="15"/>
        <v>-22.692053999999189</v>
      </c>
      <c r="J84" s="81">
        <f t="shared" si="12"/>
        <v>1.004110066309698</v>
      </c>
      <c r="K84" s="321">
        <f>E84+E85</f>
        <v>2495.6820000000002</v>
      </c>
      <c r="L84" s="310">
        <f>F84+F85</f>
        <v>3075.323946</v>
      </c>
      <c r="M84" s="310">
        <f>K84+L84</f>
        <v>5571.0059460000002</v>
      </c>
      <c r="N84" s="310">
        <f>H84+H85</f>
        <v>5543.7839999999997</v>
      </c>
      <c r="O84" s="311">
        <f>M84-N84</f>
        <v>27.221946000000571</v>
      </c>
      <c r="P84" s="312">
        <f>N84/M84</f>
        <v>0.99511363903326189</v>
      </c>
    </row>
    <row r="85" spans="2:16" ht="15" customHeight="1" thickBot="1">
      <c r="B85" s="338"/>
      <c r="C85" s="342"/>
      <c r="D85" s="144" t="s">
        <v>8</v>
      </c>
      <c r="E85" s="44">
        <v>49.914000000000001</v>
      </c>
      <c r="F85" s="80"/>
      <c r="G85" s="72">
        <f>E85+F85+I84</f>
        <v>27.221946000000813</v>
      </c>
      <c r="H85" s="234"/>
      <c r="I85" s="44">
        <f t="shared" si="15"/>
        <v>27.221946000000813</v>
      </c>
      <c r="J85" s="81">
        <f t="shared" si="12"/>
        <v>0</v>
      </c>
      <c r="K85" s="321"/>
      <c r="L85" s="310"/>
      <c r="M85" s="310"/>
      <c r="N85" s="310"/>
      <c r="O85" s="311"/>
      <c r="P85" s="312"/>
    </row>
    <row r="86" spans="2:16" ht="15" customHeight="1" thickBot="1">
      <c r="D86" s="33"/>
      <c r="E86" s="170">
        <f>SUM(E52:E85)</f>
        <v>277298.02783979999</v>
      </c>
      <c r="F86" s="170">
        <f>SUM(F52:F85)</f>
        <v>63685.264056</v>
      </c>
      <c r="G86" s="33">
        <f>SUM(G52:G85)</f>
        <v>339224.29423300008</v>
      </c>
      <c r="H86" s="170">
        <f>SUM(H52:H85)</f>
        <v>337196.28899999999</v>
      </c>
      <c r="I86" s="33">
        <f t="shared" si="15"/>
        <v>2028.0052330000908</v>
      </c>
      <c r="J86" s="33">
        <f t="shared" si="12"/>
        <v>0.99402163917066877</v>
      </c>
      <c r="K86" s="33"/>
      <c r="L86" s="170">
        <f>SUM(L52:L85)</f>
        <v>63685.264056</v>
      </c>
      <c r="M86" s="33"/>
      <c r="N86" s="33"/>
      <c r="O86" s="33"/>
      <c r="P86" s="33"/>
    </row>
    <row r="87" spans="2:16" ht="15" customHeight="1">
      <c r="B87" s="339" t="s">
        <v>30</v>
      </c>
      <c r="C87" s="329" t="s">
        <v>22</v>
      </c>
      <c r="D87" s="143" t="s">
        <v>7</v>
      </c>
      <c r="E87" s="108">
        <v>3696.7123799999999</v>
      </c>
      <c r="F87" s="174">
        <f>821.71+900+540-821.71-540-900-3770</f>
        <v>-3770</v>
      </c>
      <c r="G87" s="5">
        <f>E87+F87</f>
        <v>-73.287620000000061</v>
      </c>
      <c r="H87" s="174"/>
      <c r="I87" s="71">
        <f t="shared" si="14"/>
        <v>-73.287620000000061</v>
      </c>
      <c r="J87" s="13">
        <f t="shared" si="12"/>
        <v>0</v>
      </c>
      <c r="K87" s="331">
        <f>E87+E88</f>
        <v>3772.2232715</v>
      </c>
      <c r="L87" s="326">
        <f>F87+F88</f>
        <v>-3770</v>
      </c>
      <c r="M87" s="326">
        <f>K87+L87</f>
        <v>2.2232715000000098</v>
      </c>
      <c r="N87" s="326">
        <f>H87+H88</f>
        <v>0</v>
      </c>
      <c r="O87" s="323">
        <f>M87-N87</f>
        <v>2.2232715000000098</v>
      </c>
      <c r="P87" s="324">
        <f>N87/M87</f>
        <v>0</v>
      </c>
    </row>
    <row r="88" spans="2:16" ht="15" customHeight="1">
      <c r="B88" s="340"/>
      <c r="C88" s="322"/>
      <c r="D88" s="144" t="s">
        <v>8</v>
      </c>
      <c r="E88" s="44">
        <v>75.5108915</v>
      </c>
      <c r="F88" s="173"/>
      <c r="G88" s="51">
        <f>E88+F88+I87</f>
        <v>2.2232714999999388</v>
      </c>
      <c r="H88" s="173"/>
      <c r="I88" s="72">
        <f t="shared" si="14"/>
        <v>2.2232714999999388</v>
      </c>
      <c r="J88" s="43">
        <f t="shared" ref="J88:J114" si="16">H88/G88</f>
        <v>0</v>
      </c>
      <c r="K88" s="313"/>
      <c r="L88" s="310"/>
      <c r="M88" s="310"/>
      <c r="N88" s="310"/>
      <c r="O88" s="311"/>
      <c r="P88" s="312"/>
    </row>
    <row r="89" spans="2:16" ht="15" customHeight="1">
      <c r="B89" s="340"/>
      <c r="C89" s="322" t="s">
        <v>14</v>
      </c>
      <c r="D89" s="144" t="s">
        <v>7</v>
      </c>
      <c r="E89" s="44">
        <v>32.688783399999998</v>
      </c>
      <c r="F89" s="173"/>
      <c r="G89" s="4">
        <f>E89+F89</f>
        <v>32.688783399999998</v>
      </c>
      <c r="H89" s="173"/>
      <c r="I89" s="72">
        <f t="shared" si="14"/>
        <v>32.688783399999998</v>
      </c>
      <c r="J89" s="43">
        <f t="shared" si="16"/>
        <v>0</v>
      </c>
      <c r="K89" s="313">
        <f>E89+E90</f>
        <v>33.356500799999999</v>
      </c>
      <c r="L89" s="310">
        <f>F89+F90</f>
        <v>0</v>
      </c>
      <c r="M89" s="310">
        <f>K89+L89</f>
        <v>33.356500799999999</v>
      </c>
      <c r="N89" s="310">
        <f>H89+H90</f>
        <v>0</v>
      </c>
      <c r="O89" s="311">
        <f>M89-N89</f>
        <v>33.356500799999999</v>
      </c>
      <c r="P89" s="312">
        <f>N89/M89</f>
        <v>0</v>
      </c>
    </row>
    <row r="90" spans="2:16" ht="15" customHeight="1">
      <c r="B90" s="340"/>
      <c r="C90" s="322"/>
      <c r="D90" s="144" t="s">
        <v>8</v>
      </c>
      <c r="E90" s="44">
        <v>0.66771740000000002</v>
      </c>
      <c r="F90" s="173"/>
      <c r="G90" s="51">
        <f>E90+F90+I89</f>
        <v>33.356500799999999</v>
      </c>
      <c r="H90" s="173"/>
      <c r="I90" s="72">
        <f t="shared" si="14"/>
        <v>33.356500799999999</v>
      </c>
      <c r="J90" s="43">
        <f t="shared" si="16"/>
        <v>0</v>
      </c>
      <c r="K90" s="313"/>
      <c r="L90" s="310"/>
      <c r="M90" s="310"/>
      <c r="N90" s="310"/>
      <c r="O90" s="311"/>
      <c r="P90" s="312"/>
    </row>
    <row r="91" spans="2:16" ht="15" customHeight="1">
      <c r="B91" s="340"/>
      <c r="C91" s="322" t="s">
        <v>21</v>
      </c>
      <c r="D91" s="144" t="s">
        <v>7</v>
      </c>
      <c r="E91" s="44">
        <v>5227.50335</v>
      </c>
      <c r="F91" s="173">
        <f>-5068.172-161.034</f>
        <v>-5229.2059999999992</v>
      </c>
      <c r="G91" s="4">
        <f>E91+F91</f>
        <v>-1.7026499999992666</v>
      </c>
      <c r="H91" s="173">
        <v>85.265000000000001</v>
      </c>
      <c r="I91" s="72">
        <f t="shared" si="14"/>
        <v>-86.967649999999267</v>
      </c>
      <c r="J91" s="43">
        <f t="shared" si="16"/>
        <v>-50.077819869049264</v>
      </c>
      <c r="K91" s="313">
        <f>E91+E92</f>
        <v>5334.2829419999998</v>
      </c>
      <c r="L91" s="310">
        <f>F91+F92</f>
        <v>-5229.2059999999992</v>
      </c>
      <c r="M91" s="310">
        <f>K91+L91</f>
        <v>105.0769420000006</v>
      </c>
      <c r="N91" s="310">
        <f>H91+H92</f>
        <v>85.265000000000001</v>
      </c>
      <c r="O91" s="311">
        <f>M91-N91</f>
        <v>19.811942000000599</v>
      </c>
      <c r="P91" s="312">
        <f>N91/M91</f>
        <v>0.81145300174418389</v>
      </c>
    </row>
    <row r="92" spans="2:16" ht="15" customHeight="1">
      <c r="B92" s="340"/>
      <c r="C92" s="322"/>
      <c r="D92" s="144" t="s">
        <v>8</v>
      </c>
      <c r="E92" s="44">
        <v>106.77959199999999</v>
      </c>
      <c r="F92" s="173"/>
      <c r="G92" s="51">
        <f>E92+F92+I91</f>
        <v>19.811942000000727</v>
      </c>
      <c r="H92" s="173"/>
      <c r="I92" s="72">
        <f t="shared" si="14"/>
        <v>19.811942000000727</v>
      </c>
      <c r="J92" s="43">
        <f t="shared" si="16"/>
        <v>0</v>
      </c>
      <c r="K92" s="313"/>
      <c r="L92" s="310"/>
      <c r="M92" s="310"/>
      <c r="N92" s="310"/>
      <c r="O92" s="311"/>
      <c r="P92" s="312"/>
    </row>
    <row r="93" spans="2:16" ht="15" customHeight="1">
      <c r="B93" s="340"/>
      <c r="C93" s="322" t="s">
        <v>179</v>
      </c>
      <c r="D93" s="144" t="s">
        <v>7</v>
      </c>
      <c r="E93" s="44">
        <v>1.286662</v>
      </c>
      <c r="F93" s="173"/>
      <c r="G93" s="4">
        <f>E93+F93</f>
        <v>1.286662</v>
      </c>
      <c r="H93" s="234"/>
      <c r="I93" s="72">
        <f t="shared" si="14"/>
        <v>1.286662</v>
      </c>
      <c r="J93" s="43">
        <f t="shared" si="16"/>
        <v>0</v>
      </c>
      <c r="K93" s="313">
        <f>E93+E94</f>
        <v>1.3129439999999999</v>
      </c>
      <c r="L93" s="310">
        <f>F93+F94</f>
        <v>0</v>
      </c>
      <c r="M93" s="310">
        <f>K93+L93</f>
        <v>1.3129439999999999</v>
      </c>
      <c r="N93" s="310">
        <f>H93+H94</f>
        <v>0</v>
      </c>
      <c r="O93" s="311">
        <f>M93-N93</f>
        <v>1.3129439999999999</v>
      </c>
      <c r="P93" s="312">
        <f>N93/M93</f>
        <v>0</v>
      </c>
    </row>
    <row r="94" spans="2:16" ht="15" customHeight="1">
      <c r="B94" s="340"/>
      <c r="C94" s="322"/>
      <c r="D94" s="144" t="s">
        <v>8</v>
      </c>
      <c r="E94" s="44">
        <v>2.6282E-2</v>
      </c>
      <c r="F94" s="173"/>
      <c r="G94" s="51">
        <f>E94+F94+I93</f>
        <v>1.3129439999999999</v>
      </c>
      <c r="H94" s="234"/>
      <c r="I94" s="72">
        <f t="shared" si="14"/>
        <v>1.3129439999999999</v>
      </c>
      <c r="J94" s="43">
        <f t="shared" si="16"/>
        <v>0</v>
      </c>
      <c r="K94" s="313"/>
      <c r="L94" s="310"/>
      <c r="M94" s="310"/>
      <c r="N94" s="310"/>
      <c r="O94" s="311"/>
      <c r="P94" s="312"/>
    </row>
    <row r="95" spans="2:16" ht="15" customHeight="1">
      <c r="B95" s="340"/>
      <c r="C95" s="322" t="s">
        <v>15</v>
      </c>
      <c r="D95" s="144" t="s">
        <v>7</v>
      </c>
      <c r="E95" s="44">
        <v>7855.4272300000002</v>
      </c>
      <c r="F95" s="173">
        <v>-3500</v>
      </c>
      <c r="G95" s="4">
        <f>E95+F95</f>
        <v>4355.4272300000002</v>
      </c>
      <c r="H95" s="234">
        <v>4015.375</v>
      </c>
      <c r="I95" s="72">
        <f t="shared" si="14"/>
        <v>340.05223000000024</v>
      </c>
      <c r="J95" s="43">
        <f t="shared" si="16"/>
        <v>0.9219244836286703</v>
      </c>
      <c r="K95" s="313">
        <f>E95+E96</f>
        <v>8015.8861059999999</v>
      </c>
      <c r="L95" s="310">
        <f>F95+F96</f>
        <v>-3500</v>
      </c>
      <c r="M95" s="310">
        <f>K95+L95</f>
        <v>4515.8861059999999</v>
      </c>
      <c r="N95" s="310">
        <f>H95+H96</f>
        <v>4015.375</v>
      </c>
      <c r="O95" s="311">
        <f>M95-N95</f>
        <v>500.51110599999993</v>
      </c>
      <c r="P95" s="312">
        <f>N95/M95</f>
        <v>0.88916657899431972</v>
      </c>
    </row>
    <row r="96" spans="2:16" ht="15" customHeight="1">
      <c r="B96" s="340"/>
      <c r="C96" s="322"/>
      <c r="D96" s="144" t="s">
        <v>8</v>
      </c>
      <c r="E96" s="44">
        <v>160.458876</v>
      </c>
      <c r="F96" s="173"/>
      <c r="G96" s="51">
        <f>E96+F96+I95</f>
        <v>500.51110600000027</v>
      </c>
      <c r="H96" s="234"/>
      <c r="I96" s="72">
        <f t="shared" si="14"/>
        <v>500.51110600000027</v>
      </c>
      <c r="J96" s="43">
        <f t="shared" si="16"/>
        <v>0</v>
      </c>
      <c r="K96" s="313"/>
      <c r="L96" s="310"/>
      <c r="M96" s="310"/>
      <c r="N96" s="310"/>
      <c r="O96" s="311"/>
      <c r="P96" s="312"/>
    </row>
    <row r="97" spans="2:16" ht="15" customHeight="1">
      <c r="B97" s="340"/>
      <c r="C97" s="322" t="s">
        <v>10</v>
      </c>
      <c r="D97" s="144" t="s">
        <v>7</v>
      </c>
      <c r="E97" s="44">
        <v>183.67856900000001</v>
      </c>
      <c r="F97" s="220">
        <v>-187.43</v>
      </c>
      <c r="G97" s="4">
        <f>E97+F97</f>
        <v>-3.7514309999999966</v>
      </c>
      <c r="H97" s="234"/>
      <c r="I97" s="72">
        <f t="shared" si="14"/>
        <v>-3.7514309999999966</v>
      </c>
      <c r="J97" s="43">
        <f t="shared" si="16"/>
        <v>0</v>
      </c>
      <c r="K97" s="313">
        <f>E97+E98</f>
        <v>187.43047910000001</v>
      </c>
      <c r="L97" s="310">
        <f>F97+F98</f>
        <v>-187.43</v>
      </c>
      <c r="M97" s="310">
        <f>K97+L97</f>
        <v>4.7910000000683794E-4</v>
      </c>
      <c r="N97" s="310">
        <f>H97+H98</f>
        <v>0</v>
      </c>
      <c r="O97" s="311">
        <f>M97-N97</f>
        <v>4.7910000000683794E-4</v>
      </c>
      <c r="P97" s="312">
        <v>0</v>
      </c>
    </row>
    <row r="98" spans="2:16" ht="15" customHeight="1">
      <c r="B98" s="340"/>
      <c r="C98" s="322"/>
      <c r="D98" s="144" t="s">
        <v>8</v>
      </c>
      <c r="E98" s="44">
        <v>3.7519100999999999</v>
      </c>
      <c r="F98" s="173"/>
      <c r="G98" s="51">
        <f>E98+F98+I97</f>
        <v>4.7910000000328523E-4</v>
      </c>
      <c r="H98" s="234"/>
      <c r="I98" s="72">
        <f t="shared" si="14"/>
        <v>4.7910000000328523E-4</v>
      </c>
      <c r="J98" s="43">
        <v>0</v>
      </c>
      <c r="K98" s="313"/>
      <c r="L98" s="310"/>
      <c r="M98" s="310"/>
      <c r="N98" s="310"/>
      <c r="O98" s="311"/>
      <c r="P98" s="312"/>
    </row>
    <row r="99" spans="2:16" ht="15" customHeight="1">
      <c r="B99" s="340"/>
      <c r="C99" s="322" t="s">
        <v>23</v>
      </c>
      <c r="D99" s="144" t="s">
        <v>7</v>
      </c>
      <c r="E99" s="44">
        <v>2400.3436499999998</v>
      </c>
      <c r="F99" s="173">
        <f>-1198.896-1200.278</f>
        <v>-2399.174</v>
      </c>
      <c r="G99" s="4">
        <f>E99+F99</f>
        <v>1.1696499999998196</v>
      </c>
      <c r="H99" s="234"/>
      <c r="I99" s="72">
        <f t="shared" si="14"/>
        <v>1.1696499999998196</v>
      </c>
      <c r="J99" s="43">
        <f t="shared" si="16"/>
        <v>0</v>
      </c>
      <c r="K99" s="313">
        <f>E99+E100</f>
        <v>2449.3742669999997</v>
      </c>
      <c r="L99" s="310">
        <f>F99+F100</f>
        <v>-2399.174</v>
      </c>
      <c r="M99" s="310">
        <f>K99+L99</f>
        <v>50.200266999999712</v>
      </c>
      <c r="N99" s="310">
        <f>H99+H100</f>
        <v>0</v>
      </c>
      <c r="O99" s="311">
        <f>M99-N99</f>
        <v>50.200266999999712</v>
      </c>
      <c r="P99" s="312">
        <v>0</v>
      </c>
    </row>
    <row r="100" spans="2:16" ht="15" customHeight="1">
      <c r="B100" s="340"/>
      <c r="C100" s="322"/>
      <c r="D100" s="144" t="s">
        <v>8</v>
      </c>
      <c r="E100" s="44">
        <v>49.030616999999999</v>
      </c>
      <c r="F100" s="173"/>
      <c r="G100" s="51">
        <f>E100+F100+I99</f>
        <v>50.200266999999819</v>
      </c>
      <c r="H100" s="234"/>
      <c r="I100" s="72">
        <f t="shared" si="14"/>
        <v>50.200266999999819</v>
      </c>
      <c r="J100" s="43">
        <f t="shared" si="16"/>
        <v>0</v>
      </c>
      <c r="K100" s="313"/>
      <c r="L100" s="310"/>
      <c r="M100" s="310"/>
      <c r="N100" s="310"/>
      <c r="O100" s="311"/>
      <c r="P100" s="312"/>
    </row>
    <row r="101" spans="2:16" ht="15" customHeight="1">
      <c r="B101" s="340"/>
      <c r="C101" s="322" t="s">
        <v>16</v>
      </c>
      <c r="D101" s="144" t="s">
        <v>7</v>
      </c>
      <c r="E101" s="44">
        <v>3774.7446399999999</v>
      </c>
      <c r="F101" s="173">
        <f>-3300-550</f>
        <v>-3850</v>
      </c>
      <c r="G101" s="4">
        <f>E101+F101</f>
        <v>-75.25536000000011</v>
      </c>
      <c r="H101" s="234"/>
      <c r="I101" s="72">
        <f t="shared" si="14"/>
        <v>-75.25536000000011</v>
      </c>
      <c r="J101" s="43">
        <f t="shared" si="16"/>
        <v>0</v>
      </c>
      <c r="K101" s="313">
        <f>E101+E102</f>
        <v>3851.8494575</v>
      </c>
      <c r="L101" s="310">
        <f>F101+F102</f>
        <v>-3850</v>
      </c>
      <c r="M101" s="310">
        <f>K101+L101</f>
        <v>1.8494574999999713</v>
      </c>
      <c r="N101" s="310">
        <f>H101+H102</f>
        <v>0</v>
      </c>
      <c r="O101" s="311">
        <f>M101-N101</f>
        <v>1.8494574999999713</v>
      </c>
      <c r="P101" s="312">
        <v>0</v>
      </c>
    </row>
    <row r="102" spans="2:16" ht="15" customHeight="1">
      <c r="B102" s="340"/>
      <c r="C102" s="322"/>
      <c r="D102" s="144" t="s">
        <v>8</v>
      </c>
      <c r="E102" s="44">
        <v>77.104817499999996</v>
      </c>
      <c r="F102" s="173"/>
      <c r="G102" s="51">
        <f>E102+F102+I101</f>
        <v>1.8494574999998861</v>
      </c>
      <c r="H102" s="234"/>
      <c r="I102" s="72">
        <f t="shared" si="14"/>
        <v>1.8494574999998861</v>
      </c>
      <c r="J102" s="43">
        <f t="shared" si="16"/>
        <v>0</v>
      </c>
      <c r="K102" s="313"/>
      <c r="L102" s="310"/>
      <c r="M102" s="310"/>
      <c r="N102" s="310"/>
      <c r="O102" s="311"/>
      <c r="P102" s="312"/>
    </row>
    <row r="103" spans="2:16" ht="15" customHeight="1">
      <c r="B103" s="340"/>
      <c r="C103" s="322" t="s">
        <v>86</v>
      </c>
      <c r="D103" s="144" t="s">
        <v>7</v>
      </c>
      <c r="E103" s="44">
        <v>0.32166549999999999</v>
      </c>
      <c r="F103" s="173"/>
      <c r="G103" s="4">
        <f>E103+F103</f>
        <v>0.32166549999999999</v>
      </c>
      <c r="H103" s="234"/>
      <c r="I103" s="72">
        <f t="shared" si="14"/>
        <v>0.32166549999999999</v>
      </c>
      <c r="J103" s="43">
        <f t="shared" si="16"/>
        <v>0</v>
      </c>
      <c r="K103" s="313">
        <f>E103+E104</f>
        <v>0.32823599999999997</v>
      </c>
      <c r="L103" s="310">
        <f>F103+F104</f>
        <v>0</v>
      </c>
      <c r="M103" s="310">
        <f>K103+L103</f>
        <v>0.32823599999999997</v>
      </c>
      <c r="N103" s="310">
        <f>H103+H104</f>
        <v>0</v>
      </c>
      <c r="O103" s="311">
        <f>M103-N103</f>
        <v>0.32823599999999997</v>
      </c>
      <c r="P103" s="312">
        <f>N103/M103</f>
        <v>0</v>
      </c>
    </row>
    <row r="104" spans="2:16" ht="15" customHeight="1">
      <c r="B104" s="340"/>
      <c r="C104" s="322"/>
      <c r="D104" s="144" t="s">
        <v>8</v>
      </c>
      <c r="E104" s="44">
        <v>6.5705E-3</v>
      </c>
      <c r="F104" s="173"/>
      <c r="G104" s="51">
        <f>E104+F104+I103</f>
        <v>0.32823599999999997</v>
      </c>
      <c r="H104" s="234"/>
      <c r="I104" s="72">
        <f t="shared" si="14"/>
        <v>0.32823599999999997</v>
      </c>
      <c r="J104" s="43">
        <f t="shared" si="16"/>
        <v>0</v>
      </c>
      <c r="K104" s="313"/>
      <c r="L104" s="310"/>
      <c r="M104" s="310"/>
      <c r="N104" s="310"/>
      <c r="O104" s="311"/>
      <c r="P104" s="312"/>
    </row>
    <row r="105" spans="2:16" ht="15" customHeight="1">
      <c r="B105" s="340"/>
      <c r="C105" s="322" t="s">
        <v>18</v>
      </c>
      <c r="D105" s="144" t="s">
        <v>7</v>
      </c>
      <c r="E105" s="44">
        <v>2102.8030600000002</v>
      </c>
      <c r="F105" s="44">
        <f>800-800+1581.170572-1798.212-1581.171-345.272</f>
        <v>-2143.4844280000002</v>
      </c>
      <c r="G105" s="4">
        <f>E105+F105</f>
        <v>-40.68136800000002</v>
      </c>
      <c r="H105" s="234"/>
      <c r="I105" s="72">
        <f>G105-H105</f>
        <v>-40.68136800000002</v>
      </c>
      <c r="J105" s="43">
        <f t="shared" si="16"/>
        <v>0</v>
      </c>
      <c r="K105" s="313">
        <f>E105+E106</f>
        <v>2145.7559645000001</v>
      </c>
      <c r="L105" s="310">
        <f>F105+F106</f>
        <v>-2143.4844280000002</v>
      </c>
      <c r="M105" s="310">
        <f>K105+L105</f>
        <v>2.271536499999911</v>
      </c>
      <c r="N105" s="310">
        <f>H105+H106</f>
        <v>0</v>
      </c>
      <c r="O105" s="311">
        <f>M105-N105</f>
        <v>2.271536499999911</v>
      </c>
      <c r="P105" s="312">
        <f>N105/M105</f>
        <v>0</v>
      </c>
    </row>
    <row r="106" spans="2:16" ht="15" customHeight="1">
      <c r="B106" s="340"/>
      <c r="C106" s="322"/>
      <c r="D106" s="144" t="s">
        <v>8</v>
      </c>
      <c r="E106" s="44">
        <v>42.952904500000002</v>
      </c>
      <c r="F106" s="173"/>
      <c r="G106" s="51">
        <f>E106+F106+I105</f>
        <v>2.2715364999999821</v>
      </c>
      <c r="H106" s="234"/>
      <c r="I106" s="72">
        <f t="shared" si="14"/>
        <v>2.2715364999999821</v>
      </c>
      <c r="J106" s="43">
        <f t="shared" si="16"/>
        <v>0</v>
      </c>
      <c r="K106" s="313"/>
      <c r="L106" s="310"/>
      <c r="M106" s="310"/>
      <c r="N106" s="310"/>
      <c r="O106" s="311"/>
      <c r="P106" s="312"/>
    </row>
    <row r="107" spans="2:16" ht="15" customHeight="1">
      <c r="B107" s="340"/>
      <c r="C107" s="322" t="s">
        <v>19</v>
      </c>
      <c r="D107" s="144" t="s">
        <v>7</v>
      </c>
      <c r="E107" s="44">
        <v>1549.5194799999999</v>
      </c>
      <c r="F107" s="44">
        <v>-1581.170572</v>
      </c>
      <c r="G107" s="51">
        <f>E107+F107</f>
        <v>-31.651092000000062</v>
      </c>
      <c r="H107" s="234"/>
      <c r="I107" s="72">
        <f t="shared" si="14"/>
        <v>-31.651092000000062</v>
      </c>
      <c r="J107" s="43">
        <f t="shared" si="16"/>
        <v>0</v>
      </c>
      <c r="K107" s="313">
        <f>E107+E108</f>
        <v>1581.170738</v>
      </c>
      <c r="L107" s="310">
        <f>F107+F108</f>
        <v>-1581.170572</v>
      </c>
      <c r="M107" s="310">
        <f>K107+L107</f>
        <v>1.6600000003563764E-4</v>
      </c>
      <c r="N107" s="310">
        <f>H107+H108</f>
        <v>0</v>
      </c>
      <c r="O107" s="311">
        <f>M107-N107</f>
        <v>1.6600000003563764E-4</v>
      </c>
      <c r="P107" s="312">
        <f>N107/M107</f>
        <v>0</v>
      </c>
    </row>
    <row r="108" spans="2:16" ht="15" customHeight="1">
      <c r="B108" s="340"/>
      <c r="C108" s="322"/>
      <c r="D108" s="144" t="s">
        <v>8</v>
      </c>
      <c r="E108" s="44">
        <v>31.651257999999999</v>
      </c>
      <c r="F108" s="173"/>
      <c r="G108" s="51">
        <f>E108+F108+I107</f>
        <v>1.6599999993616166E-4</v>
      </c>
      <c r="H108" s="234"/>
      <c r="I108" s="72">
        <f t="shared" si="14"/>
        <v>1.6599999993616166E-4</v>
      </c>
      <c r="J108" s="43">
        <f t="shared" si="16"/>
        <v>0</v>
      </c>
      <c r="K108" s="313"/>
      <c r="L108" s="310"/>
      <c r="M108" s="310"/>
      <c r="N108" s="310"/>
      <c r="O108" s="311"/>
      <c r="P108" s="312"/>
    </row>
    <row r="109" spans="2:16" ht="15" customHeight="1">
      <c r="B109" s="340"/>
      <c r="C109" s="322" t="s">
        <v>12</v>
      </c>
      <c r="D109" s="144" t="s">
        <v>7</v>
      </c>
      <c r="E109" s="44">
        <v>9989.4318500000008</v>
      </c>
      <c r="F109" s="173">
        <f>-4000-4300+4300-2300</f>
        <v>-6300</v>
      </c>
      <c r="G109" s="51">
        <f>E109+F109</f>
        <v>3689.4318500000008</v>
      </c>
      <c r="H109" s="234">
        <v>3810.74</v>
      </c>
      <c r="I109" s="72">
        <f t="shared" si="14"/>
        <v>-121.30814999999893</v>
      </c>
      <c r="J109" s="43">
        <f>H109/G109</f>
        <v>1.0328798999228022</v>
      </c>
      <c r="K109" s="313">
        <f>E109+E110</f>
        <v>10193.480969</v>
      </c>
      <c r="L109" s="310">
        <f>F109+F110</f>
        <v>-6300</v>
      </c>
      <c r="M109" s="310">
        <f>K109+L109</f>
        <v>3893.4809690000002</v>
      </c>
      <c r="N109" s="310">
        <f>H109+H110</f>
        <v>3810.74</v>
      </c>
      <c r="O109" s="311">
        <f>M109-N109</f>
        <v>82.740969000000405</v>
      </c>
      <c r="P109" s="312">
        <f>N109/M109</f>
        <v>0.9787488446306053</v>
      </c>
    </row>
    <row r="110" spans="2:16" ht="15" customHeight="1">
      <c r="B110" s="340"/>
      <c r="C110" s="322"/>
      <c r="D110" s="144" t="s">
        <v>8</v>
      </c>
      <c r="E110" s="44">
        <v>204.04911899999999</v>
      </c>
      <c r="F110" s="173"/>
      <c r="G110" s="51">
        <f>E110+F110+I109</f>
        <v>82.740969000001058</v>
      </c>
      <c r="H110" s="234"/>
      <c r="I110" s="72">
        <f t="shared" si="14"/>
        <v>82.740969000001058</v>
      </c>
      <c r="J110" s="43">
        <f t="shared" si="16"/>
        <v>0</v>
      </c>
      <c r="K110" s="313"/>
      <c r="L110" s="310"/>
      <c r="M110" s="310"/>
      <c r="N110" s="310"/>
      <c r="O110" s="311"/>
      <c r="P110" s="312"/>
    </row>
    <row r="111" spans="2:16" ht="15" customHeight="1">
      <c r="B111" s="340"/>
      <c r="C111" s="343" t="s">
        <v>166</v>
      </c>
      <c r="D111" s="144" t="s">
        <v>7</v>
      </c>
      <c r="E111" s="44">
        <v>964.99649999999997</v>
      </c>
      <c r="F111" s="220">
        <v>-984.707898</v>
      </c>
      <c r="G111" s="72">
        <f>+E111+F111</f>
        <v>-19.711398000000031</v>
      </c>
      <c r="H111" s="173"/>
      <c r="I111" s="72">
        <f>+G111-H111</f>
        <v>-19.711398000000031</v>
      </c>
      <c r="J111" s="43">
        <f t="shared" si="16"/>
        <v>0</v>
      </c>
      <c r="K111" s="313">
        <f>E111+E112</f>
        <v>984.70799999999997</v>
      </c>
      <c r="L111" s="310">
        <f>F111+F112</f>
        <v>-984.707898</v>
      </c>
      <c r="M111" s="310">
        <f>K111+L111</f>
        <v>1.0199999996984843E-4</v>
      </c>
      <c r="N111" s="310">
        <f>H111+H112</f>
        <v>0</v>
      </c>
      <c r="O111" s="311">
        <f>M111-N111</f>
        <v>1.0199999996984843E-4</v>
      </c>
      <c r="P111" s="312">
        <f>N111/M111</f>
        <v>0</v>
      </c>
    </row>
    <row r="112" spans="2:16" ht="15" customHeight="1">
      <c r="B112" s="340"/>
      <c r="C112" s="344"/>
      <c r="D112" s="144" t="s">
        <v>8</v>
      </c>
      <c r="E112" s="44">
        <v>19.711500000000001</v>
      </c>
      <c r="F112" s="173"/>
      <c r="G112" s="72">
        <f>+E112+F112+I111</f>
        <v>1.0199999996984843E-4</v>
      </c>
      <c r="H112" s="173"/>
      <c r="I112" s="72">
        <f>+G112-H112</f>
        <v>1.0199999996984843E-4</v>
      </c>
      <c r="J112" s="43">
        <f t="shared" si="16"/>
        <v>0</v>
      </c>
      <c r="K112" s="313"/>
      <c r="L112" s="310"/>
      <c r="M112" s="310"/>
      <c r="N112" s="310"/>
      <c r="O112" s="311"/>
      <c r="P112" s="312"/>
    </row>
    <row r="113" spans="2:16" ht="15" customHeight="1">
      <c r="B113" s="340"/>
      <c r="C113" s="322" t="s">
        <v>25</v>
      </c>
      <c r="D113" s="144" t="s">
        <v>7</v>
      </c>
      <c r="E113" s="44">
        <v>63.538397000000003</v>
      </c>
      <c r="F113" s="173"/>
      <c r="G113" s="51">
        <f>E113+F113</f>
        <v>63.538397000000003</v>
      </c>
      <c r="H113" s="173"/>
      <c r="I113" s="72">
        <f t="shared" si="14"/>
        <v>63.538397000000003</v>
      </c>
      <c r="J113" s="43">
        <f t="shared" si="16"/>
        <v>0</v>
      </c>
      <c r="K113" s="313">
        <f>E113+E114</f>
        <v>64.836264</v>
      </c>
      <c r="L113" s="310">
        <f>F113+F114</f>
        <v>0</v>
      </c>
      <c r="M113" s="310">
        <f>K113+L113</f>
        <v>64.836264</v>
      </c>
      <c r="N113" s="310">
        <f>H113+H114</f>
        <v>0</v>
      </c>
      <c r="O113" s="311">
        <f>M113-N113</f>
        <v>64.836264</v>
      </c>
      <c r="P113" s="312">
        <f>N113/M113</f>
        <v>0</v>
      </c>
    </row>
    <row r="114" spans="2:16" ht="15" customHeight="1" thickBot="1">
      <c r="B114" s="341"/>
      <c r="C114" s="342"/>
      <c r="D114" s="176" t="s">
        <v>8</v>
      </c>
      <c r="E114" s="73">
        <v>1.2978670000000001</v>
      </c>
      <c r="F114" s="175"/>
      <c r="G114" s="52">
        <f>E114+F114+I113</f>
        <v>64.836264</v>
      </c>
      <c r="H114" s="175"/>
      <c r="I114" s="177">
        <f t="shared" si="14"/>
        <v>64.836264</v>
      </c>
      <c r="J114" s="178">
        <f t="shared" si="16"/>
        <v>0</v>
      </c>
      <c r="K114" s="315"/>
      <c r="L114" s="316"/>
      <c r="M114" s="316"/>
      <c r="N114" s="316"/>
      <c r="O114" s="317"/>
      <c r="P114" s="314"/>
    </row>
    <row r="115" spans="2:16">
      <c r="E115" s="99">
        <f>SUM(E87:E114)</f>
        <v>38615.996139400006</v>
      </c>
      <c r="F115" s="99">
        <f>SUM(F87:F114)</f>
        <v>-29945.172897999997</v>
      </c>
      <c r="G115" s="24">
        <f>SUM(G87:G114)</f>
        <v>8657.2665603000023</v>
      </c>
      <c r="H115" s="24">
        <f>SUM(H87:H114)</f>
        <v>7911.38</v>
      </c>
      <c r="K115" s="99"/>
      <c r="L115" s="99">
        <f>SUM(L87:L114)</f>
        <v>-29945.172897999997</v>
      </c>
      <c r="M115" s="99"/>
      <c r="N115" s="99"/>
      <c r="O115" s="99"/>
    </row>
    <row r="119" spans="2:16">
      <c r="L119" s="99"/>
    </row>
  </sheetData>
  <mergeCells count="378">
    <mergeCell ref="P56:P57"/>
    <mergeCell ref="K58:K59"/>
    <mergeCell ref="L58:L59"/>
    <mergeCell ref="M58:M59"/>
    <mergeCell ref="N58:N59"/>
    <mergeCell ref="C58:C59"/>
    <mergeCell ref="P58:P59"/>
    <mergeCell ref="P64:P65"/>
    <mergeCell ref="P66:P67"/>
    <mergeCell ref="K64:K65"/>
    <mergeCell ref="L64:L65"/>
    <mergeCell ref="M64:M65"/>
    <mergeCell ref="N64:N65"/>
    <mergeCell ref="O64:O65"/>
    <mergeCell ref="P60:P61"/>
    <mergeCell ref="K62:K63"/>
    <mergeCell ref="L62:L63"/>
    <mergeCell ref="M62:M63"/>
    <mergeCell ref="N62:N63"/>
    <mergeCell ref="O62:O63"/>
    <mergeCell ref="P62:P63"/>
    <mergeCell ref="N60:N61"/>
    <mergeCell ref="O60:O61"/>
    <mergeCell ref="L60:L61"/>
    <mergeCell ref="M60:M61"/>
    <mergeCell ref="C103:C104"/>
    <mergeCell ref="C39:C40"/>
    <mergeCell ref="C41:C42"/>
    <mergeCell ref="C43:C44"/>
    <mergeCell ref="C45:C46"/>
    <mergeCell ref="C84:C85"/>
    <mergeCell ref="N45:N46"/>
    <mergeCell ref="O45:O46"/>
    <mergeCell ref="L56:L57"/>
    <mergeCell ref="M56:M57"/>
    <mergeCell ref="N56:N57"/>
    <mergeCell ref="O56:O57"/>
    <mergeCell ref="K43:K44"/>
    <mergeCell ref="O58:O59"/>
    <mergeCell ref="K66:K67"/>
    <mergeCell ref="L66:L67"/>
    <mergeCell ref="M66:M67"/>
    <mergeCell ref="N66:N67"/>
    <mergeCell ref="O66:O67"/>
    <mergeCell ref="L68:L69"/>
    <mergeCell ref="K56:K57"/>
    <mergeCell ref="C97:C98"/>
    <mergeCell ref="C99:C100"/>
    <mergeCell ref="B87:B114"/>
    <mergeCell ref="B23:B50"/>
    <mergeCell ref="B52:B85"/>
    <mergeCell ref="C35:C36"/>
    <mergeCell ref="C70:C71"/>
    <mergeCell ref="C72:C73"/>
    <mergeCell ref="C74:C75"/>
    <mergeCell ref="C76:C77"/>
    <mergeCell ref="C78:C79"/>
    <mergeCell ref="C54:C55"/>
    <mergeCell ref="C56:C57"/>
    <mergeCell ref="C101:C102"/>
    <mergeCell ref="C109:C110"/>
    <mergeCell ref="C113:C114"/>
    <mergeCell ref="C47:C48"/>
    <mergeCell ref="C111:C112"/>
    <mergeCell ref="C80:C81"/>
    <mergeCell ref="C82:C83"/>
    <mergeCell ref="C105:C106"/>
    <mergeCell ref="C107:C108"/>
    <mergeCell ref="C89:C90"/>
    <mergeCell ref="C91:C92"/>
    <mergeCell ref="C93:C94"/>
    <mergeCell ref="C95:C96"/>
    <mergeCell ref="P45:P46"/>
    <mergeCell ref="N43:N44"/>
    <mergeCell ref="O43:O44"/>
    <mergeCell ref="P31:P32"/>
    <mergeCell ref="P39:P40"/>
    <mergeCell ref="L41:L42"/>
    <mergeCell ref="L39:L40"/>
    <mergeCell ref="M39:M40"/>
    <mergeCell ref="N39:N40"/>
    <mergeCell ref="O39:O40"/>
    <mergeCell ref="M33:M34"/>
    <mergeCell ref="N33:N34"/>
    <mergeCell ref="M43:M44"/>
    <mergeCell ref="L43:L44"/>
    <mergeCell ref="M45:M46"/>
    <mergeCell ref="O33:O34"/>
    <mergeCell ref="P33:P34"/>
    <mergeCell ref="N41:N42"/>
    <mergeCell ref="M41:M42"/>
    <mergeCell ref="O41:O42"/>
    <mergeCell ref="L37:L38"/>
    <mergeCell ref="M37:M38"/>
    <mergeCell ref="N37:N38"/>
    <mergeCell ref="B3:P3"/>
    <mergeCell ref="C52:C53"/>
    <mergeCell ref="B6:B21"/>
    <mergeCell ref="C6:C7"/>
    <mergeCell ref="C8:C9"/>
    <mergeCell ref="C10:C11"/>
    <mergeCell ref="P14:P15"/>
    <mergeCell ref="K10:K11"/>
    <mergeCell ref="L10:L11"/>
    <mergeCell ref="M10:M11"/>
    <mergeCell ref="N10:N11"/>
    <mergeCell ref="O10:O11"/>
    <mergeCell ref="M18:M19"/>
    <mergeCell ref="N18:N19"/>
    <mergeCell ref="O29:O30"/>
    <mergeCell ref="P29:P30"/>
    <mergeCell ref="N27:N28"/>
    <mergeCell ref="O27:O28"/>
    <mergeCell ref="L25:L26"/>
    <mergeCell ref="N25:N26"/>
    <mergeCell ref="P41:P42"/>
    <mergeCell ref="P43:P44"/>
    <mergeCell ref="L29:L30"/>
    <mergeCell ref="M29:M30"/>
    <mergeCell ref="L14:L15"/>
    <mergeCell ref="M14:M15"/>
    <mergeCell ref="M27:M28"/>
    <mergeCell ref="K33:K34"/>
    <mergeCell ref="L33:L34"/>
    <mergeCell ref="C18:C19"/>
    <mergeCell ref="K18:K19"/>
    <mergeCell ref="L18:L19"/>
    <mergeCell ref="C14:C15"/>
    <mergeCell ref="C25:C26"/>
    <mergeCell ref="C27:C28"/>
    <mergeCell ref="C16:C17"/>
    <mergeCell ref="C23:C24"/>
    <mergeCell ref="C29:C30"/>
    <mergeCell ref="C31:C32"/>
    <mergeCell ref="C33:C34"/>
    <mergeCell ref="C20:C21"/>
    <mergeCell ref="M16:M17"/>
    <mergeCell ref="M25:M26"/>
    <mergeCell ref="K29:K30"/>
    <mergeCell ref="K20:K21"/>
    <mergeCell ref="L20:L21"/>
    <mergeCell ref="M20:M21"/>
    <mergeCell ref="K14:K15"/>
    <mergeCell ref="P20:P21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O18:O19"/>
    <mergeCell ref="P18:P19"/>
    <mergeCell ref="P10:P11"/>
    <mergeCell ref="N14:N15"/>
    <mergeCell ref="O14:O15"/>
    <mergeCell ref="N16:N17"/>
    <mergeCell ref="O16:O17"/>
    <mergeCell ref="P16:P17"/>
    <mergeCell ref="K16:K17"/>
    <mergeCell ref="L16:L17"/>
    <mergeCell ref="N20:N21"/>
    <mergeCell ref="K41:K42"/>
    <mergeCell ref="K39:K40"/>
    <mergeCell ref="C87:C88"/>
    <mergeCell ref="C64:C65"/>
    <mergeCell ref="C66:C67"/>
    <mergeCell ref="C68:C69"/>
    <mergeCell ref="C49:C50"/>
    <mergeCell ref="C60:C61"/>
    <mergeCell ref="C62:C63"/>
    <mergeCell ref="K60:K61"/>
    <mergeCell ref="K72:K73"/>
    <mergeCell ref="K47:K48"/>
    <mergeCell ref="K87:K88"/>
    <mergeCell ref="K95:K96"/>
    <mergeCell ref="C37:C38"/>
    <mergeCell ref="O20:O21"/>
    <mergeCell ref="K31:K32"/>
    <mergeCell ref="L31:L32"/>
    <mergeCell ref="M31:M32"/>
    <mergeCell ref="N31:N32"/>
    <mergeCell ref="O31:O32"/>
    <mergeCell ref="O35:O36"/>
    <mergeCell ref="K25:K26"/>
    <mergeCell ref="K27:K28"/>
    <mergeCell ref="L27:L28"/>
    <mergeCell ref="O25:O26"/>
    <mergeCell ref="N29:N30"/>
    <mergeCell ref="K89:K90"/>
    <mergeCell ref="L89:L90"/>
    <mergeCell ref="M89:M90"/>
    <mergeCell ref="N89:N90"/>
    <mergeCell ref="O89:O90"/>
    <mergeCell ref="O68:O69"/>
    <mergeCell ref="M72:M73"/>
    <mergeCell ref="N72:N73"/>
    <mergeCell ref="O72:O73"/>
    <mergeCell ref="K93:K94"/>
    <mergeCell ref="P49:P50"/>
    <mergeCell ref="K49:K50"/>
    <mergeCell ref="L49:L50"/>
    <mergeCell ref="M49:M50"/>
    <mergeCell ref="N49:N50"/>
    <mergeCell ref="O49:O50"/>
    <mergeCell ref="K45:K46"/>
    <mergeCell ref="L45:L46"/>
    <mergeCell ref="P23:P24"/>
    <mergeCell ref="K23:K24"/>
    <mergeCell ref="L23:L24"/>
    <mergeCell ref="M23:M24"/>
    <mergeCell ref="N23:N24"/>
    <mergeCell ref="O23:O24"/>
    <mergeCell ref="P35:P36"/>
    <mergeCell ref="K37:K38"/>
    <mergeCell ref="O37:O38"/>
    <mergeCell ref="P37:P38"/>
    <mergeCell ref="K35:K36"/>
    <mergeCell ref="L35:L36"/>
    <mergeCell ref="M35:M36"/>
    <mergeCell ref="N35:N36"/>
    <mergeCell ref="P25:P26"/>
    <mergeCell ref="P27:P28"/>
    <mergeCell ref="P52:P53"/>
    <mergeCell ref="K54:K55"/>
    <mergeCell ref="L54:L55"/>
    <mergeCell ref="M54:M55"/>
    <mergeCell ref="N54:N55"/>
    <mergeCell ref="O54:O55"/>
    <mergeCell ref="P54:P55"/>
    <mergeCell ref="K52:K53"/>
    <mergeCell ref="L52:L53"/>
    <mergeCell ref="M52:M53"/>
    <mergeCell ref="N52:N53"/>
    <mergeCell ref="O52:O53"/>
    <mergeCell ref="L87:L88"/>
    <mergeCell ref="M87:M88"/>
    <mergeCell ref="N87:N88"/>
    <mergeCell ref="O87:O88"/>
    <mergeCell ref="K80:K81"/>
    <mergeCell ref="L80:L81"/>
    <mergeCell ref="M80:M81"/>
    <mergeCell ref="N80:N81"/>
    <mergeCell ref="O80:O81"/>
    <mergeCell ref="K82:K83"/>
    <mergeCell ref="L82:L83"/>
    <mergeCell ref="P68:P69"/>
    <mergeCell ref="K70:K71"/>
    <mergeCell ref="L70:L71"/>
    <mergeCell ref="M70:M71"/>
    <mergeCell ref="N70:N71"/>
    <mergeCell ref="O70:O71"/>
    <mergeCell ref="P70:P71"/>
    <mergeCell ref="K68:K69"/>
    <mergeCell ref="M68:M69"/>
    <mergeCell ref="N68:N69"/>
    <mergeCell ref="L93:L94"/>
    <mergeCell ref="M93:M94"/>
    <mergeCell ref="N93:N94"/>
    <mergeCell ref="O93:O94"/>
    <mergeCell ref="P93:P94"/>
    <mergeCell ref="K91:K92"/>
    <mergeCell ref="L91:L92"/>
    <mergeCell ref="M91:M92"/>
    <mergeCell ref="N91:N92"/>
    <mergeCell ref="O91:O92"/>
    <mergeCell ref="M78:M79"/>
    <mergeCell ref="N76:N77"/>
    <mergeCell ref="N78:N79"/>
    <mergeCell ref="N84:N85"/>
    <mergeCell ref="P91:P92"/>
    <mergeCell ref="P87:P88"/>
    <mergeCell ref="N82:N83"/>
    <mergeCell ref="O82:O83"/>
    <mergeCell ref="P82:P83"/>
    <mergeCell ref="P89:P90"/>
    <mergeCell ref="P80:P81"/>
    <mergeCell ref="B2:P2"/>
    <mergeCell ref="K76:K77"/>
    <mergeCell ref="K78:K79"/>
    <mergeCell ref="K84:K85"/>
    <mergeCell ref="L76:L77"/>
    <mergeCell ref="L78:L79"/>
    <mergeCell ref="C12:C13"/>
    <mergeCell ref="K12:K13"/>
    <mergeCell ref="L12:L13"/>
    <mergeCell ref="M12:M13"/>
    <mergeCell ref="N12:N13"/>
    <mergeCell ref="O12:O13"/>
    <mergeCell ref="P12:P13"/>
    <mergeCell ref="M84:M85"/>
    <mergeCell ref="L84:L85"/>
    <mergeCell ref="P72:P73"/>
    <mergeCell ref="K74:K75"/>
    <mergeCell ref="P76:P77"/>
    <mergeCell ref="P78:P79"/>
    <mergeCell ref="P84:P85"/>
    <mergeCell ref="O76:O77"/>
    <mergeCell ref="O78:O79"/>
    <mergeCell ref="O84:O85"/>
    <mergeCell ref="M76:M77"/>
    <mergeCell ref="L72:L73"/>
    <mergeCell ref="B4:P4"/>
    <mergeCell ref="P113:P114"/>
    <mergeCell ref="K113:K114"/>
    <mergeCell ref="L113:L114"/>
    <mergeCell ref="M113:M114"/>
    <mergeCell ref="N113:N114"/>
    <mergeCell ref="O113:O114"/>
    <mergeCell ref="K107:K108"/>
    <mergeCell ref="L107:L108"/>
    <mergeCell ref="M107:M108"/>
    <mergeCell ref="N107:N108"/>
    <mergeCell ref="O107:O108"/>
    <mergeCell ref="P107:P108"/>
    <mergeCell ref="K109:K110"/>
    <mergeCell ref="L109:L110"/>
    <mergeCell ref="M109:M110"/>
    <mergeCell ref="N109:N110"/>
    <mergeCell ref="P101:P102"/>
    <mergeCell ref="K99:K100"/>
    <mergeCell ref="L99:L100"/>
    <mergeCell ref="M99:M100"/>
    <mergeCell ref="N99:N100"/>
    <mergeCell ref="O109:O110"/>
    <mergeCell ref="L47:L48"/>
    <mergeCell ref="M47:M48"/>
    <mergeCell ref="N47:N48"/>
    <mergeCell ref="O47:O48"/>
    <mergeCell ref="P47:P48"/>
    <mergeCell ref="P109:P110"/>
    <mergeCell ref="O105:O106"/>
    <mergeCell ref="P105:P106"/>
    <mergeCell ref="K103:K104"/>
    <mergeCell ref="L103:L104"/>
    <mergeCell ref="M103:M104"/>
    <mergeCell ref="L74:L75"/>
    <mergeCell ref="M74:M75"/>
    <mergeCell ref="N74:N75"/>
    <mergeCell ref="O74:O75"/>
    <mergeCell ref="P74:P75"/>
    <mergeCell ref="O99:O100"/>
    <mergeCell ref="P103:P104"/>
    <mergeCell ref="K105:K106"/>
    <mergeCell ref="L105:L106"/>
    <mergeCell ref="M105:M106"/>
    <mergeCell ref="N105:N106"/>
    <mergeCell ref="P95:P96"/>
    <mergeCell ref="M82:M83"/>
    <mergeCell ref="L95:L96"/>
    <mergeCell ref="M95:M96"/>
    <mergeCell ref="N95:N96"/>
    <mergeCell ref="O95:O96"/>
    <mergeCell ref="N103:N104"/>
    <mergeCell ref="O103:O104"/>
    <mergeCell ref="P99:P100"/>
    <mergeCell ref="K101:K102"/>
    <mergeCell ref="K111:K112"/>
    <mergeCell ref="L111:L112"/>
    <mergeCell ref="M111:M112"/>
    <mergeCell ref="N111:N112"/>
    <mergeCell ref="O111:O112"/>
    <mergeCell ref="P111:P112"/>
    <mergeCell ref="K97:K98"/>
    <mergeCell ref="L97:L98"/>
    <mergeCell ref="M97:M98"/>
    <mergeCell ref="N97:N98"/>
    <mergeCell ref="O97:O98"/>
    <mergeCell ref="P97:P98"/>
    <mergeCell ref="L101:L102"/>
    <mergeCell ref="M101:M102"/>
    <mergeCell ref="N101:N102"/>
    <mergeCell ref="O101:O102"/>
  </mergeCells>
  <pageMargins left="0.7" right="0.7" top="0.75" bottom="0.75" header="0.3" footer="0.3"/>
  <pageSetup paperSize="173" orientation="portrait" r:id="rId1"/>
  <ignoredErrors>
    <ignoredError sqref="M23:M46 G113:G114 M49:M50 M6:M7 G107:G110 M11:M21 M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79"/>
  <sheetViews>
    <sheetView showGridLines="0" zoomScale="90" zoomScaleNormal="90" workbookViewId="0">
      <selection activeCell="J79" sqref="J79"/>
    </sheetView>
  </sheetViews>
  <sheetFormatPr baseColWidth="10" defaultColWidth="11.42578125" defaultRowHeight="15"/>
  <cols>
    <col min="1" max="1" width="22.28515625" style="21" customWidth="1"/>
    <col min="2" max="2" width="17.7109375" style="21" customWidth="1"/>
    <col min="3" max="3" width="15.7109375" style="21" customWidth="1"/>
    <col min="4" max="4" width="14" style="21" bestFit="1" customWidth="1"/>
    <col min="5" max="5" width="20" style="21" bestFit="1" customWidth="1"/>
    <col min="6" max="6" width="15.7109375" style="21" customWidth="1"/>
    <col min="7" max="7" width="14.5703125" style="24" bestFit="1" customWidth="1"/>
    <col min="8" max="8" width="15.42578125" style="38" bestFit="1" customWidth="1"/>
    <col min="9" max="9" width="12.28515625" style="21" customWidth="1"/>
    <col min="10" max="10" width="14.5703125" style="21" bestFit="1" customWidth="1"/>
    <col min="11" max="16384" width="11.42578125" style="21"/>
  </cols>
  <sheetData>
    <row r="1" spans="1:10" ht="15.75" thickBot="1">
      <c r="B1" s="34"/>
      <c r="C1" s="34"/>
      <c r="D1" s="34"/>
      <c r="E1" s="34"/>
      <c r="F1" s="34"/>
      <c r="G1" s="112"/>
      <c r="H1" s="37"/>
      <c r="I1" s="34"/>
      <c r="J1" s="34"/>
    </row>
    <row r="2" spans="1:10" ht="22.5" customHeight="1">
      <c r="B2" s="392" t="s">
        <v>237</v>
      </c>
      <c r="C2" s="393"/>
      <c r="D2" s="393"/>
      <c r="E2" s="393"/>
      <c r="F2" s="393"/>
      <c r="G2" s="393"/>
      <c r="H2" s="393"/>
      <c r="I2" s="393"/>
      <c r="J2" s="394"/>
    </row>
    <row r="3" spans="1:10" ht="25.5" customHeight="1" thickBot="1">
      <c r="B3" s="395">
        <f>+Resumen!B3</f>
        <v>44096</v>
      </c>
      <c r="C3" s="396"/>
      <c r="D3" s="396"/>
      <c r="E3" s="396"/>
      <c r="F3" s="396"/>
      <c r="G3" s="396"/>
      <c r="H3" s="396"/>
      <c r="I3" s="396"/>
      <c r="J3" s="397"/>
    </row>
    <row r="4" spans="1:10">
      <c r="A4" s="35"/>
      <c r="B4" s="401" t="s">
        <v>249</v>
      </c>
      <c r="C4" s="401"/>
      <c r="D4" s="401"/>
      <c r="E4" s="401"/>
      <c r="F4" s="401"/>
      <c r="G4" s="401"/>
      <c r="H4" s="401"/>
      <c r="I4" s="401"/>
      <c r="J4" s="401"/>
    </row>
    <row r="5" spans="1:10" ht="12" customHeight="1"/>
    <row r="6" spans="1:10" ht="13.5" customHeight="1" thickBot="1"/>
    <row r="7" spans="1:10" ht="39" customHeight="1" thickBot="1">
      <c r="B7" s="155" t="s">
        <v>154</v>
      </c>
      <c r="C7" s="156" t="s">
        <v>155</v>
      </c>
      <c r="D7" s="156" t="s">
        <v>156</v>
      </c>
      <c r="E7" s="156" t="s">
        <v>160</v>
      </c>
      <c r="F7" s="205" t="s">
        <v>169</v>
      </c>
      <c r="G7" s="156" t="s">
        <v>168</v>
      </c>
      <c r="H7" s="156" t="s">
        <v>167</v>
      </c>
      <c r="I7" s="156" t="s">
        <v>161</v>
      </c>
      <c r="J7" s="157" t="s">
        <v>162</v>
      </c>
    </row>
    <row r="8" spans="1:10">
      <c r="B8" s="278" t="s">
        <v>213</v>
      </c>
      <c r="C8" s="376" t="s">
        <v>214</v>
      </c>
      <c r="D8" s="381">
        <v>43928</v>
      </c>
      <c r="E8" s="376">
        <v>21282</v>
      </c>
      <c r="F8" s="207" t="s">
        <v>215</v>
      </c>
      <c r="G8" s="108">
        <v>6592.7349999999997</v>
      </c>
      <c r="H8" s="378">
        <f>G8+G9+G10</f>
        <v>21282</v>
      </c>
      <c r="I8" s="400">
        <f>E8-H8</f>
        <v>0</v>
      </c>
      <c r="J8" s="382">
        <f>H8/E8</f>
        <v>1</v>
      </c>
    </row>
    <row r="9" spans="1:10">
      <c r="B9" s="280"/>
      <c r="C9" s="248"/>
      <c r="D9" s="388"/>
      <c r="E9" s="248"/>
      <c r="F9" s="147" t="s">
        <v>216</v>
      </c>
      <c r="G9" s="204">
        <v>6852.8729999999996</v>
      </c>
      <c r="H9" s="398"/>
      <c r="I9" s="398"/>
      <c r="J9" s="383"/>
    </row>
    <row r="10" spans="1:10" ht="15.75" thickBot="1">
      <c r="B10" s="279"/>
      <c r="C10" s="377"/>
      <c r="D10" s="389"/>
      <c r="E10" s="377"/>
      <c r="F10" s="208" t="s">
        <v>217</v>
      </c>
      <c r="G10" s="73">
        <v>7836.3919999999998</v>
      </c>
      <c r="H10" s="399"/>
      <c r="I10" s="399"/>
      <c r="J10" s="384"/>
    </row>
    <row r="11" spans="1:10">
      <c r="B11" s="387" t="s">
        <v>12</v>
      </c>
      <c r="C11" s="376" t="s">
        <v>218</v>
      </c>
      <c r="D11" s="381">
        <v>43930</v>
      </c>
      <c r="E11" s="376">
        <v>2500</v>
      </c>
      <c r="F11" s="207" t="s">
        <v>219</v>
      </c>
      <c r="G11" s="108">
        <v>768.78099999999995</v>
      </c>
      <c r="H11" s="378">
        <f>+G11+G12+G13+G14+G15+G16</f>
        <v>2500</v>
      </c>
      <c r="I11" s="378">
        <f>+E11-H11</f>
        <v>0</v>
      </c>
      <c r="J11" s="382">
        <f>+H11/E11</f>
        <v>1</v>
      </c>
    </row>
    <row r="12" spans="1:10">
      <c r="B12" s="252"/>
      <c r="C12" s="248"/>
      <c r="D12" s="388"/>
      <c r="E12" s="248"/>
      <c r="F12" s="147" t="s">
        <v>220</v>
      </c>
      <c r="G12" s="204">
        <v>532.51</v>
      </c>
      <c r="H12" s="379"/>
      <c r="I12" s="379"/>
      <c r="J12" s="383"/>
    </row>
    <row r="13" spans="1:10">
      <c r="B13" s="252"/>
      <c r="C13" s="248"/>
      <c r="D13" s="388"/>
      <c r="E13" s="248"/>
      <c r="F13" s="147" t="s">
        <v>221</v>
      </c>
      <c r="G13" s="204">
        <v>549</v>
      </c>
      <c r="H13" s="379"/>
      <c r="I13" s="379"/>
      <c r="J13" s="383"/>
    </row>
    <row r="14" spans="1:10">
      <c r="B14" s="252"/>
      <c r="C14" s="248"/>
      <c r="D14" s="388"/>
      <c r="E14" s="248"/>
      <c r="F14" s="147" t="s">
        <v>222</v>
      </c>
      <c r="G14" s="204"/>
      <c r="H14" s="379"/>
      <c r="I14" s="379"/>
      <c r="J14" s="383"/>
    </row>
    <row r="15" spans="1:10">
      <c r="B15" s="252"/>
      <c r="C15" s="248"/>
      <c r="D15" s="388"/>
      <c r="E15" s="248"/>
      <c r="F15" s="147" t="s">
        <v>223</v>
      </c>
      <c r="G15" s="204">
        <v>621.07500000000005</v>
      </c>
      <c r="H15" s="379"/>
      <c r="I15" s="379"/>
      <c r="J15" s="383"/>
    </row>
    <row r="16" spans="1:10" ht="15.75" thickBot="1">
      <c r="B16" s="253"/>
      <c r="C16" s="377"/>
      <c r="D16" s="389"/>
      <c r="E16" s="377"/>
      <c r="F16" s="208" t="s">
        <v>224</v>
      </c>
      <c r="G16" s="73">
        <v>28.634</v>
      </c>
      <c r="H16" s="380"/>
      <c r="I16" s="380"/>
      <c r="J16" s="384"/>
    </row>
    <row r="17" spans="2:10">
      <c r="B17" s="387" t="s">
        <v>225</v>
      </c>
      <c r="C17" s="376" t="s">
        <v>226</v>
      </c>
      <c r="D17" s="381">
        <v>43930</v>
      </c>
      <c r="E17" s="376">
        <v>2400</v>
      </c>
      <c r="F17" s="207" t="s">
        <v>227</v>
      </c>
      <c r="G17" s="108">
        <v>1005.07</v>
      </c>
      <c r="H17" s="378">
        <f>+G17+G18+G19</f>
        <v>2400</v>
      </c>
      <c r="I17" s="378">
        <f>+E17-H17</f>
        <v>0</v>
      </c>
      <c r="J17" s="382">
        <f>+H17/E17</f>
        <v>1</v>
      </c>
    </row>
    <row r="18" spans="2:10">
      <c r="B18" s="252"/>
      <c r="C18" s="248"/>
      <c r="D18" s="388"/>
      <c r="E18" s="248"/>
      <c r="F18" s="147" t="s">
        <v>228</v>
      </c>
      <c r="G18" s="204">
        <v>1394.93</v>
      </c>
      <c r="H18" s="379"/>
      <c r="I18" s="379"/>
      <c r="J18" s="383"/>
    </row>
    <row r="19" spans="2:10" ht="15.75" thickBot="1">
      <c r="B19" s="253"/>
      <c r="C19" s="377"/>
      <c r="D19" s="389"/>
      <c r="E19" s="377"/>
      <c r="F19" s="208" t="s">
        <v>229</v>
      </c>
      <c r="G19" s="73"/>
      <c r="H19" s="380"/>
      <c r="I19" s="380"/>
      <c r="J19" s="384"/>
    </row>
    <row r="20" spans="2:10">
      <c r="B20" s="387" t="s">
        <v>231</v>
      </c>
      <c r="C20" s="376" t="s">
        <v>230</v>
      </c>
      <c r="D20" s="381">
        <v>43929</v>
      </c>
      <c r="E20" s="376">
        <v>5600</v>
      </c>
      <c r="F20" s="207" t="s">
        <v>232</v>
      </c>
      <c r="G20" s="108">
        <v>379.17700000000002</v>
      </c>
      <c r="H20" s="378">
        <f>+G20+G21+G22+G23+G24</f>
        <v>5600</v>
      </c>
      <c r="I20" s="378">
        <f>+E20-H20</f>
        <v>0</v>
      </c>
      <c r="J20" s="382">
        <f>+H20/E20</f>
        <v>1</v>
      </c>
    </row>
    <row r="21" spans="2:10">
      <c r="B21" s="252"/>
      <c r="C21" s="248"/>
      <c r="D21" s="388"/>
      <c r="E21" s="248"/>
      <c r="F21" s="147" t="s">
        <v>233</v>
      </c>
      <c r="G21" s="204">
        <v>3049.998</v>
      </c>
      <c r="H21" s="379"/>
      <c r="I21" s="379"/>
      <c r="J21" s="383"/>
    </row>
    <row r="22" spans="2:10">
      <c r="B22" s="252"/>
      <c r="C22" s="248"/>
      <c r="D22" s="388"/>
      <c r="E22" s="248"/>
      <c r="F22" s="147" t="s">
        <v>234</v>
      </c>
      <c r="G22" s="204">
        <v>657.79499999999996</v>
      </c>
      <c r="H22" s="379"/>
      <c r="I22" s="379"/>
      <c r="J22" s="383"/>
    </row>
    <row r="23" spans="2:10">
      <c r="B23" s="252"/>
      <c r="C23" s="248"/>
      <c r="D23" s="388"/>
      <c r="E23" s="248"/>
      <c r="F23" s="147" t="s">
        <v>235</v>
      </c>
      <c r="G23" s="204">
        <v>943.24</v>
      </c>
      <c r="H23" s="379"/>
      <c r="I23" s="379"/>
      <c r="J23" s="383"/>
    </row>
    <row r="24" spans="2:10" ht="15.75" thickBot="1">
      <c r="B24" s="253"/>
      <c r="C24" s="377"/>
      <c r="D24" s="389"/>
      <c r="E24" s="377"/>
      <c r="F24" s="208" t="s">
        <v>236</v>
      </c>
      <c r="G24" s="73">
        <v>569.79</v>
      </c>
      <c r="H24" s="380"/>
      <c r="I24" s="380"/>
      <c r="J24" s="384"/>
    </row>
    <row r="25" spans="2:10">
      <c r="B25" s="251" t="s">
        <v>231</v>
      </c>
      <c r="C25" s="403" t="s">
        <v>238</v>
      </c>
      <c r="D25" s="405">
        <v>43937</v>
      </c>
      <c r="E25" s="403">
        <v>5594</v>
      </c>
      <c r="F25" s="206" t="s">
        <v>232</v>
      </c>
      <c r="G25" s="203">
        <v>1322.1469999999999</v>
      </c>
      <c r="H25" s="359">
        <f>+G25+G26+G27+G28+G29</f>
        <v>5594</v>
      </c>
      <c r="I25" s="359">
        <f>+E25-H25</f>
        <v>0</v>
      </c>
      <c r="J25" s="390">
        <f>+H25/E25</f>
        <v>1</v>
      </c>
    </row>
    <row r="26" spans="2:10">
      <c r="B26" s="252"/>
      <c r="C26" s="248"/>
      <c r="D26" s="248"/>
      <c r="E26" s="248"/>
      <c r="F26" s="147" t="s">
        <v>233</v>
      </c>
      <c r="G26" s="193"/>
      <c r="H26" s="379"/>
      <c r="I26" s="379"/>
      <c r="J26" s="383"/>
    </row>
    <row r="27" spans="2:10">
      <c r="B27" s="252"/>
      <c r="C27" s="248"/>
      <c r="D27" s="248"/>
      <c r="E27" s="248"/>
      <c r="F27" s="147" t="s">
        <v>234</v>
      </c>
      <c r="G27" s="193">
        <v>1634.3109999999999</v>
      </c>
      <c r="H27" s="379"/>
      <c r="I27" s="379"/>
      <c r="J27" s="383"/>
    </row>
    <row r="28" spans="2:10">
      <c r="B28" s="252"/>
      <c r="C28" s="248"/>
      <c r="D28" s="248"/>
      <c r="E28" s="248"/>
      <c r="F28" s="147" t="s">
        <v>235</v>
      </c>
      <c r="G28" s="193">
        <v>637.1</v>
      </c>
      <c r="H28" s="379"/>
      <c r="I28" s="379"/>
      <c r="J28" s="383"/>
    </row>
    <row r="29" spans="2:10" ht="15.75" thickBot="1">
      <c r="B29" s="402"/>
      <c r="C29" s="404"/>
      <c r="D29" s="404"/>
      <c r="E29" s="404"/>
      <c r="F29" s="196" t="s">
        <v>236</v>
      </c>
      <c r="G29" s="202">
        <v>2000.442</v>
      </c>
      <c r="H29" s="358"/>
      <c r="I29" s="358"/>
      <c r="J29" s="391"/>
    </row>
    <row r="30" spans="2:10">
      <c r="B30" s="387" t="s">
        <v>239</v>
      </c>
      <c r="C30" s="376" t="s">
        <v>240</v>
      </c>
      <c r="D30" s="381">
        <v>43942</v>
      </c>
      <c r="E30" s="376">
        <v>3000</v>
      </c>
      <c r="F30" s="207" t="s">
        <v>241</v>
      </c>
      <c r="G30" s="108"/>
      <c r="H30" s="378">
        <f>+G30+G31+G32</f>
        <v>2964.1460000000002</v>
      </c>
      <c r="I30" s="378">
        <f>+E30-H30</f>
        <v>35.853999999999814</v>
      </c>
      <c r="J30" s="382">
        <f>+H30/E30</f>
        <v>0.98804866666666669</v>
      </c>
    </row>
    <row r="31" spans="2:10">
      <c r="B31" s="252"/>
      <c r="C31" s="248"/>
      <c r="D31" s="248"/>
      <c r="E31" s="248"/>
      <c r="F31" s="147" t="s">
        <v>227</v>
      </c>
      <c r="G31" s="204">
        <v>2964.1460000000002</v>
      </c>
      <c r="H31" s="379"/>
      <c r="I31" s="379"/>
      <c r="J31" s="383"/>
    </row>
    <row r="32" spans="2:10" ht="15.75" thickBot="1">
      <c r="B32" s="253"/>
      <c r="C32" s="377"/>
      <c r="D32" s="377"/>
      <c r="E32" s="377"/>
      <c r="F32" s="208" t="s">
        <v>228</v>
      </c>
      <c r="G32" s="73"/>
      <c r="H32" s="380"/>
      <c r="I32" s="380"/>
      <c r="J32" s="384"/>
    </row>
    <row r="33" spans="2:10">
      <c r="B33" s="368" t="s">
        <v>225</v>
      </c>
      <c r="C33" s="368">
        <v>1204</v>
      </c>
      <c r="D33" s="375">
        <v>43964</v>
      </c>
      <c r="E33" s="368">
        <v>5500</v>
      </c>
      <c r="F33" s="209" t="s">
        <v>228</v>
      </c>
      <c r="G33" s="210">
        <v>3488.0050000000001</v>
      </c>
      <c r="H33" s="352">
        <f>+G33+G34+G35+G36</f>
        <v>5500</v>
      </c>
      <c r="I33" s="352">
        <f>+E33-H33</f>
        <v>0</v>
      </c>
      <c r="J33" s="365">
        <f>+H33/E33</f>
        <v>1</v>
      </c>
    </row>
    <row r="34" spans="2:10">
      <c r="B34" s="369"/>
      <c r="C34" s="369"/>
      <c r="D34" s="369"/>
      <c r="E34" s="369"/>
      <c r="F34" s="196" t="s">
        <v>229</v>
      </c>
      <c r="G34" s="202"/>
      <c r="H34" s="353"/>
      <c r="I34" s="353"/>
      <c r="J34" s="366"/>
    </row>
    <row r="35" spans="2:10">
      <c r="B35" s="369"/>
      <c r="C35" s="369"/>
      <c r="D35" s="369"/>
      <c r="E35" s="369"/>
      <c r="F35" s="196" t="s">
        <v>241</v>
      </c>
      <c r="G35" s="202"/>
      <c r="H35" s="353"/>
      <c r="I35" s="353"/>
      <c r="J35" s="366"/>
    </row>
    <row r="36" spans="2:10" ht="15.75" thickBot="1">
      <c r="B36" s="370"/>
      <c r="C36" s="370"/>
      <c r="D36" s="370"/>
      <c r="E36" s="370"/>
      <c r="F36" s="208" t="s">
        <v>227</v>
      </c>
      <c r="G36" s="73">
        <v>2011.9949999999999</v>
      </c>
      <c r="H36" s="354"/>
      <c r="I36" s="354"/>
      <c r="J36" s="367"/>
    </row>
    <row r="37" spans="2:10">
      <c r="B37" s="371" t="s">
        <v>12</v>
      </c>
      <c r="C37" s="371">
        <v>1206</v>
      </c>
      <c r="D37" s="374">
        <v>43964</v>
      </c>
      <c r="E37" s="371">
        <v>7555</v>
      </c>
      <c r="F37" s="209" t="s">
        <v>219</v>
      </c>
      <c r="G37" s="210">
        <v>1423.1369999999999</v>
      </c>
      <c r="H37" s="352">
        <f>+G37+G38+G39+G40+G41+G42</f>
        <v>7555</v>
      </c>
      <c r="I37" s="352">
        <f>+E37-H37</f>
        <v>0</v>
      </c>
      <c r="J37" s="365">
        <f>+H37/E37</f>
        <v>1</v>
      </c>
    </row>
    <row r="38" spans="2:10">
      <c r="B38" s="372"/>
      <c r="C38" s="372"/>
      <c r="D38" s="372"/>
      <c r="E38" s="372"/>
      <c r="F38" s="196" t="s">
        <v>220</v>
      </c>
      <c r="G38" s="202">
        <v>587.08000000000004</v>
      </c>
      <c r="H38" s="353"/>
      <c r="I38" s="353"/>
      <c r="J38" s="366"/>
    </row>
    <row r="39" spans="2:10">
      <c r="B39" s="372"/>
      <c r="C39" s="372"/>
      <c r="D39" s="372"/>
      <c r="E39" s="372"/>
      <c r="F39" s="196" t="s">
        <v>221</v>
      </c>
      <c r="G39" s="202">
        <v>1290.94</v>
      </c>
      <c r="H39" s="353"/>
      <c r="I39" s="353"/>
      <c r="J39" s="366"/>
    </row>
    <row r="40" spans="2:10">
      <c r="B40" s="372"/>
      <c r="C40" s="372"/>
      <c r="D40" s="372"/>
      <c r="E40" s="372"/>
      <c r="F40" s="196" t="s">
        <v>222</v>
      </c>
      <c r="G40" s="202">
        <v>1295.183</v>
      </c>
      <c r="H40" s="353"/>
      <c r="I40" s="353"/>
      <c r="J40" s="366"/>
    </row>
    <row r="41" spans="2:10">
      <c r="B41" s="372"/>
      <c r="C41" s="372"/>
      <c r="D41" s="372"/>
      <c r="E41" s="372"/>
      <c r="F41" s="196" t="s">
        <v>223</v>
      </c>
      <c r="G41" s="202">
        <v>1576.43</v>
      </c>
      <c r="H41" s="353"/>
      <c r="I41" s="353"/>
      <c r="J41" s="366"/>
    </row>
    <row r="42" spans="2:10" ht="15.75" thickBot="1">
      <c r="B42" s="373"/>
      <c r="C42" s="373"/>
      <c r="D42" s="373"/>
      <c r="E42" s="373"/>
      <c r="F42" s="208" t="s">
        <v>224</v>
      </c>
      <c r="G42" s="73">
        <v>1382.23</v>
      </c>
      <c r="H42" s="354"/>
      <c r="I42" s="354"/>
      <c r="J42" s="367"/>
    </row>
    <row r="43" spans="2:10">
      <c r="B43" s="368" t="s">
        <v>231</v>
      </c>
      <c r="C43" s="368">
        <v>1207</v>
      </c>
      <c r="D43" s="375">
        <v>43964</v>
      </c>
      <c r="E43" s="368">
        <v>10000</v>
      </c>
      <c r="F43" s="209" t="s">
        <v>232</v>
      </c>
      <c r="G43" s="210">
        <v>4506.93</v>
      </c>
      <c r="H43" s="352">
        <f>+G43+G44+G45+G46+G47</f>
        <v>10000</v>
      </c>
      <c r="I43" s="352">
        <f>+E43-H43</f>
        <v>0</v>
      </c>
      <c r="J43" s="365">
        <f>+H43/E43</f>
        <v>1</v>
      </c>
    </row>
    <row r="44" spans="2:10">
      <c r="B44" s="369"/>
      <c r="C44" s="369"/>
      <c r="D44" s="369"/>
      <c r="E44" s="369"/>
      <c r="F44" s="196" t="s">
        <v>233</v>
      </c>
      <c r="G44" s="202">
        <v>1218.7</v>
      </c>
      <c r="H44" s="353"/>
      <c r="I44" s="353"/>
      <c r="J44" s="366"/>
    </row>
    <row r="45" spans="2:10">
      <c r="B45" s="369"/>
      <c r="C45" s="369"/>
      <c r="D45" s="369"/>
      <c r="E45" s="369"/>
      <c r="F45" s="196" t="s">
        <v>235</v>
      </c>
      <c r="G45" s="202">
        <v>1080.2349999999999</v>
      </c>
      <c r="H45" s="353"/>
      <c r="I45" s="353"/>
      <c r="J45" s="366"/>
    </row>
    <row r="46" spans="2:10">
      <c r="B46" s="369"/>
      <c r="C46" s="369"/>
      <c r="D46" s="369"/>
      <c r="E46" s="369"/>
      <c r="F46" s="196" t="s">
        <v>236</v>
      </c>
      <c r="G46" s="202">
        <v>1200.43</v>
      </c>
      <c r="H46" s="353"/>
      <c r="I46" s="353"/>
      <c r="J46" s="366"/>
    </row>
    <row r="47" spans="2:10" ht="15.75" thickBot="1">
      <c r="B47" s="370"/>
      <c r="C47" s="370"/>
      <c r="D47" s="370"/>
      <c r="E47" s="370"/>
      <c r="F47" s="208" t="s">
        <v>234</v>
      </c>
      <c r="G47" s="73">
        <v>1993.7049999999999</v>
      </c>
      <c r="H47" s="354"/>
      <c r="I47" s="354"/>
      <c r="J47" s="367"/>
    </row>
    <row r="48" spans="2:10">
      <c r="B48" s="345" t="s">
        <v>242</v>
      </c>
      <c r="C48" s="368">
        <v>1235</v>
      </c>
      <c r="D48" s="375">
        <v>43965</v>
      </c>
      <c r="E48" s="368">
        <v>20000</v>
      </c>
      <c r="F48" s="209" t="s">
        <v>243</v>
      </c>
      <c r="G48" s="210">
        <v>4957.509</v>
      </c>
      <c r="H48" s="352">
        <f>+G48+G49+G50+G51+G52</f>
        <v>20000</v>
      </c>
      <c r="I48" s="352">
        <f>+E48-H48</f>
        <v>0</v>
      </c>
      <c r="J48" s="365">
        <f>+H48/E48</f>
        <v>1</v>
      </c>
    </row>
    <row r="49" spans="2:10">
      <c r="B49" s="346"/>
      <c r="C49" s="369"/>
      <c r="D49" s="369"/>
      <c r="E49" s="369"/>
      <c r="F49" s="196" t="s">
        <v>244</v>
      </c>
      <c r="G49" s="202">
        <v>4004.9789999999998</v>
      </c>
      <c r="H49" s="353"/>
      <c r="I49" s="353"/>
      <c r="J49" s="366"/>
    </row>
    <row r="50" spans="2:10">
      <c r="B50" s="346"/>
      <c r="C50" s="369"/>
      <c r="D50" s="369"/>
      <c r="E50" s="369"/>
      <c r="F50" s="196" t="s">
        <v>245</v>
      </c>
      <c r="G50" s="202">
        <v>4078.636</v>
      </c>
      <c r="H50" s="353"/>
      <c r="I50" s="353"/>
      <c r="J50" s="366"/>
    </row>
    <row r="51" spans="2:10">
      <c r="B51" s="346"/>
      <c r="C51" s="369"/>
      <c r="D51" s="369"/>
      <c r="E51" s="369"/>
      <c r="F51" s="196" t="s">
        <v>246</v>
      </c>
      <c r="G51" s="202">
        <v>3155.3069999999998</v>
      </c>
      <c r="H51" s="353"/>
      <c r="I51" s="353"/>
      <c r="J51" s="366"/>
    </row>
    <row r="52" spans="2:10" ht="15.75" thickBot="1">
      <c r="B52" s="347"/>
      <c r="C52" s="370"/>
      <c r="D52" s="370"/>
      <c r="E52" s="370"/>
      <c r="F52" s="208" t="s">
        <v>247</v>
      </c>
      <c r="G52" s="73">
        <v>3803.569</v>
      </c>
      <c r="H52" s="354"/>
      <c r="I52" s="354"/>
      <c r="J52" s="367"/>
    </row>
    <row r="53" spans="2:10" ht="15.75" thickBot="1">
      <c r="B53" s="345" t="s">
        <v>12</v>
      </c>
      <c r="C53" s="345">
        <v>1283</v>
      </c>
      <c r="D53" s="360">
        <v>43979</v>
      </c>
      <c r="E53" s="345">
        <v>10000</v>
      </c>
      <c r="F53" s="213" t="s">
        <v>219</v>
      </c>
      <c r="G53" s="214">
        <v>529.53</v>
      </c>
      <c r="H53" s="352">
        <f>+G53+G54+G55+G56+G57+G58</f>
        <v>10000</v>
      </c>
      <c r="I53" s="352">
        <f>+E53-H53</f>
        <v>0</v>
      </c>
      <c r="J53" s="355">
        <f>+H53/E53</f>
        <v>1</v>
      </c>
    </row>
    <row r="54" spans="2:10" ht="15.75" thickBot="1">
      <c r="B54" s="346"/>
      <c r="C54" s="346"/>
      <c r="D54" s="346"/>
      <c r="E54" s="346"/>
      <c r="F54" s="213" t="s">
        <v>220</v>
      </c>
      <c r="G54" s="214">
        <v>3290.4850000000001</v>
      </c>
      <c r="H54" s="353"/>
      <c r="I54" s="353"/>
      <c r="J54" s="356"/>
    </row>
    <row r="55" spans="2:10" ht="15.75" thickBot="1">
      <c r="B55" s="346"/>
      <c r="C55" s="346"/>
      <c r="D55" s="346"/>
      <c r="E55" s="346"/>
      <c r="F55" s="213" t="s">
        <v>221</v>
      </c>
      <c r="G55" s="214">
        <v>1662.68</v>
      </c>
      <c r="H55" s="353"/>
      <c r="I55" s="353"/>
      <c r="J55" s="356"/>
    </row>
    <row r="56" spans="2:10" ht="15.75" thickBot="1">
      <c r="B56" s="346"/>
      <c r="C56" s="346"/>
      <c r="D56" s="346"/>
      <c r="E56" s="346"/>
      <c r="F56" s="213" t="s">
        <v>222</v>
      </c>
      <c r="G56" s="214">
        <v>1138.6600000000001</v>
      </c>
      <c r="H56" s="353"/>
      <c r="I56" s="353"/>
      <c r="J56" s="356"/>
    </row>
    <row r="57" spans="2:10" ht="15.75" thickBot="1">
      <c r="B57" s="346"/>
      <c r="C57" s="346"/>
      <c r="D57" s="346"/>
      <c r="E57" s="346"/>
      <c r="F57" s="213" t="s">
        <v>223</v>
      </c>
      <c r="G57" s="214">
        <v>1711.355</v>
      </c>
      <c r="H57" s="353"/>
      <c r="I57" s="353"/>
      <c r="J57" s="356"/>
    </row>
    <row r="58" spans="2:10" ht="15.75" thickBot="1">
      <c r="B58" s="347"/>
      <c r="C58" s="347"/>
      <c r="D58" s="347"/>
      <c r="E58" s="347"/>
      <c r="F58" s="213" t="s">
        <v>224</v>
      </c>
      <c r="G58" s="214">
        <v>1667.29</v>
      </c>
      <c r="H58" s="354"/>
      <c r="I58" s="354"/>
      <c r="J58" s="364"/>
    </row>
    <row r="59" spans="2:10" ht="15.75" thickBot="1">
      <c r="B59" s="345" t="s">
        <v>225</v>
      </c>
      <c r="C59" s="345">
        <v>1282</v>
      </c>
      <c r="D59" s="360">
        <v>43980</v>
      </c>
      <c r="E59" s="345">
        <v>3000</v>
      </c>
      <c r="F59" s="213" t="s">
        <v>227</v>
      </c>
      <c r="G59" s="217">
        <v>1714.5809999999999</v>
      </c>
      <c r="H59" s="361">
        <f>+G59+G60+G61</f>
        <v>3000</v>
      </c>
      <c r="I59" s="361">
        <f>+E59-H59</f>
        <v>0</v>
      </c>
      <c r="J59" s="355">
        <f>+H59/E59</f>
        <v>1</v>
      </c>
    </row>
    <row r="60" spans="2:10" ht="15.75" thickBot="1">
      <c r="B60" s="346"/>
      <c r="C60" s="346"/>
      <c r="D60" s="346"/>
      <c r="E60" s="346"/>
      <c r="F60" s="213" t="s">
        <v>228</v>
      </c>
      <c r="G60" s="217">
        <v>1285.4190000000001</v>
      </c>
      <c r="H60" s="362"/>
      <c r="I60" s="362"/>
      <c r="J60" s="356"/>
    </row>
    <row r="61" spans="2:10" ht="15.75" thickBot="1">
      <c r="B61" s="347"/>
      <c r="C61" s="347"/>
      <c r="D61" s="347"/>
      <c r="E61" s="347"/>
      <c r="F61" s="213" t="s">
        <v>229</v>
      </c>
      <c r="G61" s="217"/>
      <c r="H61" s="363"/>
      <c r="I61" s="363"/>
      <c r="J61" s="364"/>
    </row>
    <row r="62" spans="2:10" ht="15.75" thickBot="1">
      <c r="B62" s="345" t="s">
        <v>242</v>
      </c>
      <c r="C62" s="345">
        <v>1281</v>
      </c>
      <c r="D62" s="360">
        <v>43980</v>
      </c>
      <c r="E62" s="345">
        <v>1850</v>
      </c>
      <c r="F62" s="209" t="s">
        <v>243</v>
      </c>
      <c r="G62" s="217">
        <v>584.51300000000003</v>
      </c>
      <c r="H62" s="361">
        <f>+G62+G63+G64+G65+G66</f>
        <v>1850</v>
      </c>
      <c r="I62" s="361">
        <f>+E62-H62</f>
        <v>0</v>
      </c>
      <c r="J62" s="355">
        <f>+H62/E62</f>
        <v>1</v>
      </c>
    </row>
    <row r="63" spans="2:10" ht="15.75" thickBot="1">
      <c r="B63" s="346"/>
      <c r="C63" s="346"/>
      <c r="D63" s="346"/>
      <c r="E63" s="346"/>
      <c r="F63" s="196" t="s">
        <v>244</v>
      </c>
      <c r="G63" s="217">
        <v>245.209</v>
      </c>
      <c r="H63" s="362"/>
      <c r="I63" s="362"/>
      <c r="J63" s="356"/>
    </row>
    <row r="64" spans="2:10" ht="15.75" thickBot="1">
      <c r="B64" s="346"/>
      <c r="C64" s="346"/>
      <c r="D64" s="346"/>
      <c r="E64" s="346"/>
      <c r="F64" s="196" t="s">
        <v>245</v>
      </c>
      <c r="G64" s="217">
        <v>159.27699999999999</v>
      </c>
      <c r="H64" s="362"/>
      <c r="I64" s="362"/>
      <c r="J64" s="356"/>
    </row>
    <row r="65" spans="2:10" ht="15.75" thickBot="1">
      <c r="B65" s="346"/>
      <c r="C65" s="346"/>
      <c r="D65" s="346"/>
      <c r="E65" s="346"/>
      <c r="F65" s="196" t="s">
        <v>246</v>
      </c>
      <c r="G65" s="217">
        <v>388.39800000000002</v>
      </c>
      <c r="H65" s="362"/>
      <c r="I65" s="362"/>
      <c r="J65" s="356"/>
    </row>
    <row r="66" spans="2:10" ht="15.75" thickBot="1">
      <c r="B66" s="347"/>
      <c r="C66" s="347"/>
      <c r="D66" s="347"/>
      <c r="E66" s="347"/>
      <c r="F66" s="208" t="s">
        <v>247</v>
      </c>
      <c r="G66" s="217">
        <v>472.60300000000001</v>
      </c>
      <c r="H66" s="363"/>
      <c r="I66" s="363"/>
      <c r="J66" s="364"/>
    </row>
    <row r="67" spans="2:10" ht="15.75" thickBot="1">
      <c r="B67" s="345" t="s">
        <v>242</v>
      </c>
      <c r="C67" s="345">
        <v>1454</v>
      </c>
      <c r="D67" s="360">
        <v>44019</v>
      </c>
      <c r="E67" s="345">
        <v>2065</v>
      </c>
      <c r="F67" s="209" t="s">
        <v>243</v>
      </c>
      <c r="G67" s="237">
        <v>824.57299999999998</v>
      </c>
      <c r="H67" s="361">
        <f>+G67+G68+G69+G70+G71</f>
        <v>2065</v>
      </c>
      <c r="I67" s="361">
        <f>+E67-H67</f>
        <v>0</v>
      </c>
      <c r="J67" s="355">
        <f>+H67/E67</f>
        <v>1</v>
      </c>
    </row>
    <row r="68" spans="2:10" ht="15.75" thickBot="1">
      <c r="B68" s="346"/>
      <c r="C68" s="346"/>
      <c r="D68" s="346"/>
      <c r="E68" s="346"/>
      <c r="F68" s="196" t="s">
        <v>244</v>
      </c>
      <c r="G68" s="237"/>
      <c r="H68" s="362"/>
      <c r="I68" s="362"/>
      <c r="J68" s="356"/>
    </row>
    <row r="69" spans="2:10" ht="15.75" thickBot="1">
      <c r="B69" s="346"/>
      <c r="C69" s="346"/>
      <c r="D69" s="346"/>
      <c r="E69" s="346"/>
      <c r="F69" s="196" t="s">
        <v>245</v>
      </c>
      <c r="G69" s="237">
        <v>646.43499999999995</v>
      </c>
      <c r="H69" s="362"/>
      <c r="I69" s="362"/>
      <c r="J69" s="356"/>
    </row>
    <row r="70" spans="2:10" ht="15.75" thickBot="1">
      <c r="B70" s="346"/>
      <c r="C70" s="346"/>
      <c r="D70" s="346"/>
      <c r="E70" s="346"/>
      <c r="F70" s="196" t="s">
        <v>246</v>
      </c>
      <c r="G70" s="237">
        <v>593.99199999999996</v>
      </c>
      <c r="H70" s="362"/>
      <c r="I70" s="362"/>
      <c r="J70" s="356"/>
    </row>
    <row r="71" spans="2:10" ht="15.75" thickBot="1">
      <c r="B71" s="347"/>
      <c r="C71" s="347"/>
      <c r="D71" s="347"/>
      <c r="E71" s="347"/>
      <c r="F71" s="208" t="s">
        <v>247</v>
      </c>
      <c r="G71" s="237"/>
      <c r="H71" s="363"/>
      <c r="I71" s="363"/>
      <c r="J71" s="364"/>
    </row>
    <row r="72" spans="2:10" ht="15.75" thickBot="1">
      <c r="B72" s="345" t="s">
        <v>213</v>
      </c>
      <c r="C72" s="348">
        <v>1653</v>
      </c>
      <c r="D72" s="351">
        <v>44035</v>
      </c>
      <c r="E72" s="348">
        <v>6049</v>
      </c>
      <c r="F72" s="213" t="s">
        <v>215</v>
      </c>
      <c r="G72" s="243">
        <v>2746.518</v>
      </c>
      <c r="H72" s="352">
        <f>G72+G73+G75</f>
        <v>6049</v>
      </c>
      <c r="I72" s="406">
        <f>E72-H72</f>
        <v>0</v>
      </c>
      <c r="J72" s="355">
        <f>H72/E72</f>
        <v>1</v>
      </c>
    </row>
    <row r="73" spans="2:10" ht="15.75" thickBot="1">
      <c r="B73" s="346"/>
      <c r="C73" s="349"/>
      <c r="D73" s="349"/>
      <c r="E73" s="349"/>
      <c r="F73" s="213" t="s">
        <v>216</v>
      </c>
      <c r="G73" s="243">
        <v>1092.4829999999999</v>
      </c>
      <c r="H73" s="353"/>
      <c r="I73" s="407"/>
      <c r="J73" s="356"/>
    </row>
    <row r="74" spans="2:10" ht="15.75" thickBot="1">
      <c r="B74" s="346"/>
      <c r="C74" s="349"/>
      <c r="D74" s="349"/>
      <c r="E74" s="349"/>
      <c r="F74" s="213"/>
      <c r="G74" s="246"/>
      <c r="H74" s="353"/>
      <c r="I74" s="407"/>
      <c r="J74" s="356"/>
    </row>
    <row r="75" spans="2:10" ht="15.75" thickBot="1">
      <c r="B75" s="347"/>
      <c r="C75" s="350"/>
      <c r="D75" s="350"/>
      <c r="E75" s="350"/>
      <c r="F75" s="213" t="s">
        <v>217</v>
      </c>
      <c r="G75" s="243">
        <v>2209.9989999999998</v>
      </c>
      <c r="H75" s="359"/>
      <c r="I75" s="408"/>
      <c r="J75" s="364"/>
    </row>
    <row r="76" spans="2:10" ht="15.75" thickBot="1">
      <c r="B76" s="345" t="s">
        <v>256</v>
      </c>
      <c r="C76" s="348">
        <v>2006</v>
      </c>
      <c r="D76" s="351">
        <v>44084</v>
      </c>
      <c r="E76" s="348">
        <v>7539</v>
      </c>
      <c r="F76" s="213" t="s">
        <v>227</v>
      </c>
      <c r="G76" s="246"/>
      <c r="H76" s="358">
        <f>G76+G77+G78</f>
        <v>0</v>
      </c>
      <c r="I76" s="352">
        <f>E76-H76</f>
        <v>7539</v>
      </c>
      <c r="J76" s="355">
        <f>H76/E76</f>
        <v>0</v>
      </c>
    </row>
    <row r="77" spans="2:10" ht="15.75" thickBot="1">
      <c r="B77" s="346"/>
      <c r="C77" s="349"/>
      <c r="D77" s="349"/>
      <c r="E77" s="349"/>
      <c r="F77" s="213" t="s">
        <v>228</v>
      </c>
      <c r="G77" s="246"/>
      <c r="H77" s="353"/>
      <c r="I77" s="353"/>
      <c r="J77" s="356"/>
    </row>
    <row r="78" spans="2:10" ht="15.75" thickBot="1">
      <c r="B78" s="347"/>
      <c r="C78" s="350"/>
      <c r="D78" s="350"/>
      <c r="E78" s="350"/>
      <c r="F78" s="213" t="s">
        <v>241</v>
      </c>
      <c r="G78" s="246"/>
      <c r="H78" s="359"/>
      <c r="I78" s="354"/>
      <c r="J78" s="357"/>
    </row>
    <row r="79" spans="2:10" s="24" customFormat="1" ht="24" customHeight="1" thickBot="1">
      <c r="B79" s="385"/>
      <c r="C79" s="386"/>
      <c r="D79" s="386"/>
      <c r="E79" s="211">
        <f>SUM(E8:E78)</f>
        <v>113934</v>
      </c>
      <c r="F79" s="211"/>
      <c r="G79" s="212">
        <f>SUM(G8:G78)</f>
        <v>106359.14600000001</v>
      </c>
      <c r="H79" s="215">
        <f>SUM(H8:H78)</f>
        <v>106359.14600000001</v>
      </c>
      <c r="I79" s="216">
        <f>+E79-H79</f>
        <v>7574.8539999999921</v>
      </c>
      <c r="J79" s="247">
        <f>H79/E79</f>
        <v>0.93351542120877007</v>
      </c>
    </row>
  </sheetData>
  <mergeCells count="116">
    <mergeCell ref="I30:I32"/>
    <mergeCell ref="J30:J32"/>
    <mergeCell ref="B25:B29"/>
    <mergeCell ref="C25:C29"/>
    <mergeCell ref="D25:D29"/>
    <mergeCell ref="E25:E29"/>
    <mergeCell ref="H25:H29"/>
    <mergeCell ref="E72:E75"/>
    <mergeCell ref="C72:C75"/>
    <mergeCell ref="D72:D75"/>
    <mergeCell ref="B72:B75"/>
    <mergeCell ref="H72:H75"/>
    <mergeCell ref="I72:I75"/>
    <mergeCell ref="J72:J75"/>
    <mergeCell ref="I67:I71"/>
    <mergeCell ref="J67:J71"/>
    <mergeCell ref="B67:B71"/>
    <mergeCell ref="C67:C71"/>
    <mergeCell ref="D67:D71"/>
    <mergeCell ref="E67:E71"/>
    <mergeCell ref="H67:H71"/>
    <mergeCell ref="B33:B36"/>
    <mergeCell ref="C33:C36"/>
    <mergeCell ref="D33:D36"/>
    <mergeCell ref="B2:J2"/>
    <mergeCell ref="B3:J3"/>
    <mergeCell ref="C8:C10"/>
    <mergeCell ref="D8:D10"/>
    <mergeCell ref="E8:E10"/>
    <mergeCell ref="H8:H10"/>
    <mergeCell ref="I8:I10"/>
    <mergeCell ref="J8:J10"/>
    <mergeCell ref="B8:B10"/>
    <mergeCell ref="B4:J4"/>
    <mergeCell ref="I20:I24"/>
    <mergeCell ref="J20:J24"/>
    <mergeCell ref="H11:H16"/>
    <mergeCell ref="I11:I16"/>
    <mergeCell ref="J11:J16"/>
    <mergeCell ref="H17:H19"/>
    <mergeCell ref="I17:I19"/>
    <mergeCell ref="J17:J19"/>
    <mergeCell ref="B79:D79"/>
    <mergeCell ref="B11:B16"/>
    <mergeCell ref="C11:C16"/>
    <mergeCell ref="D11:D16"/>
    <mergeCell ref="E11:E16"/>
    <mergeCell ref="B17:B19"/>
    <mergeCell ref="C17:C19"/>
    <mergeCell ref="D17:D19"/>
    <mergeCell ref="E17:E19"/>
    <mergeCell ref="B20:B24"/>
    <mergeCell ref="C20:C24"/>
    <mergeCell ref="D20:D24"/>
    <mergeCell ref="I25:I29"/>
    <mergeCell ref="J25:J29"/>
    <mergeCell ref="B30:B32"/>
    <mergeCell ref="C30:C32"/>
    <mergeCell ref="E33:E36"/>
    <mergeCell ref="H33:H36"/>
    <mergeCell ref="B43:B47"/>
    <mergeCell ref="C43:C47"/>
    <mergeCell ref="D43:D47"/>
    <mergeCell ref="E20:E24"/>
    <mergeCell ref="H20:H24"/>
    <mergeCell ref="D30:D32"/>
    <mergeCell ref="E30:E32"/>
    <mergeCell ref="H30:H32"/>
    <mergeCell ref="D37:D42"/>
    <mergeCell ref="E37:E42"/>
    <mergeCell ref="H37:H42"/>
    <mergeCell ref="I37:I42"/>
    <mergeCell ref="J37:J42"/>
    <mergeCell ref="B48:B52"/>
    <mergeCell ref="C48:C52"/>
    <mergeCell ref="D48:D52"/>
    <mergeCell ref="E48:E52"/>
    <mergeCell ref="H48:H52"/>
    <mergeCell ref="I33:I36"/>
    <mergeCell ref="J33:J36"/>
    <mergeCell ref="E43:E47"/>
    <mergeCell ref="H43:H47"/>
    <mergeCell ref="I43:I47"/>
    <mergeCell ref="J43:J47"/>
    <mergeCell ref="B59:B61"/>
    <mergeCell ref="C59:C61"/>
    <mergeCell ref="D59:D61"/>
    <mergeCell ref="E59:E61"/>
    <mergeCell ref="H59:H61"/>
    <mergeCell ref="J53:J58"/>
    <mergeCell ref="B53:B58"/>
    <mergeCell ref="C53:C58"/>
    <mergeCell ref="D53:D58"/>
    <mergeCell ref="E53:E58"/>
    <mergeCell ref="H53:H58"/>
    <mergeCell ref="I59:I61"/>
    <mergeCell ref="J59:J61"/>
    <mergeCell ref="I53:I58"/>
    <mergeCell ref="I48:I52"/>
    <mergeCell ref="J48:J52"/>
    <mergeCell ref="B37:B42"/>
    <mergeCell ref="C37:C42"/>
    <mergeCell ref="B76:B78"/>
    <mergeCell ref="C76:C78"/>
    <mergeCell ref="D76:D78"/>
    <mergeCell ref="E76:E78"/>
    <mergeCell ref="I76:I78"/>
    <mergeCell ref="J76:J78"/>
    <mergeCell ref="H76:H78"/>
    <mergeCell ref="B62:B66"/>
    <mergeCell ref="C62:C66"/>
    <mergeCell ref="D62:D66"/>
    <mergeCell ref="E62:E66"/>
    <mergeCell ref="H62:H66"/>
    <mergeCell ref="I62:I66"/>
    <mergeCell ref="J62:J6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1:J25"/>
  <sheetViews>
    <sheetView showGridLines="0" topLeftCell="C1" workbookViewId="0">
      <selection activeCell="H26" sqref="H26"/>
    </sheetView>
  </sheetViews>
  <sheetFormatPr baseColWidth="10" defaultColWidth="11.42578125" defaultRowHeight="15"/>
  <cols>
    <col min="1" max="1" width="25.85546875" style="24" customWidth="1"/>
    <col min="2" max="2" width="16.5703125" style="24" customWidth="1"/>
    <col min="3" max="3" width="16.28515625" style="24" bestFit="1" customWidth="1"/>
    <col min="4" max="4" width="16.28515625" style="24" customWidth="1"/>
    <col min="5" max="5" width="19.42578125" style="24" customWidth="1"/>
    <col min="6" max="6" width="18.28515625" style="24" customWidth="1"/>
    <col min="7" max="7" width="15.85546875" style="24" customWidth="1"/>
    <col min="8" max="8" width="19.28515625" style="24" customWidth="1"/>
    <col min="9" max="9" width="11.28515625" style="24" bestFit="1" customWidth="1"/>
    <col min="10" max="10" width="13.140625" style="24" bestFit="1" customWidth="1"/>
    <col min="11" max="16384" width="11.42578125" style="24"/>
  </cols>
  <sheetData>
    <row r="1" spans="3:10" ht="15.75" thickBot="1"/>
    <row r="2" spans="3:10" ht="15.75">
      <c r="C2" s="409" t="s">
        <v>253</v>
      </c>
      <c r="D2" s="410"/>
      <c r="E2" s="410"/>
      <c r="F2" s="410"/>
      <c r="G2" s="410"/>
      <c r="H2" s="411"/>
    </row>
    <row r="3" spans="3:10">
      <c r="C3" s="412" t="s">
        <v>151</v>
      </c>
      <c r="D3" s="413"/>
      <c r="E3" s="413"/>
      <c r="F3" s="413"/>
      <c r="G3" s="413"/>
      <c r="H3" s="414"/>
    </row>
    <row r="4" spans="3:10" ht="15.75" thickBot="1">
      <c r="C4" s="415">
        <f>+Resumen!B3</f>
        <v>44096</v>
      </c>
      <c r="D4" s="416"/>
      <c r="E4" s="416"/>
      <c r="F4" s="416"/>
      <c r="G4" s="416"/>
      <c r="H4" s="417"/>
    </row>
    <row r="5" spans="3:10" ht="15.75" thickBot="1">
      <c r="C5" s="271" t="s">
        <v>212</v>
      </c>
      <c r="D5" s="271"/>
      <c r="E5" s="271"/>
      <c r="F5" s="271"/>
      <c r="G5" s="271"/>
      <c r="H5" s="271"/>
    </row>
    <row r="6" spans="3:10" ht="15.75" thickBot="1">
      <c r="C6" s="418" t="s">
        <v>164</v>
      </c>
      <c r="D6" s="419"/>
      <c r="E6" s="419"/>
      <c r="F6" s="419"/>
      <c r="G6" s="419"/>
      <c r="H6" s="420"/>
      <c r="I6" s="27"/>
    </row>
    <row r="7" spans="3:10">
      <c r="C7" s="48" t="s">
        <v>142</v>
      </c>
      <c r="D7" s="164"/>
      <c r="E7" s="46" t="s">
        <v>143</v>
      </c>
      <c r="F7" s="47" t="s">
        <v>148</v>
      </c>
      <c r="G7" s="47" t="s">
        <v>149</v>
      </c>
      <c r="H7" s="49" t="s">
        <v>144</v>
      </c>
    </row>
    <row r="8" spans="3:10" ht="15.75" thickBot="1">
      <c r="C8" s="2" t="s">
        <v>109</v>
      </c>
      <c r="D8" s="10"/>
      <c r="E8" s="3">
        <v>4390</v>
      </c>
      <c r="F8" s="96">
        <f>+G25</f>
        <v>3661.0619999999999</v>
      </c>
      <c r="G8" s="3">
        <f>E8-F8</f>
        <v>728.9380000000001</v>
      </c>
      <c r="H8" s="50">
        <f>F8/E8</f>
        <v>0.83395489749430518</v>
      </c>
    </row>
    <row r="9" spans="3:10">
      <c r="C9" s="27"/>
      <c r="D9" s="27"/>
      <c r="E9" s="27"/>
      <c r="F9" s="27"/>
      <c r="G9" s="27"/>
      <c r="H9" s="27"/>
      <c r="I9" s="45"/>
    </row>
    <row r="10" spans="3:10" ht="15.75" thickBot="1"/>
    <row r="11" spans="3:10">
      <c r="C11" s="155" t="s">
        <v>145</v>
      </c>
      <c r="D11" s="165" t="s">
        <v>137</v>
      </c>
      <c r="E11" s="156" t="s">
        <v>146</v>
      </c>
      <c r="F11" s="156" t="s">
        <v>153</v>
      </c>
      <c r="G11" s="156" t="s">
        <v>148</v>
      </c>
      <c r="H11" s="156" t="s">
        <v>150</v>
      </c>
      <c r="I11" s="157" t="s">
        <v>144</v>
      </c>
      <c r="J11" s="157" t="s">
        <v>106</v>
      </c>
    </row>
    <row r="12" spans="3:10">
      <c r="C12" s="51" t="s">
        <v>189</v>
      </c>
      <c r="D12" s="51" t="s">
        <v>193</v>
      </c>
      <c r="E12" s="51" t="s">
        <v>109</v>
      </c>
      <c r="F12" s="51">
        <f>+E8*0.15</f>
        <v>658.5</v>
      </c>
      <c r="G12" s="185">
        <v>661.07899999999995</v>
      </c>
      <c r="H12" s="72">
        <f>F12-G12</f>
        <v>-2.5789999999999509</v>
      </c>
      <c r="I12" s="158">
        <f>G12/F12</f>
        <v>1.003916476841306</v>
      </c>
      <c r="J12" s="151"/>
    </row>
    <row r="13" spans="3:10">
      <c r="C13" s="51" t="s">
        <v>189</v>
      </c>
      <c r="D13" s="51" t="s">
        <v>194</v>
      </c>
      <c r="E13" s="51" t="s">
        <v>109</v>
      </c>
      <c r="F13" s="51">
        <f>+E8*0.15</f>
        <v>658.5</v>
      </c>
      <c r="G13" s="185">
        <v>94.350999999999999</v>
      </c>
      <c r="H13" s="51">
        <f>F13-G13</f>
        <v>564.149</v>
      </c>
      <c r="I13" s="159">
        <f>G13/F13</f>
        <v>0.14328170083523159</v>
      </c>
      <c r="J13" s="151"/>
    </row>
    <row r="14" spans="3:10">
      <c r="C14" s="51" t="s">
        <v>189</v>
      </c>
      <c r="D14" s="51" t="s">
        <v>195</v>
      </c>
      <c r="E14" s="51" t="s">
        <v>109</v>
      </c>
      <c r="F14" s="160">
        <f>+E8*0.1</f>
        <v>439</v>
      </c>
      <c r="G14" s="185"/>
      <c r="H14" s="51">
        <f t="shared" ref="H14:H20" si="0">F14-G14</f>
        <v>439</v>
      </c>
      <c r="I14" s="159">
        <f t="shared" ref="I14:I20" si="1">G14/F14</f>
        <v>0</v>
      </c>
      <c r="J14" s="154"/>
    </row>
    <row r="15" spans="3:10">
      <c r="C15" s="154" t="s">
        <v>190</v>
      </c>
      <c r="D15" s="154" t="s">
        <v>196</v>
      </c>
      <c r="E15" s="154" t="s">
        <v>109</v>
      </c>
      <c r="F15" s="154">
        <f>+E8*0.1</f>
        <v>439</v>
      </c>
      <c r="G15" s="185">
        <v>439</v>
      </c>
      <c r="H15" s="51">
        <f t="shared" si="0"/>
        <v>0</v>
      </c>
      <c r="I15" s="159">
        <f t="shared" si="1"/>
        <v>1</v>
      </c>
      <c r="J15" s="179">
        <v>43906</v>
      </c>
    </row>
    <row r="16" spans="3:10">
      <c r="C16" s="154" t="s">
        <v>190</v>
      </c>
      <c r="D16" s="154" t="s">
        <v>197</v>
      </c>
      <c r="E16" s="154" t="s">
        <v>109</v>
      </c>
      <c r="F16" s="154">
        <f>+E8*0.1</f>
        <v>439</v>
      </c>
      <c r="G16" s="185">
        <v>439</v>
      </c>
      <c r="H16" s="51">
        <f t="shared" si="0"/>
        <v>0</v>
      </c>
      <c r="I16" s="159">
        <f t="shared" si="1"/>
        <v>1</v>
      </c>
      <c r="J16" s="179">
        <v>43906</v>
      </c>
    </row>
    <row r="17" spans="3:10">
      <c r="C17" s="154" t="s">
        <v>190</v>
      </c>
      <c r="D17" s="154" t="s">
        <v>198</v>
      </c>
      <c r="E17" s="154" t="s">
        <v>109</v>
      </c>
      <c r="F17" s="154">
        <f>+E8*0.05</f>
        <v>219.5</v>
      </c>
      <c r="G17" s="185">
        <v>219.5</v>
      </c>
      <c r="H17" s="51">
        <f t="shared" si="0"/>
        <v>0</v>
      </c>
      <c r="I17" s="159">
        <f t="shared" si="1"/>
        <v>1</v>
      </c>
      <c r="J17" s="179">
        <v>43906</v>
      </c>
    </row>
    <row r="18" spans="3:10">
      <c r="C18" s="154" t="s">
        <v>190</v>
      </c>
      <c r="D18" s="154" t="s">
        <v>199</v>
      </c>
      <c r="E18" s="154" t="s">
        <v>109</v>
      </c>
      <c r="F18" s="154">
        <f>+E8*0.05</f>
        <v>219.5</v>
      </c>
      <c r="G18" s="185">
        <v>219.5</v>
      </c>
      <c r="H18" s="51">
        <f t="shared" si="0"/>
        <v>0</v>
      </c>
      <c r="I18" s="159">
        <f t="shared" si="1"/>
        <v>1</v>
      </c>
      <c r="J18" s="179">
        <v>43906</v>
      </c>
    </row>
    <row r="19" spans="3:10">
      <c r="C19" s="154" t="s">
        <v>190</v>
      </c>
      <c r="D19" s="154" t="s">
        <v>200</v>
      </c>
      <c r="E19" s="154" t="s">
        <v>109</v>
      </c>
      <c r="F19" s="154">
        <f>+E8*0.05</f>
        <v>219.5</v>
      </c>
      <c r="G19" s="185">
        <v>286.31</v>
      </c>
      <c r="H19" s="51">
        <f t="shared" si="0"/>
        <v>-66.81</v>
      </c>
      <c r="I19" s="159">
        <f t="shared" si="1"/>
        <v>1.304373576309795</v>
      </c>
      <c r="J19" s="179">
        <v>43906</v>
      </c>
    </row>
    <row r="20" spans="3:10">
      <c r="C20" s="154" t="s">
        <v>190</v>
      </c>
      <c r="D20" s="154" t="s">
        <v>201</v>
      </c>
      <c r="E20" s="154" t="s">
        <v>109</v>
      </c>
      <c r="F20" s="154">
        <f>+E8*0.05</f>
        <v>219.5</v>
      </c>
      <c r="G20" s="185">
        <v>216.59</v>
      </c>
      <c r="H20" s="51">
        <f t="shared" si="0"/>
        <v>2.9099999999999966</v>
      </c>
      <c r="I20" s="159">
        <f t="shared" si="1"/>
        <v>0.9867425968109339</v>
      </c>
      <c r="J20" s="179">
        <v>43906</v>
      </c>
    </row>
    <row r="21" spans="3:10">
      <c r="C21" s="154" t="s">
        <v>191</v>
      </c>
      <c r="D21" s="154" t="s">
        <v>202</v>
      </c>
      <c r="E21" s="154" t="s">
        <v>109</v>
      </c>
      <c r="F21" s="154">
        <f>+E8*0.05</f>
        <v>219.5</v>
      </c>
      <c r="G21" s="185">
        <v>350.09</v>
      </c>
      <c r="H21" s="51">
        <f t="shared" ref="H21:H24" si="2">F21-G21</f>
        <v>-130.58999999999997</v>
      </c>
      <c r="I21" s="159">
        <f t="shared" ref="I21:I24" si="3">G21/F21</f>
        <v>1.5949430523917993</v>
      </c>
      <c r="J21" s="179">
        <v>43906</v>
      </c>
    </row>
    <row r="22" spans="3:10">
      <c r="C22" s="154" t="s">
        <v>192</v>
      </c>
      <c r="D22" s="154" t="s">
        <v>203</v>
      </c>
      <c r="E22" s="154" t="s">
        <v>109</v>
      </c>
      <c r="F22" s="154">
        <f>+E8*0.05</f>
        <v>219.5</v>
      </c>
      <c r="G22" s="185">
        <v>219.5</v>
      </c>
      <c r="H22" s="51">
        <f t="shared" si="2"/>
        <v>0</v>
      </c>
      <c r="I22" s="159">
        <f t="shared" si="3"/>
        <v>1</v>
      </c>
      <c r="J22" s="179">
        <v>43906</v>
      </c>
    </row>
    <row r="23" spans="3:10">
      <c r="C23" s="154" t="s">
        <v>192</v>
      </c>
      <c r="D23" s="154" t="s">
        <v>204</v>
      </c>
      <c r="E23" s="154" t="s">
        <v>109</v>
      </c>
      <c r="F23" s="154">
        <f>+E8*0.05</f>
        <v>219.5</v>
      </c>
      <c r="G23" s="185">
        <v>219.5</v>
      </c>
      <c r="H23" s="51">
        <f t="shared" si="2"/>
        <v>0</v>
      </c>
      <c r="I23" s="159">
        <f t="shared" si="3"/>
        <v>1</v>
      </c>
      <c r="J23" s="179">
        <v>43906</v>
      </c>
    </row>
    <row r="24" spans="3:10">
      <c r="C24" s="154" t="s">
        <v>192</v>
      </c>
      <c r="D24" s="154" t="s">
        <v>205</v>
      </c>
      <c r="E24" s="154" t="s">
        <v>109</v>
      </c>
      <c r="F24" s="154">
        <f>+E8*0.05</f>
        <v>219.5</v>
      </c>
      <c r="G24" s="185">
        <v>296.642</v>
      </c>
      <c r="H24" s="51">
        <f t="shared" si="2"/>
        <v>-77.141999999999996</v>
      </c>
      <c r="I24" s="159">
        <f t="shared" si="3"/>
        <v>1.3514441913439634</v>
      </c>
      <c r="J24" s="179">
        <v>43906</v>
      </c>
    </row>
    <row r="25" spans="3:10">
      <c r="F25" s="24">
        <f>SUM(F12:F24)</f>
        <v>4390</v>
      </c>
      <c r="G25" s="24">
        <f>SUM(G12:G24)</f>
        <v>3661.0619999999999</v>
      </c>
    </row>
  </sheetData>
  <mergeCells count="5">
    <mergeCell ref="C2:H2"/>
    <mergeCell ref="C3:H3"/>
    <mergeCell ref="C4:H4"/>
    <mergeCell ref="C6:H6"/>
    <mergeCell ref="C5:H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B1:H8"/>
  <sheetViews>
    <sheetView showGridLines="0" workbookViewId="0">
      <selection activeCell="B3" sqref="B3:H3"/>
    </sheetView>
  </sheetViews>
  <sheetFormatPr baseColWidth="10" defaultColWidth="11.42578125" defaultRowHeight="15"/>
  <cols>
    <col min="1" max="1" width="26.140625" style="21" customWidth="1"/>
    <col min="2" max="2" width="14" style="21" customWidth="1"/>
    <col min="3" max="3" width="14.140625" style="21" customWidth="1"/>
    <col min="4" max="4" width="22.5703125" style="21" customWidth="1"/>
    <col min="5" max="5" width="12" style="21" customWidth="1"/>
    <col min="6" max="6" width="14" style="24" customWidth="1"/>
    <col min="7" max="7" width="12.140625" style="21" customWidth="1"/>
    <col min="8" max="16384" width="11.42578125" style="21"/>
  </cols>
  <sheetData>
    <row r="1" spans="2:8" ht="21" customHeight="1" thickBot="1"/>
    <row r="2" spans="2:8" ht="24" customHeight="1">
      <c r="B2" s="410" t="s">
        <v>211</v>
      </c>
      <c r="C2" s="410"/>
      <c r="D2" s="410"/>
      <c r="E2" s="410"/>
      <c r="F2" s="410"/>
      <c r="G2" s="410"/>
      <c r="H2" s="411"/>
    </row>
    <row r="3" spans="2:8" ht="12" customHeight="1">
      <c r="B3" s="425">
        <f>Resumen!B3</f>
        <v>44096</v>
      </c>
      <c r="C3" s="413"/>
      <c r="D3" s="413"/>
      <c r="E3" s="413"/>
      <c r="F3" s="413"/>
      <c r="G3" s="413"/>
      <c r="H3" s="414"/>
    </row>
    <row r="4" spans="2:8" ht="13.5" customHeight="1" thickBot="1">
      <c r="B4" s="423"/>
      <c r="C4" s="423"/>
      <c r="D4" s="423"/>
      <c r="E4" s="423"/>
      <c r="F4" s="423"/>
      <c r="G4" s="423"/>
      <c r="H4" s="424"/>
    </row>
    <row r="5" spans="2:8" ht="25.5" customHeight="1" thickBot="1">
      <c r="B5" s="271" t="s">
        <v>212</v>
      </c>
      <c r="C5" s="426"/>
      <c r="D5" s="426"/>
      <c r="E5" s="426"/>
      <c r="F5" s="426"/>
      <c r="G5" s="426"/>
      <c r="H5" s="426"/>
    </row>
    <row r="6" spans="2:8" ht="22.5" customHeight="1" thickBot="1">
      <c r="B6" s="145" t="s">
        <v>137</v>
      </c>
      <c r="C6" s="145" t="s">
        <v>138</v>
      </c>
      <c r="D6" s="145" t="s">
        <v>152</v>
      </c>
      <c r="E6" s="145" t="s">
        <v>101</v>
      </c>
      <c r="F6" s="145" t="s">
        <v>139</v>
      </c>
      <c r="G6" s="145" t="s">
        <v>104</v>
      </c>
      <c r="H6" s="146" t="s">
        <v>147</v>
      </c>
    </row>
    <row r="7" spans="2:8" ht="15.75" thickBot="1">
      <c r="B7" s="183">
        <v>885</v>
      </c>
      <c r="C7" s="57">
        <v>923199</v>
      </c>
      <c r="D7" s="57" t="s">
        <v>210</v>
      </c>
      <c r="E7" s="180">
        <v>104</v>
      </c>
      <c r="F7" s="105"/>
      <c r="G7" s="181">
        <f>+E7+F7</f>
        <v>104</v>
      </c>
      <c r="H7" s="182">
        <f>+F7/E7</f>
        <v>0</v>
      </c>
    </row>
    <row r="8" spans="2:8" ht="15.75" thickBot="1">
      <c r="B8" s="421" t="s">
        <v>173</v>
      </c>
      <c r="C8" s="421"/>
      <c r="D8" s="422"/>
      <c r="E8" s="55">
        <f>SUM(E7:E7)</f>
        <v>104</v>
      </c>
      <c r="F8" s="7">
        <f>SUM(F7)</f>
        <v>0</v>
      </c>
      <c r="G8" s="7">
        <f>+E8-F8</f>
        <v>104</v>
      </c>
      <c r="H8" s="56">
        <f>+F8/E8</f>
        <v>0</v>
      </c>
    </row>
  </sheetData>
  <mergeCells count="5">
    <mergeCell ref="B8:D8"/>
    <mergeCell ref="B2:H2"/>
    <mergeCell ref="B4:H4"/>
    <mergeCell ref="B3:H3"/>
    <mergeCell ref="B5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47"/>
  <sheetViews>
    <sheetView showGridLines="0" topLeftCell="E1" zoomScale="90" zoomScaleNormal="90" workbookViewId="0">
      <pane ySplit="1" topLeftCell="A227" activePane="bottomLeft" state="frozen"/>
      <selection pane="bottomLeft" activeCell="N203" sqref="N203"/>
    </sheetView>
  </sheetViews>
  <sheetFormatPr baseColWidth="10" defaultColWidth="11.42578125" defaultRowHeight="15"/>
  <cols>
    <col min="1" max="1" width="11.5703125" style="84" customWidth="1"/>
    <col min="2" max="2" width="8.7109375" style="84" bestFit="1" customWidth="1"/>
    <col min="3" max="3" width="9.140625" style="84" customWidth="1"/>
    <col min="4" max="4" width="17.140625" style="84" bestFit="1" customWidth="1"/>
    <col min="5" max="5" width="54.85546875" style="84" customWidth="1"/>
    <col min="6" max="6" width="14.5703125" style="84" bestFit="1" customWidth="1"/>
    <col min="7" max="7" width="20.140625" style="84" customWidth="1"/>
    <col min="8" max="8" width="12.42578125" style="84" bestFit="1" customWidth="1"/>
    <col min="9" max="9" width="21.42578125" style="84" bestFit="1" customWidth="1"/>
    <col min="10" max="10" width="15.140625" style="84" bestFit="1" customWidth="1"/>
    <col min="11" max="11" width="14.5703125" style="84" bestFit="1" customWidth="1"/>
    <col min="12" max="12" width="12.42578125" style="84" bestFit="1" customWidth="1"/>
    <col min="13" max="13" width="17.7109375" style="229" bestFit="1" customWidth="1"/>
    <col min="14" max="14" width="11.28515625" style="230" bestFit="1" customWidth="1"/>
    <col min="15" max="15" width="14.85546875" style="84" customWidth="1"/>
    <col min="16" max="16384" width="11.42578125" style="84"/>
  </cols>
  <sheetData>
    <row r="1" spans="1:17">
      <c r="A1" s="222" t="s">
        <v>94</v>
      </c>
      <c r="B1" s="222" t="s">
        <v>95</v>
      </c>
      <c r="C1" s="222" t="s">
        <v>96</v>
      </c>
      <c r="D1" s="222" t="s">
        <v>97</v>
      </c>
      <c r="E1" s="222" t="s">
        <v>98</v>
      </c>
      <c r="F1" s="222" t="s">
        <v>99</v>
      </c>
      <c r="G1" s="222" t="s">
        <v>100</v>
      </c>
      <c r="H1" s="222" t="s">
        <v>101</v>
      </c>
      <c r="I1" s="222" t="s">
        <v>102</v>
      </c>
      <c r="J1" s="222" t="s">
        <v>103</v>
      </c>
      <c r="K1" s="222" t="s">
        <v>207</v>
      </c>
      <c r="L1" s="222" t="s">
        <v>104</v>
      </c>
      <c r="M1" s="223" t="s">
        <v>105</v>
      </c>
      <c r="N1" s="224" t="s">
        <v>106</v>
      </c>
      <c r="O1" s="225" t="s">
        <v>107</v>
      </c>
      <c r="P1" s="225" t="s">
        <v>170</v>
      </c>
      <c r="Q1" s="225" t="s">
        <v>171</v>
      </c>
    </row>
    <row r="2" spans="1:17">
      <c r="A2" s="40" t="s">
        <v>108</v>
      </c>
      <c r="B2" s="39" t="s">
        <v>109</v>
      </c>
      <c r="C2" s="39" t="s">
        <v>59</v>
      </c>
      <c r="D2" s="39" t="s">
        <v>110</v>
      </c>
      <c r="E2" s="39" t="str">
        <f>+'Cuota Industrial'!C$6</f>
        <v>ARICA SEAFOOD PRODUCER S.A.</v>
      </c>
      <c r="F2" s="39" t="s">
        <v>111</v>
      </c>
      <c r="G2" s="39" t="s">
        <v>112</v>
      </c>
      <c r="H2" s="78">
        <f>'Cuota Industrial'!$E$6</f>
        <v>210.489192</v>
      </c>
      <c r="I2" s="78">
        <f>'Cuota Industrial'!F6</f>
        <v>0</v>
      </c>
      <c r="J2" s="78">
        <f>'Cuota Industrial'!G6</f>
        <v>210.489192</v>
      </c>
      <c r="K2" s="78">
        <f>'Cuota Industrial'!H6</f>
        <v>0</v>
      </c>
      <c r="L2" s="78">
        <f>'Cuota Industrial'!I6</f>
        <v>210.489192</v>
      </c>
      <c r="M2" s="221">
        <f>'Cuota Industrial'!J6</f>
        <v>0</v>
      </c>
      <c r="N2" s="82" t="s">
        <v>135</v>
      </c>
      <c r="O2" s="83">
        <f>Resumen!$B$3</f>
        <v>44096</v>
      </c>
      <c r="P2" s="39">
        <f>YEAR(O2)</f>
        <v>2020</v>
      </c>
      <c r="Q2" s="39"/>
    </row>
    <row r="3" spans="1:17">
      <c r="A3" s="40" t="s">
        <v>108</v>
      </c>
      <c r="B3" s="39" t="s">
        <v>109</v>
      </c>
      <c r="C3" s="39" t="s">
        <v>59</v>
      </c>
      <c r="D3" s="39" t="s">
        <v>110</v>
      </c>
      <c r="E3" s="39" t="str">
        <f>+'Cuota Industrial'!C$6</f>
        <v>ARICA SEAFOOD PRODUCER S.A.</v>
      </c>
      <c r="F3" s="39" t="s">
        <v>113</v>
      </c>
      <c r="G3" s="39" t="s">
        <v>114</v>
      </c>
      <c r="H3" s="78">
        <f>'Cuota Industrial'!$E$7</f>
        <v>4.2953400000000004</v>
      </c>
      <c r="I3" s="78">
        <f>'Cuota Industrial'!F7</f>
        <v>0</v>
      </c>
      <c r="J3" s="78">
        <f>'Cuota Industrial'!G7</f>
        <v>214.78453200000001</v>
      </c>
      <c r="K3" s="78">
        <f>'Cuota Industrial'!H7</f>
        <v>0</v>
      </c>
      <c r="L3" s="78">
        <f>'Cuota Industrial'!I7</f>
        <v>214.78453200000001</v>
      </c>
      <c r="M3" s="221">
        <f>'Cuota Industrial'!J7</f>
        <v>0</v>
      </c>
      <c r="N3" s="82" t="s">
        <v>135</v>
      </c>
      <c r="O3" s="83">
        <f>Resumen!$B$3</f>
        <v>44096</v>
      </c>
      <c r="P3" s="39">
        <f t="shared" ref="P3:P63" si="0">YEAR(O3)</f>
        <v>2020</v>
      </c>
      <c r="Q3" s="39"/>
    </row>
    <row r="4" spans="1:17">
      <c r="A4" s="40" t="s">
        <v>108</v>
      </c>
      <c r="B4" s="39" t="s">
        <v>109</v>
      </c>
      <c r="C4" s="39" t="s">
        <v>59</v>
      </c>
      <c r="D4" s="39" t="s">
        <v>110</v>
      </c>
      <c r="E4" s="39" t="str">
        <f>+'Cuota Industrial'!C$6</f>
        <v>ARICA SEAFOOD PRODUCER S.A.</v>
      </c>
      <c r="F4" s="39" t="s">
        <v>111</v>
      </c>
      <c r="G4" s="39" t="s">
        <v>114</v>
      </c>
      <c r="H4" s="78">
        <f>'Cuota Industrial'!K6</f>
        <v>214.78453200000001</v>
      </c>
      <c r="I4" s="78">
        <f>'Cuota Industrial'!L6</f>
        <v>0</v>
      </c>
      <c r="J4" s="78">
        <f>'Cuota Industrial'!M6</f>
        <v>214.78453200000001</v>
      </c>
      <c r="K4" s="78">
        <f>'Cuota Industrial'!N6</f>
        <v>0</v>
      </c>
      <c r="L4" s="78">
        <f>'Cuota Industrial'!O6</f>
        <v>214.78453200000001</v>
      </c>
      <c r="M4" s="221">
        <f>'Cuota Industrial'!P6</f>
        <v>0</v>
      </c>
      <c r="N4" s="82" t="s">
        <v>135</v>
      </c>
      <c r="O4" s="83">
        <f>Resumen!$B$3</f>
        <v>44096</v>
      </c>
      <c r="P4" s="39">
        <f t="shared" si="0"/>
        <v>2020</v>
      </c>
      <c r="Q4" s="39"/>
    </row>
    <row r="5" spans="1:17">
      <c r="A5" s="40" t="s">
        <v>108</v>
      </c>
      <c r="B5" s="39" t="s">
        <v>109</v>
      </c>
      <c r="C5" s="39" t="s">
        <v>59</v>
      </c>
      <c r="D5" s="39" t="s">
        <v>110</v>
      </c>
      <c r="E5" s="39" t="str">
        <f>+'Cuota Industrial'!C$8</f>
        <v>CAMANCHACA S.A. CIA. PESQ</v>
      </c>
      <c r="F5" s="39" t="s">
        <v>111</v>
      </c>
      <c r="G5" s="39" t="s">
        <v>112</v>
      </c>
      <c r="H5" s="78">
        <f>'Cuota Industrial'!E8</f>
        <v>2151.7813500000002</v>
      </c>
      <c r="I5" s="78">
        <f>'Cuota Industrial'!F8</f>
        <v>2037.4833900000001</v>
      </c>
      <c r="J5" s="78">
        <f>'Cuota Industrial'!G8</f>
        <v>4189.2647400000005</v>
      </c>
      <c r="K5" s="78">
        <f>'Cuota Industrial'!H8</f>
        <v>3818.8290000000002</v>
      </c>
      <c r="L5" s="78">
        <f>'Cuota Industrial'!I8</f>
        <v>370.43574000000035</v>
      </c>
      <c r="M5" s="221">
        <f>'Cuota Industrial'!J8</f>
        <v>0.9115749987192262</v>
      </c>
      <c r="N5" s="82" t="s">
        <v>135</v>
      </c>
      <c r="O5" s="83">
        <f>Resumen!$B$3</f>
        <v>44096</v>
      </c>
      <c r="P5" s="39">
        <f t="shared" si="0"/>
        <v>2020</v>
      </c>
      <c r="Q5" s="39"/>
    </row>
    <row r="6" spans="1:17">
      <c r="A6" s="40" t="s">
        <v>108</v>
      </c>
      <c r="B6" s="39" t="s">
        <v>109</v>
      </c>
      <c r="C6" s="39" t="s">
        <v>59</v>
      </c>
      <c r="D6" s="39" t="s">
        <v>110</v>
      </c>
      <c r="E6" s="39" t="str">
        <f>+'Cuota Industrial'!C$8</f>
        <v>CAMANCHACA S.A. CIA. PESQ</v>
      </c>
      <c r="F6" s="39" t="s">
        <v>113</v>
      </c>
      <c r="G6" s="39" t="s">
        <v>114</v>
      </c>
      <c r="H6" s="78">
        <f>'Cuota Industrial'!E9</f>
        <v>43.910247499999997</v>
      </c>
      <c r="I6" s="78">
        <f>'Cuota Industrial'!F9</f>
        <v>0</v>
      </c>
      <c r="J6" s="78">
        <f>'Cuota Industrial'!G9</f>
        <v>414.34598750000032</v>
      </c>
      <c r="K6" s="78">
        <f>'Cuota Industrial'!H9</f>
        <v>0</v>
      </c>
      <c r="L6" s="78">
        <f>'Cuota Industrial'!I9</f>
        <v>414.34598750000032</v>
      </c>
      <c r="M6" s="221">
        <f>'Cuota Industrial'!J9</f>
        <v>0</v>
      </c>
      <c r="N6" s="82" t="s">
        <v>135</v>
      </c>
      <c r="O6" s="83">
        <f>Resumen!$B$3</f>
        <v>44096</v>
      </c>
      <c r="P6" s="39">
        <f t="shared" si="0"/>
        <v>2020</v>
      </c>
      <c r="Q6" s="39"/>
    </row>
    <row r="7" spans="1:17">
      <c r="A7" s="40" t="s">
        <v>108</v>
      </c>
      <c r="B7" s="39" t="s">
        <v>109</v>
      </c>
      <c r="C7" s="39" t="s">
        <v>59</v>
      </c>
      <c r="D7" s="39" t="s">
        <v>110</v>
      </c>
      <c r="E7" s="39" t="str">
        <f>+'Cuota Industrial'!C$8</f>
        <v>CAMANCHACA S.A. CIA. PESQ</v>
      </c>
      <c r="F7" s="39" t="s">
        <v>111</v>
      </c>
      <c r="G7" s="39" t="s">
        <v>114</v>
      </c>
      <c r="H7" s="78">
        <f>'Cuota Industrial'!K8</f>
        <v>2195.6915975000002</v>
      </c>
      <c r="I7" s="78">
        <f>'Cuota Industrial'!L8</f>
        <v>2037.4833900000001</v>
      </c>
      <c r="J7" s="78">
        <f>'Cuota Industrial'!M8</f>
        <v>4233.1749875000005</v>
      </c>
      <c r="K7" s="78">
        <f>'Cuota Industrial'!N8</f>
        <v>3818.8290000000002</v>
      </c>
      <c r="L7" s="78">
        <f>'Cuota Industrial'!O8</f>
        <v>414.34598750000032</v>
      </c>
      <c r="M7" s="221">
        <f>'Cuota Industrial'!P8</f>
        <v>0.90211933389866739</v>
      </c>
      <c r="N7" s="82" t="s">
        <v>135</v>
      </c>
      <c r="O7" s="83">
        <f>Resumen!$B$3</f>
        <v>44096</v>
      </c>
      <c r="P7" s="39">
        <f t="shared" si="0"/>
        <v>2020</v>
      </c>
      <c r="Q7" s="39"/>
    </row>
    <row r="8" spans="1:17">
      <c r="A8" s="40" t="s">
        <v>108</v>
      </c>
      <c r="B8" s="39" t="s">
        <v>109</v>
      </c>
      <c r="C8" s="39" t="s">
        <v>59</v>
      </c>
      <c r="D8" s="39" t="s">
        <v>110</v>
      </c>
      <c r="E8" s="39" t="str">
        <f>+'Cuota Industrial'!C$10</f>
        <v>CORPESCA S.A</v>
      </c>
      <c r="F8" s="39" t="s">
        <v>111</v>
      </c>
      <c r="G8" s="39" t="s">
        <v>112</v>
      </c>
      <c r="H8" s="78">
        <f>'Cuota Industrial'!E10</f>
        <v>14270.547699999999</v>
      </c>
      <c r="I8" s="78">
        <f>'Cuota Industrial'!F10</f>
        <v>28190.465534999999</v>
      </c>
      <c r="J8" s="78">
        <f>'Cuota Industrial'!G10</f>
        <v>42461.013234999999</v>
      </c>
      <c r="K8" s="78">
        <f>'Cuota Industrial'!H10</f>
        <v>36657.067000000003</v>
      </c>
      <c r="L8" s="78">
        <f>'Cuota Industrial'!I10</f>
        <v>5803.9462349999958</v>
      </c>
      <c r="M8" s="221">
        <f>'Cuota Industrial'!J10</f>
        <v>0.86331116963982657</v>
      </c>
      <c r="N8" s="82" t="s">
        <v>135</v>
      </c>
      <c r="O8" s="83">
        <f>Resumen!$B$3</f>
        <v>44096</v>
      </c>
      <c r="P8" s="39">
        <f t="shared" si="0"/>
        <v>2020</v>
      </c>
      <c r="Q8" s="39"/>
    </row>
    <row r="9" spans="1:17">
      <c r="A9" s="40" t="s">
        <v>108</v>
      </c>
      <c r="B9" s="39" t="s">
        <v>109</v>
      </c>
      <c r="C9" s="39" t="s">
        <v>59</v>
      </c>
      <c r="D9" s="39" t="s">
        <v>110</v>
      </c>
      <c r="E9" s="39" t="str">
        <f>+'Cuota Industrial'!C$10</f>
        <v>CORPESCA S.A</v>
      </c>
      <c r="F9" s="39" t="s">
        <v>113</v>
      </c>
      <c r="G9" s="39" t="s">
        <v>114</v>
      </c>
      <c r="H9" s="78">
        <f>'Cuota Industrial'!E11</f>
        <v>291.21141</v>
      </c>
      <c r="I9" s="78">
        <f>'Cuota Industrial'!F11</f>
        <v>0</v>
      </c>
      <c r="J9" s="78">
        <f>'Cuota Industrial'!G11</f>
        <v>6095.1576449999957</v>
      </c>
      <c r="K9" s="78">
        <f>'Cuota Industrial'!H11</f>
        <v>0</v>
      </c>
      <c r="L9" s="78">
        <f>'Cuota Industrial'!I11</f>
        <v>6095.1576449999957</v>
      </c>
      <c r="M9" s="221">
        <f>'Cuota Industrial'!J11</f>
        <v>0</v>
      </c>
      <c r="N9" s="82" t="s">
        <v>135</v>
      </c>
      <c r="O9" s="83">
        <f>Resumen!$B$3</f>
        <v>44096</v>
      </c>
      <c r="P9" s="39">
        <f t="shared" si="0"/>
        <v>2020</v>
      </c>
      <c r="Q9" s="39"/>
    </row>
    <row r="10" spans="1:17">
      <c r="A10" s="40" t="s">
        <v>108</v>
      </c>
      <c r="B10" s="39" t="s">
        <v>109</v>
      </c>
      <c r="C10" s="39" t="s">
        <v>59</v>
      </c>
      <c r="D10" s="39" t="s">
        <v>110</v>
      </c>
      <c r="E10" s="39" t="str">
        <f>+'Cuota Industrial'!C$10</f>
        <v>CORPESCA S.A</v>
      </c>
      <c r="F10" s="39" t="s">
        <v>111</v>
      </c>
      <c r="G10" s="39" t="s">
        <v>114</v>
      </c>
      <c r="H10" s="78">
        <f>'Cuota Industrial'!K10</f>
        <v>14561.759109999999</v>
      </c>
      <c r="I10" s="78">
        <f>'Cuota Industrial'!L10</f>
        <v>28190.465534999999</v>
      </c>
      <c r="J10" s="78">
        <f>'Cuota Industrial'!M10</f>
        <v>42752.224644999995</v>
      </c>
      <c r="K10" s="78">
        <f>'Cuota Industrial'!N10</f>
        <v>36657.067000000003</v>
      </c>
      <c r="L10" s="78">
        <f>'Cuota Industrial'!O10</f>
        <v>6095.157644999992</v>
      </c>
      <c r="M10" s="221">
        <f>'Cuota Industrial'!P10</f>
        <v>0.857430632075591</v>
      </c>
      <c r="N10" s="82" t="s">
        <v>135</v>
      </c>
      <c r="O10" s="83">
        <f>Resumen!$B$3</f>
        <v>44096</v>
      </c>
      <c r="P10" s="39">
        <f t="shared" si="0"/>
        <v>2020</v>
      </c>
      <c r="Q10" s="39"/>
    </row>
    <row r="11" spans="1:17">
      <c r="A11" s="85" t="s">
        <v>108</v>
      </c>
      <c r="B11" s="39" t="s">
        <v>109</v>
      </c>
      <c r="C11" s="39" t="s">
        <v>59</v>
      </c>
      <c r="D11" s="39" t="s">
        <v>110</v>
      </c>
      <c r="E11" s="39" t="str">
        <f>+'Cuota Industrial'!C$12</f>
        <v xml:space="preserve">ORIZON S.A  </v>
      </c>
      <c r="F11" s="39" t="s">
        <v>111</v>
      </c>
      <c r="G11" s="39" t="s">
        <v>112</v>
      </c>
      <c r="H11" s="78">
        <f>'Cuota Industrial'!E12</f>
        <v>30102.937900000001</v>
      </c>
      <c r="I11" s="78">
        <f>'Cuota Industrial'!F12</f>
        <v>-30717.165535</v>
      </c>
      <c r="J11" s="78">
        <f>'Cuota Industrial'!G12</f>
        <v>-614.22763499999928</v>
      </c>
      <c r="K11" s="78">
        <f>'Cuota Industrial'!H12</f>
        <v>0</v>
      </c>
      <c r="L11" s="78">
        <f>'Cuota Industrial'!I12</f>
        <v>-614.22763499999928</v>
      </c>
      <c r="M11" s="221">
        <f>'Cuota Industrial'!J12</f>
        <v>0</v>
      </c>
      <c r="N11" s="82" t="s">
        <v>135</v>
      </c>
      <c r="O11" s="83">
        <f>Resumen!$B$3</f>
        <v>44096</v>
      </c>
      <c r="P11" s="39">
        <f t="shared" si="0"/>
        <v>2020</v>
      </c>
      <c r="Q11" s="39"/>
    </row>
    <row r="12" spans="1:17">
      <c r="A12" s="85" t="s">
        <v>108</v>
      </c>
      <c r="B12" s="39" t="s">
        <v>109</v>
      </c>
      <c r="C12" s="39" t="s">
        <v>59</v>
      </c>
      <c r="D12" s="39" t="s">
        <v>110</v>
      </c>
      <c r="E12" s="39" t="str">
        <f>+'Cuota Industrial'!C$12</f>
        <v xml:space="preserve">ORIZON S.A  </v>
      </c>
      <c r="F12" s="39" t="s">
        <v>113</v>
      </c>
      <c r="G12" s="39" t="s">
        <v>114</v>
      </c>
      <c r="H12" s="78">
        <f>'Cuota Industrial'!E13</f>
        <v>614.29450299999996</v>
      </c>
      <c r="I12" s="78">
        <f>'Cuota Industrial'!F13</f>
        <v>0</v>
      </c>
      <c r="J12" s="78">
        <f>'Cuota Industrial'!G13</f>
        <v>6.6868000000681604E-2</v>
      </c>
      <c r="K12" s="78">
        <f>'Cuota Industrial'!H13</f>
        <v>0</v>
      </c>
      <c r="L12" s="78">
        <f>'Cuota Industrial'!I13</f>
        <v>6.6868000000681604E-2</v>
      </c>
      <c r="M12" s="221">
        <f>'Cuota Industrial'!J13</f>
        <v>0</v>
      </c>
      <c r="N12" s="82" t="s">
        <v>135</v>
      </c>
      <c r="O12" s="83">
        <f>Resumen!$B$3</f>
        <v>44096</v>
      </c>
      <c r="P12" s="39">
        <f t="shared" si="0"/>
        <v>2020</v>
      </c>
      <c r="Q12" s="39"/>
    </row>
    <row r="13" spans="1:17">
      <c r="A13" s="85" t="s">
        <v>108</v>
      </c>
      <c r="B13" s="39" t="s">
        <v>109</v>
      </c>
      <c r="C13" s="39" t="s">
        <v>59</v>
      </c>
      <c r="D13" s="39" t="s">
        <v>110</v>
      </c>
      <c r="E13" s="39" t="str">
        <f>+'Cuota Industrial'!C$12</f>
        <v xml:space="preserve">ORIZON S.A  </v>
      </c>
      <c r="F13" s="39" t="s">
        <v>111</v>
      </c>
      <c r="G13" s="39" t="s">
        <v>114</v>
      </c>
      <c r="H13" s="78">
        <f>'Cuota Industrial'!K12</f>
        <v>30717.232403000002</v>
      </c>
      <c r="I13" s="78">
        <f>'Cuota Industrial'!L12</f>
        <v>-30717.165535</v>
      </c>
      <c r="J13" s="78">
        <f>'Cuota Industrial'!M12</f>
        <v>6.6868000001704786E-2</v>
      </c>
      <c r="K13" s="78">
        <f>'Cuota Industrial'!N12</f>
        <v>0</v>
      </c>
      <c r="L13" s="78">
        <f>'Cuota Industrial'!O12</f>
        <v>6.6868000001704786E-2</v>
      </c>
      <c r="M13" s="221">
        <f>'Cuota Industrial'!P12</f>
        <v>0</v>
      </c>
      <c r="N13" s="82" t="s">
        <v>135</v>
      </c>
      <c r="O13" s="83">
        <f>Resumen!$B$3</f>
        <v>44096</v>
      </c>
      <c r="P13" s="39">
        <f t="shared" si="0"/>
        <v>2020</v>
      </c>
      <c r="Q13" s="39"/>
    </row>
    <row r="14" spans="1:17">
      <c r="A14" s="40" t="s">
        <v>108</v>
      </c>
      <c r="B14" s="39" t="s">
        <v>109</v>
      </c>
      <c r="C14" s="39" t="s">
        <v>59</v>
      </c>
      <c r="D14" s="39" t="s">
        <v>110</v>
      </c>
      <c r="E14" s="39" t="str">
        <f>+'Cuota Industrial'!C$14</f>
        <v xml:space="preserve">FOODCORP CHILE S.A. </v>
      </c>
      <c r="F14" s="39" t="s">
        <v>111</v>
      </c>
      <c r="G14" s="39" t="s">
        <v>112</v>
      </c>
      <c r="H14" s="78">
        <f>'Cuota Industrial'!E14</f>
        <v>1710.855</v>
      </c>
      <c r="I14" s="78">
        <f>'Cuota Industrial'!F14</f>
        <v>-1745.7660000000001</v>
      </c>
      <c r="J14" s="78">
        <f>'Cuota Industrial'!G14</f>
        <v>-34.911000000000058</v>
      </c>
      <c r="K14" s="78">
        <f>'Cuota Industrial'!H14</f>
        <v>0</v>
      </c>
      <c r="L14" s="78">
        <f>'Cuota Industrial'!I14</f>
        <v>-34.911000000000058</v>
      </c>
      <c r="M14" s="221">
        <f>'Cuota Industrial'!J14</f>
        <v>0</v>
      </c>
      <c r="N14" s="82" t="s">
        <v>135</v>
      </c>
      <c r="O14" s="83">
        <f>Resumen!$B$3</f>
        <v>44096</v>
      </c>
      <c r="P14" s="39">
        <f t="shared" si="0"/>
        <v>2020</v>
      </c>
      <c r="Q14" s="39"/>
    </row>
    <row r="15" spans="1:17">
      <c r="A15" s="40" t="s">
        <v>108</v>
      </c>
      <c r="B15" s="39" t="s">
        <v>109</v>
      </c>
      <c r="C15" s="39" t="s">
        <v>59</v>
      </c>
      <c r="D15" s="39" t="s">
        <v>110</v>
      </c>
      <c r="E15" s="39" t="str">
        <f>+'Cuota Industrial'!C$14</f>
        <v xml:space="preserve">FOODCORP CHILE S.A. </v>
      </c>
      <c r="F15" s="39" t="s">
        <v>113</v>
      </c>
      <c r="G15" s="39" t="s">
        <v>114</v>
      </c>
      <c r="H15" s="78">
        <f>'Cuota Industrial'!E15</f>
        <v>34.912500000000001</v>
      </c>
      <c r="I15" s="78">
        <f>'Cuota Industrial'!F15</f>
        <v>0</v>
      </c>
      <c r="J15" s="78">
        <f>'Cuota Industrial'!G15</f>
        <v>1.4999999999432134E-3</v>
      </c>
      <c r="K15" s="78">
        <f>'Cuota Industrial'!H15</f>
        <v>0</v>
      </c>
      <c r="L15" s="78">
        <f>'Cuota Industrial'!I15</f>
        <v>1.4999999999432134E-3</v>
      </c>
      <c r="M15" s="221">
        <f>'Cuota Industrial'!J15</f>
        <v>0</v>
      </c>
      <c r="N15" s="82" t="s">
        <v>135</v>
      </c>
      <c r="O15" s="83">
        <f>Resumen!$B$3</f>
        <v>44096</v>
      </c>
      <c r="P15" s="39">
        <f t="shared" si="0"/>
        <v>2020</v>
      </c>
      <c r="Q15" s="39"/>
    </row>
    <row r="16" spans="1:17">
      <c r="A16" s="40" t="s">
        <v>108</v>
      </c>
      <c r="B16" s="39" t="s">
        <v>109</v>
      </c>
      <c r="C16" s="39" t="s">
        <v>59</v>
      </c>
      <c r="D16" s="39" t="s">
        <v>110</v>
      </c>
      <c r="E16" s="39" t="str">
        <f>+'Cuota Industrial'!C$14</f>
        <v xml:space="preserve">FOODCORP CHILE S.A. </v>
      </c>
      <c r="F16" s="39" t="s">
        <v>111</v>
      </c>
      <c r="G16" s="39" t="s">
        <v>114</v>
      </c>
      <c r="H16" s="78">
        <f>'Cuota Industrial'!K14</f>
        <v>1745.7674999999999</v>
      </c>
      <c r="I16" s="78">
        <f>'Cuota Industrial'!L14</f>
        <v>-1745.7660000000001</v>
      </c>
      <c r="J16" s="78">
        <f>'Cuota Industrial'!M14</f>
        <v>1.4999999998508429E-3</v>
      </c>
      <c r="K16" s="78">
        <f>'Cuota Industrial'!N14</f>
        <v>0</v>
      </c>
      <c r="L16" s="78">
        <f>'Cuota Industrial'!O14</f>
        <v>1.4999999998508429E-3</v>
      </c>
      <c r="M16" s="221">
        <f>'Cuota Industrial'!P14</f>
        <v>0</v>
      </c>
      <c r="N16" s="82" t="s">
        <v>135</v>
      </c>
      <c r="O16" s="83">
        <f>Resumen!$B$3</f>
        <v>44096</v>
      </c>
      <c r="P16" s="39">
        <f t="shared" si="0"/>
        <v>2020</v>
      </c>
      <c r="Q16" s="39"/>
    </row>
    <row r="17" spans="1:17">
      <c r="A17" s="40" t="s">
        <v>108</v>
      </c>
      <c r="B17" s="39" t="s">
        <v>109</v>
      </c>
      <c r="C17" s="39" t="s">
        <v>59</v>
      </c>
      <c r="D17" s="39" t="s">
        <v>110</v>
      </c>
      <c r="E17" s="39" t="str">
        <f>+'Cuota Industrial'!C$16</f>
        <v xml:space="preserve"> SOC. PESQ. LANDES S.A.       </v>
      </c>
      <c r="F17" s="39" t="s">
        <v>111</v>
      </c>
      <c r="G17" s="39" t="s">
        <v>112</v>
      </c>
      <c r="H17" s="78">
        <f>'Cuota Industrial'!E16</f>
        <v>1755.8775000000001</v>
      </c>
      <c r="I17" s="78">
        <f>'Cuota Industrial'!F16</f>
        <v>-1791.7084999999997</v>
      </c>
      <c r="J17" s="78">
        <f>'Cuota Industrial'!G16</f>
        <v>-35.830999999999676</v>
      </c>
      <c r="K17" s="78">
        <f>'Cuota Industrial'!H16</f>
        <v>0</v>
      </c>
      <c r="L17" s="78">
        <f>'Cuota Industrial'!I16</f>
        <v>-35.830999999999676</v>
      </c>
      <c r="M17" s="221">
        <f>'Cuota Industrial'!J16</f>
        <v>0</v>
      </c>
      <c r="N17" s="82" t="s">
        <v>135</v>
      </c>
      <c r="O17" s="83">
        <f>Resumen!$B$3</f>
        <v>44096</v>
      </c>
      <c r="P17" s="39">
        <f t="shared" si="0"/>
        <v>2020</v>
      </c>
      <c r="Q17" s="39"/>
    </row>
    <row r="18" spans="1:17">
      <c r="A18" s="40" t="s">
        <v>108</v>
      </c>
      <c r="B18" s="39" t="s">
        <v>109</v>
      </c>
      <c r="C18" s="39" t="s">
        <v>59</v>
      </c>
      <c r="D18" s="39" t="s">
        <v>110</v>
      </c>
      <c r="E18" s="39" t="str">
        <f>+'Cuota Industrial'!C$16</f>
        <v xml:space="preserve"> SOC. PESQ. LANDES S.A.       </v>
      </c>
      <c r="F18" s="39" t="s">
        <v>113</v>
      </c>
      <c r="G18" s="39" t="s">
        <v>114</v>
      </c>
      <c r="H18" s="78">
        <f>'Cuota Industrial'!E17</f>
        <v>35.831249999999997</v>
      </c>
      <c r="I18" s="78">
        <f>'Cuota Industrial'!F17</f>
        <v>0</v>
      </c>
      <c r="J18" s="78">
        <f>'Cuota Industrial'!G17</f>
        <v>2.5000000032093794E-4</v>
      </c>
      <c r="K18" s="78">
        <f>'Cuota Industrial'!H17</f>
        <v>0</v>
      </c>
      <c r="L18" s="78">
        <f>'Cuota Industrial'!I17</f>
        <v>2.5000000032093794E-4</v>
      </c>
      <c r="M18" s="221">
        <f>'Cuota Industrial'!J17</f>
        <v>0</v>
      </c>
      <c r="N18" s="82" t="s">
        <v>135</v>
      </c>
      <c r="O18" s="83">
        <f>Resumen!$B$3</f>
        <v>44096</v>
      </c>
      <c r="P18" s="39">
        <f t="shared" si="0"/>
        <v>2020</v>
      </c>
      <c r="Q18" s="39"/>
    </row>
    <row r="19" spans="1:17">
      <c r="A19" s="40" t="s">
        <v>108</v>
      </c>
      <c r="B19" s="39" t="s">
        <v>109</v>
      </c>
      <c r="C19" s="39" t="s">
        <v>59</v>
      </c>
      <c r="D19" s="39" t="s">
        <v>110</v>
      </c>
      <c r="E19" s="39" t="str">
        <f>+'Cuota Industrial'!C$16</f>
        <v xml:space="preserve"> SOC. PESQ. LANDES S.A.       </v>
      </c>
      <c r="F19" s="39" t="s">
        <v>111</v>
      </c>
      <c r="G19" s="39" t="s">
        <v>114</v>
      </c>
      <c r="H19" s="78">
        <f>'Cuota Industrial'!K16</f>
        <v>1791.70875</v>
      </c>
      <c r="I19" s="78">
        <f>'Cuota Industrial'!L16</f>
        <v>-1791.7084999999997</v>
      </c>
      <c r="J19" s="78">
        <f>'Cuota Industrial'!M16</f>
        <v>2.5000000027830538E-4</v>
      </c>
      <c r="K19" s="78">
        <f>'Cuota Industrial'!N16</f>
        <v>0</v>
      </c>
      <c r="L19" s="78">
        <f>'Cuota Industrial'!O16</f>
        <v>2.5000000027830538E-4</v>
      </c>
      <c r="M19" s="221">
        <f>'Cuota Industrial'!P16</f>
        <v>0</v>
      </c>
      <c r="N19" s="82" t="s">
        <v>135</v>
      </c>
      <c r="O19" s="83">
        <f>Resumen!$B$3</f>
        <v>44096</v>
      </c>
      <c r="P19" s="39">
        <f t="shared" si="0"/>
        <v>2020</v>
      </c>
      <c r="Q19" s="39"/>
    </row>
    <row r="20" spans="1:17">
      <c r="A20" s="40" t="s">
        <v>108</v>
      </c>
      <c r="B20" s="39" t="s">
        <v>109</v>
      </c>
      <c r="C20" s="39" t="s">
        <v>59</v>
      </c>
      <c r="D20" s="39" t="s">
        <v>110</v>
      </c>
      <c r="E20" s="39" t="str">
        <f>+'Cuota Industrial'!C$18</f>
        <v>COMERCIAL Y CONSERVERA SAN LAZARO LIMITADA</v>
      </c>
      <c r="F20" s="39" t="s">
        <v>111</v>
      </c>
      <c r="G20" s="39" t="s">
        <v>112</v>
      </c>
      <c r="H20" s="78">
        <f>+'Cuota Industrial'!E18</f>
        <v>270.13499999999999</v>
      </c>
      <c r="I20" s="78">
        <f>+'Cuota Industrial'!F18</f>
        <v>-275.64750000000004</v>
      </c>
      <c r="J20" s="78">
        <f>+'Cuota Industrial'!G18</f>
        <v>-5.5125000000000455</v>
      </c>
      <c r="K20" s="78">
        <f>+'Cuota Industrial'!H18</f>
        <v>0</v>
      </c>
      <c r="L20" s="78">
        <f>+'Cuota Industrial'!I18</f>
        <v>-5.5125000000000455</v>
      </c>
      <c r="M20" s="221">
        <f>+'Cuota Industrial'!J18</f>
        <v>0</v>
      </c>
      <c r="N20" s="82" t="s">
        <v>135</v>
      </c>
      <c r="O20" s="83">
        <f>Resumen!$B$3</f>
        <v>44096</v>
      </c>
      <c r="P20" s="39">
        <f t="shared" si="0"/>
        <v>2020</v>
      </c>
      <c r="Q20" s="39"/>
    </row>
    <row r="21" spans="1:17">
      <c r="A21" s="40" t="s">
        <v>108</v>
      </c>
      <c r="B21" s="39" t="s">
        <v>109</v>
      </c>
      <c r="C21" s="39" t="s">
        <v>59</v>
      </c>
      <c r="D21" s="39" t="s">
        <v>110</v>
      </c>
      <c r="E21" s="39" t="str">
        <f>+'Cuota Industrial'!C$18</f>
        <v>COMERCIAL Y CONSERVERA SAN LAZARO LIMITADA</v>
      </c>
      <c r="F21" s="39" t="s">
        <v>113</v>
      </c>
      <c r="G21" s="39" t="s">
        <v>114</v>
      </c>
      <c r="H21" s="78">
        <f>+'Cuota Industrial'!E19</f>
        <v>5.5125000000000002</v>
      </c>
      <c r="I21" s="78">
        <f>+'Cuota Industrial'!F19</f>
        <v>0</v>
      </c>
      <c r="J21" s="78">
        <f>+'Cuota Industrial'!G19</f>
        <v>-4.5297099404706387E-14</v>
      </c>
      <c r="K21" s="78">
        <f>+'Cuota Industrial'!H19</f>
        <v>0</v>
      </c>
      <c r="L21" s="78">
        <f>+'Cuota Industrial'!I19</f>
        <v>-4.5297099404706387E-14</v>
      </c>
      <c r="M21" s="221">
        <f>+'Cuota Industrial'!J19</f>
        <v>0</v>
      </c>
      <c r="N21" s="82" t="s">
        <v>135</v>
      </c>
      <c r="O21" s="83">
        <f>Resumen!$B$3</f>
        <v>44096</v>
      </c>
      <c r="P21" s="39">
        <f t="shared" si="0"/>
        <v>2020</v>
      </c>
      <c r="Q21" s="39"/>
    </row>
    <row r="22" spans="1:17" ht="14.25" customHeight="1">
      <c r="A22" s="40" t="s">
        <v>108</v>
      </c>
      <c r="B22" s="39" t="s">
        <v>109</v>
      </c>
      <c r="C22" s="39" t="s">
        <v>59</v>
      </c>
      <c r="D22" s="39" t="s">
        <v>110</v>
      </c>
      <c r="E22" s="39" t="str">
        <f>+'Cuota Industrial'!C$18</f>
        <v>COMERCIAL Y CONSERVERA SAN LAZARO LIMITADA</v>
      </c>
      <c r="F22" s="39" t="s">
        <v>111</v>
      </c>
      <c r="G22" s="39" t="s">
        <v>114</v>
      </c>
      <c r="H22" s="78">
        <f>+'Cuota Industrial'!K18</f>
        <v>275.64749999999998</v>
      </c>
      <c r="I22" s="78">
        <f>+'Cuota Industrial'!L18</f>
        <v>-275.64750000000004</v>
      </c>
      <c r="J22" s="78">
        <f>+'Cuota Industrial'!M18</f>
        <v>0</v>
      </c>
      <c r="K22" s="78">
        <f>+'Cuota Industrial'!N18</f>
        <v>0</v>
      </c>
      <c r="L22" s="78">
        <f>+'Cuota Industrial'!O18</f>
        <v>0</v>
      </c>
      <c r="M22" s="221">
        <f>+'Cuota Industrial'!P18</f>
        <v>0</v>
      </c>
      <c r="N22" s="82" t="s">
        <v>135</v>
      </c>
      <c r="O22" s="83">
        <f>Resumen!$B$3</f>
        <v>44096</v>
      </c>
      <c r="P22" s="39">
        <f t="shared" si="0"/>
        <v>2020</v>
      </c>
      <c r="Q22" s="39"/>
    </row>
    <row r="23" spans="1:17">
      <c r="A23" s="40" t="s">
        <v>108</v>
      </c>
      <c r="B23" s="39" t="s">
        <v>109</v>
      </c>
      <c r="C23" s="39" t="s">
        <v>59</v>
      </c>
      <c r="D23" s="39" t="s">
        <v>110</v>
      </c>
      <c r="E23" s="39" t="str">
        <f>+'Cuota Industrial'!C$20</f>
        <v>CAMANCHACA PESCA SUR S.A.</v>
      </c>
      <c r="F23" s="39" t="s">
        <v>111</v>
      </c>
      <c r="G23" s="39" t="s">
        <v>112</v>
      </c>
      <c r="H23" s="78">
        <f>+'Cuota Industrial'!E20</f>
        <v>9557.3762999999999</v>
      </c>
      <c r="I23" s="78">
        <f>+'Cuota Industrial'!F20</f>
        <v>-9752.4085000000014</v>
      </c>
      <c r="J23" s="78">
        <f>+'Cuota Industrial'!G20</f>
        <v>-195.03220000000147</v>
      </c>
      <c r="K23" s="78">
        <f>+'Cuota Industrial'!H20</f>
        <v>0</v>
      </c>
      <c r="L23" s="78">
        <f>+'Cuota Industrial'!I20</f>
        <v>-195.03220000000147</v>
      </c>
      <c r="M23" s="221">
        <f>+'Cuota Industrial'!J20</f>
        <v>0</v>
      </c>
      <c r="N23" s="82" t="s">
        <v>135</v>
      </c>
      <c r="O23" s="83">
        <f>Resumen!$B$3</f>
        <v>44096</v>
      </c>
      <c r="P23" s="39">
        <f t="shared" si="0"/>
        <v>2020</v>
      </c>
      <c r="Q23" s="39"/>
    </row>
    <row r="24" spans="1:17">
      <c r="A24" s="40" t="s">
        <v>108</v>
      </c>
      <c r="B24" s="39" t="s">
        <v>109</v>
      </c>
      <c r="C24" s="39" t="s">
        <v>59</v>
      </c>
      <c r="D24" s="39" t="s">
        <v>110</v>
      </c>
      <c r="E24" s="39" t="str">
        <f>+'Cuota Industrial'!C$20</f>
        <v>CAMANCHACA PESCA SUR S.A.</v>
      </c>
      <c r="F24" s="39" t="s">
        <v>113</v>
      </c>
      <c r="G24" s="39" t="s">
        <v>114</v>
      </c>
      <c r="H24" s="78">
        <f>+'Cuota Industrial'!E21</f>
        <v>195.03225</v>
      </c>
      <c r="I24" s="78">
        <f>+'Cuota Industrial'!F21</f>
        <v>0</v>
      </c>
      <c r="J24" s="78">
        <f>+'Cuota Industrial'!G21</f>
        <v>4.9999998537941792E-5</v>
      </c>
      <c r="K24" s="78">
        <f>+'Cuota Industrial'!H21</f>
        <v>0</v>
      </c>
      <c r="L24" s="78">
        <f>+'Cuota Industrial'!I21</f>
        <v>4.9999998537941792E-5</v>
      </c>
      <c r="M24" s="221">
        <f>+'Cuota Industrial'!J21</f>
        <v>0</v>
      </c>
      <c r="N24" s="82" t="s">
        <v>135</v>
      </c>
      <c r="O24" s="83">
        <f>Resumen!$B$3</f>
        <v>44096</v>
      </c>
      <c r="P24" s="39">
        <f t="shared" si="0"/>
        <v>2020</v>
      </c>
      <c r="Q24" s="39"/>
    </row>
    <row r="25" spans="1:17">
      <c r="A25" s="40" t="s">
        <v>108</v>
      </c>
      <c r="B25" s="39" t="s">
        <v>109</v>
      </c>
      <c r="C25" s="39" t="s">
        <v>59</v>
      </c>
      <c r="D25" s="39" t="s">
        <v>110</v>
      </c>
      <c r="E25" s="39" t="str">
        <f>+'Cuota Industrial'!C$20</f>
        <v>CAMANCHACA PESCA SUR S.A.</v>
      </c>
      <c r="F25" s="39" t="s">
        <v>111</v>
      </c>
      <c r="G25" s="39" t="s">
        <v>114</v>
      </c>
      <c r="H25" s="78">
        <f>+'Cuota Industrial'!K20</f>
        <v>9752.4085500000001</v>
      </c>
      <c r="I25" s="78">
        <f>+'Cuota Industrial'!L20</f>
        <v>-9752.4085000000014</v>
      </c>
      <c r="J25" s="78">
        <f>+'Cuota Industrial'!M20</f>
        <v>4.9999998736893758E-5</v>
      </c>
      <c r="K25" s="78">
        <f>+'Cuota Industrial'!N20</f>
        <v>0</v>
      </c>
      <c r="L25" s="78">
        <f>+'Cuota Industrial'!O20</f>
        <v>4.9999998736893758E-5</v>
      </c>
      <c r="M25" s="221">
        <f>+'Cuota Industrial'!P20</f>
        <v>0</v>
      </c>
      <c r="N25" s="82" t="s">
        <v>135</v>
      </c>
      <c r="O25" s="83">
        <f>Resumen!$B$3</f>
        <v>44096</v>
      </c>
      <c r="P25" s="39">
        <f t="shared" si="0"/>
        <v>2020</v>
      </c>
      <c r="Q25" s="39"/>
    </row>
    <row r="26" spans="1:17">
      <c r="A26" s="40" t="s">
        <v>118</v>
      </c>
      <c r="B26" s="39" t="s">
        <v>109</v>
      </c>
      <c r="C26" s="39" t="s">
        <v>119</v>
      </c>
      <c r="D26" s="39" t="s">
        <v>110</v>
      </c>
      <c r="E26" s="39" t="str">
        <f>+'Cuota Industrial'!C$23</f>
        <v xml:space="preserve">ALIMENTOS MARINOS S.A.    </v>
      </c>
      <c r="F26" s="39" t="s">
        <v>111</v>
      </c>
      <c r="G26" s="39" t="s">
        <v>112</v>
      </c>
      <c r="H26" s="78">
        <f>'Cuota Industrial'!E23</f>
        <v>1029.7409700000001</v>
      </c>
      <c r="I26" s="78">
        <f>'Cuota Industrial'!F23</f>
        <v>-1083</v>
      </c>
      <c r="J26" s="78">
        <f>'Cuota Industrial'!G23</f>
        <v>-53.259029999999939</v>
      </c>
      <c r="K26" s="78">
        <f>'Cuota Industrial'!H23</f>
        <v>0</v>
      </c>
      <c r="L26" s="78">
        <f>'Cuota Industrial'!I23</f>
        <v>-53.259029999999939</v>
      </c>
      <c r="M26" s="221">
        <f>'Cuota Industrial'!J23</f>
        <v>0</v>
      </c>
      <c r="N26" s="82" t="s">
        <v>135</v>
      </c>
      <c r="O26" s="83">
        <f>Resumen!$B$3</f>
        <v>44096</v>
      </c>
      <c r="P26" s="39">
        <f t="shared" si="0"/>
        <v>2020</v>
      </c>
      <c r="Q26" s="39"/>
    </row>
    <row r="27" spans="1:17">
      <c r="A27" s="40" t="s">
        <v>118</v>
      </c>
      <c r="B27" s="39" t="s">
        <v>109</v>
      </c>
      <c r="C27" s="39" t="s">
        <v>119</v>
      </c>
      <c r="D27" s="39" t="s">
        <v>110</v>
      </c>
      <c r="E27" s="39" t="str">
        <f>+'Cuota Industrial'!C$23</f>
        <v xml:space="preserve">ALIMENTOS MARINOS S.A.    </v>
      </c>
      <c r="F27" s="39" t="s">
        <v>113</v>
      </c>
      <c r="G27" s="39" t="s">
        <v>114</v>
      </c>
      <c r="H27" s="78">
        <f>'Cuota Industrial'!E24</f>
        <v>54.166001799999997</v>
      </c>
      <c r="I27" s="78">
        <f>'Cuota Industrial'!F24</f>
        <v>0</v>
      </c>
      <c r="J27" s="78">
        <f>'Cuota Industrial'!G24</f>
        <v>0.90697180000005773</v>
      </c>
      <c r="K27" s="78">
        <f>'Cuota Industrial'!H24</f>
        <v>0</v>
      </c>
      <c r="L27" s="78">
        <f>'Cuota Industrial'!I24</f>
        <v>0.90697180000005773</v>
      </c>
      <c r="M27" s="221">
        <f>'Cuota Industrial'!J24</f>
        <v>0</v>
      </c>
      <c r="N27" s="82" t="s">
        <v>135</v>
      </c>
      <c r="O27" s="83">
        <f>Resumen!$B$3</f>
        <v>44096</v>
      </c>
      <c r="P27" s="39">
        <f t="shared" si="0"/>
        <v>2020</v>
      </c>
      <c r="Q27" s="39"/>
    </row>
    <row r="28" spans="1:17">
      <c r="A28" s="40" t="s">
        <v>118</v>
      </c>
      <c r="B28" s="39" t="s">
        <v>109</v>
      </c>
      <c r="C28" s="39" t="s">
        <v>119</v>
      </c>
      <c r="D28" s="39" t="s">
        <v>110</v>
      </c>
      <c r="E28" s="39" t="str">
        <f>+'Cuota Industrial'!C$23</f>
        <v xml:space="preserve">ALIMENTOS MARINOS S.A.    </v>
      </c>
      <c r="F28" s="39" t="s">
        <v>111</v>
      </c>
      <c r="G28" s="39" t="s">
        <v>114</v>
      </c>
      <c r="H28" s="78">
        <f>'Cuota Industrial'!K23</f>
        <v>1083.9069718000001</v>
      </c>
      <c r="I28" s="78">
        <f>'Cuota Industrial'!L23</f>
        <v>-1083</v>
      </c>
      <c r="J28" s="78">
        <f>'Cuota Industrial'!M23</f>
        <v>0.90697180000006483</v>
      </c>
      <c r="K28" s="78">
        <f>'Cuota Industrial'!N23</f>
        <v>0</v>
      </c>
      <c r="L28" s="78">
        <f>'Cuota Industrial'!O23</f>
        <v>0.90697180000006483</v>
      </c>
      <c r="M28" s="221">
        <f>+'Cuota Industrial'!P23</f>
        <v>0</v>
      </c>
      <c r="N28" s="82" t="s">
        <v>135</v>
      </c>
      <c r="O28" s="83">
        <f>Resumen!$B$3</f>
        <v>44096</v>
      </c>
      <c r="P28" s="39">
        <f t="shared" si="0"/>
        <v>2020</v>
      </c>
      <c r="Q28" s="39"/>
    </row>
    <row r="29" spans="1:17">
      <c r="A29" s="40" t="s">
        <v>118</v>
      </c>
      <c r="B29" s="39" t="s">
        <v>109</v>
      </c>
      <c r="C29" s="39" t="s">
        <v>119</v>
      </c>
      <c r="D29" s="39" t="s">
        <v>110</v>
      </c>
      <c r="E29" s="39" t="str">
        <f>+'Cuota Industrial'!C$25</f>
        <v>ARICA SEAFOOD PRODUCER S.A.</v>
      </c>
      <c r="F29" s="39" t="s">
        <v>111</v>
      </c>
      <c r="G29" s="39" t="s">
        <v>112</v>
      </c>
      <c r="H29" s="78">
        <f>+'Cuota Industrial'!E25</f>
        <v>3.1758666</v>
      </c>
      <c r="I29" s="78">
        <f>+'Cuota Industrial'!F25</f>
        <v>0</v>
      </c>
      <c r="J29" s="78">
        <f>+'Cuota Industrial'!G25</f>
        <v>3.1758666</v>
      </c>
      <c r="K29" s="78">
        <f>+'Cuota Industrial'!H25</f>
        <v>0</v>
      </c>
      <c r="L29" s="78">
        <f>+'Cuota Industrial'!I25</f>
        <v>3.1758666</v>
      </c>
      <c r="M29" s="221">
        <f>+'Cuota Industrial'!J25</f>
        <v>0</v>
      </c>
      <c r="N29" s="82" t="s">
        <v>135</v>
      </c>
      <c r="O29" s="83">
        <f>Resumen!$B$3</f>
        <v>44096</v>
      </c>
      <c r="P29" s="39">
        <f t="shared" ref="P29:P31" si="1">YEAR(O29)</f>
        <v>2020</v>
      </c>
      <c r="Q29" s="39"/>
    </row>
    <row r="30" spans="1:17">
      <c r="A30" s="40" t="s">
        <v>118</v>
      </c>
      <c r="B30" s="39" t="s">
        <v>109</v>
      </c>
      <c r="C30" s="39" t="s">
        <v>119</v>
      </c>
      <c r="D30" s="39" t="s">
        <v>110</v>
      </c>
      <c r="E30" s="39" t="str">
        <f>+'Cuota Industrial'!C$25</f>
        <v>ARICA SEAFOOD PRODUCER S.A.</v>
      </c>
      <c r="F30" s="39" t="s">
        <v>113</v>
      </c>
      <c r="G30" s="39" t="s">
        <v>114</v>
      </c>
      <c r="H30" s="78">
        <f>+'Cuota Industrial'!E26</f>
        <v>0.1670556</v>
      </c>
      <c r="I30" s="78">
        <f>+'Cuota Industrial'!F26</f>
        <v>0</v>
      </c>
      <c r="J30" s="78">
        <f>+'Cuota Industrial'!G26</f>
        <v>3.3429221999999998</v>
      </c>
      <c r="K30" s="78">
        <f>+'Cuota Industrial'!H26</f>
        <v>0</v>
      </c>
      <c r="L30" s="78">
        <f>+'Cuota Industrial'!I26</f>
        <v>3.3429221999999998</v>
      </c>
      <c r="M30" s="221">
        <f>+'Cuota Industrial'!J26</f>
        <v>0</v>
      </c>
      <c r="N30" s="82" t="s">
        <v>135</v>
      </c>
      <c r="O30" s="83">
        <f>Resumen!$B$3</f>
        <v>44096</v>
      </c>
      <c r="P30" s="39">
        <f t="shared" si="1"/>
        <v>2020</v>
      </c>
      <c r="Q30" s="39"/>
    </row>
    <row r="31" spans="1:17">
      <c r="A31" s="40" t="s">
        <v>118</v>
      </c>
      <c r="B31" s="39" t="s">
        <v>109</v>
      </c>
      <c r="C31" s="39" t="s">
        <v>119</v>
      </c>
      <c r="D31" s="39" t="s">
        <v>110</v>
      </c>
      <c r="E31" s="39" t="str">
        <f>+'Cuota Industrial'!C$25</f>
        <v>ARICA SEAFOOD PRODUCER S.A.</v>
      </c>
      <c r="F31" s="39" t="s">
        <v>111</v>
      </c>
      <c r="G31" s="39" t="s">
        <v>114</v>
      </c>
      <c r="H31" s="78">
        <f>'Cuota Industrial'!K25</f>
        <v>3.3429221999999998</v>
      </c>
      <c r="I31" s="78">
        <f>'Cuota Industrial'!L25</f>
        <v>0</v>
      </c>
      <c r="J31" s="78">
        <f>'Cuota Industrial'!M25</f>
        <v>3.3429221999999998</v>
      </c>
      <c r="K31" s="78">
        <f>'Cuota Industrial'!N25</f>
        <v>0</v>
      </c>
      <c r="L31" s="78">
        <f>'Cuota Industrial'!O25</f>
        <v>3.3429221999999998</v>
      </c>
      <c r="M31" s="221">
        <f>'Cuota Industrial'!P25</f>
        <v>0</v>
      </c>
      <c r="N31" s="82" t="s">
        <v>135</v>
      </c>
      <c r="O31" s="83">
        <f>Resumen!$B$3</f>
        <v>44096</v>
      </c>
      <c r="P31" s="39">
        <f t="shared" si="1"/>
        <v>2020</v>
      </c>
      <c r="Q31" s="39"/>
    </row>
    <row r="32" spans="1:17">
      <c r="A32" s="40" t="s">
        <v>118</v>
      </c>
      <c r="B32" s="39" t="s">
        <v>109</v>
      </c>
      <c r="C32" s="39" t="s">
        <v>119</v>
      </c>
      <c r="D32" s="39" t="s">
        <v>110</v>
      </c>
      <c r="E32" s="39" t="str">
        <f>+'Cuota Industrial'!C$27</f>
        <v>BAHIA CALDERA S.A. PESQ</v>
      </c>
      <c r="F32" s="39" t="s">
        <v>111</v>
      </c>
      <c r="G32" s="39" t="s">
        <v>112</v>
      </c>
      <c r="H32" s="78">
        <f>+'Cuota Industrial'!E27</f>
        <v>46.273579900000001</v>
      </c>
      <c r="I32" s="78">
        <f>+'Cuota Industrial'!F27</f>
        <v>0</v>
      </c>
      <c r="J32" s="78">
        <f>+'Cuota Industrial'!G27</f>
        <v>46.273579900000001</v>
      </c>
      <c r="K32" s="78">
        <f>+'Cuota Industrial'!H27</f>
        <v>0</v>
      </c>
      <c r="L32" s="78">
        <f>+'Cuota Industrial'!I27</f>
        <v>46.273579900000001</v>
      </c>
      <c r="M32" s="221">
        <f>+'Cuota Industrial'!J27</f>
        <v>0</v>
      </c>
      <c r="N32" s="82" t="s">
        <v>135</v>
      </c>
      <c r="O32" s="83">
        <f>Resumen!$B$3</f>
        <v>44096</v>
      </c>
      <c r="P32" s="39">
        <f t="shared" si="0"/>
        <v>2020</v>
      </c>
      <c r="Q32" s="39"/>
    </row>
    <row r="33" spans="1:17">
      <c r="A33" s="40" t="s">
        <v>118</v>
      </c>
      <c r="B33" s="39" t="s">
        <v>109</v>
      </c>
      <c r="C33" s="39" t="s">
        <v>119</v>
      </c>
      <c r="D33" s="39" t="s">
        <v>110</v>
      </c>
      <c r="E33" s="39" t="str">
        <f>+'Cuota Industrial'!C$27</f>
        <v>BAHIA CALDERA S.A. PESQ</v>
      </c>
      <c r="F33" s="39" t="s">
        <v>113</v>
      </c>
      <c r="G33" s="39" t="s">
        <v>114</v>
      </c>
      <c r="H33" s="78">
        <f>+'Cuota Industrial'!E28</f>
        <v>2.4340633999999999</v>
      </c>
      <c r="I33" s="78">
        <f>+'Cuota Industrial'!F28</f>
        <v>0</v>
      </c>
      <c r="J33" s="78">
        <f>+'Cuota Industrial'!G28</f>
        <v>48.707643300000001</v>
      </c>
      <c r="K33" s="78">
        <f>+'Cuota Industrial'!H28</f>
        <v>0</v>
      </c>
      <c r="L33" s="78">
        <f>+'Cuota Industrial'!I28</f>
        <v>48.707643300000001</v>
      </c>
      <c r="M33" s="221">
        <f>+'Cuota Industrial'!J28</f>
        <v>0</v>
      </c>
      <c r="N33" s="82" t="s">
        <v>135</v>
      </c>
      <c r="O33" s="83">
        <f>Resumen!$B$3</f>
        <v>44096</v>
      </c>
      <c r="P33" s="39">
        <f t="shared" si="0"/>
        <v>2020</v>
      </c>
      <c r="Q33" s="39"/>
    </row>
    <row r="34" spans="1:17">
      <c r="A34" s="40" t="s">
        <v>118</v>
      </c>
      <c r="B34" s="39" t="s">
        <v>109</v>
      </c>
      <c r="C34" s="39" t="s">
        <v>119</v>
      </c>
      <c r="D34" s="39" t="s">
        <v>110</v>
      </c>
      <c r="E34" s="39" t="str">
        <f>+'Cuota Industrial'!C$27</f>
        <v>BAHIA CALDERA S.A. PESQ</v>
      </c>
      <c r="F34" s="39" t="s">
        <v>111</v>
      </c>
      <c r="G34" s="39" t="s">
        <v>114</v>
      </c>
      <c r="H34" s="78">
        <f>'Cuota Industrial'!K27</f>
        <v>48.707643300000001</v>
      </c>
      <c r="I34" s="78">
        <f>'Cuota Industrial'!L27</f>
        <v>0</v>
      </c>
      <c r="J34" s="78">
        <f>'Cuota Industrial'!M27</f>
        <v>48.707643300000001</v>
      </c>
      <c r="K34" s="78">
        <f>'Cuota Industrial'!N27</f>
        <v>0</v>
      </c>
      <c r="L34" s="78">
        <f>'Cuota Industrial'!O27</f>
        <v>48.707643300000001</v>
      </c>
      <c r="M34" s="221">
        <f>'Cuota Industrial'!P27</f>
        <v>0</v>
      </c>
      <c r="N34" s="82" t="s">
        <v>135</v>
      </c>
      <c r="O34" s="83">
        <f>Resumen!$B$3</f>
        <v>44096</v>
      </c>
      <c r="P34" s="39">
        <f t="shared" si="0"/>
        <v>2020</v>
      </c>
      <c r="Q34" s="39"/>
    </row>
    <row r="35" spans="1:17">
      <c r="A35" s="40" t="s">
        <v>118</v>
      </c>
      <c r="B35" s="39" t="s">
        <v>109</v>
      </c>
      <c r="C35" s="39" t="s">
        <v>119</v>
      </c>
      <c r="D35" s="39" t="s">
        <v>110</v>
      </c>
      <c r="E35" s="39" t="str">
        <f>+'Cuota Industrial'!C$29</f>
        <v xml:space="preserve">BLUMAR S.A.             </v>
      </c>
      <c r="F35" s="39" t="s">
        <v>111</v>
      </c>
      <c r="G35" s="39" t="s">
        <v>112</v>
      </c>
      <c r="H35" s="78">
        <f>+'Cuota Industrial'!E29</f>
        <v>2803.0596500000001</v>
      </c>
      <c r="I35" s="78">
        <f>+'Cuota Industrial'!F29</f>
        <v>-2800</v>
      </c>
      <c r="J35" s="78">
        <f>+'Cuota Industrial'!G29</f>
        <v>3.059650000000147</v>
      </c>
      <c r="K35" s="78">
        <f>+'Cuota Industrial'!H29</f>
        <v>0</v>
      </c>
      <c r="L35" s="78">
        <f>+'Cuota Industrial'!I29</f>
        <v>3.059650000000147</v>
      </c>
      <c r="M35" s="221">
        <f>+'Cuota Industrial'!J29</f>
        <v>0</v>
      </c>
      <c r="N35" s="82" t="s">
        <v>135</v>
      </c>
      <c r="O35" s="83">
        <f>Resumen!$B$3</f>
        <v>44096</v>
      </c>
      <c r="P35" s="39">
        <f t="shared" si="0"/>
        <v>2020</v>
      </c>
      <c r="Q35" s="39"/>
    </row>
    <row r="36" spans="1:17">
      <c r="A36" s="40" t="s">
        <v>118</v>
      </c>
      <c r="B36" s="39" t="s">
        <v>109</v>
      </c>
      <c r="C36" s="39" t="s">
        <v>119</v>
      </c>
      <c r="D36" s="39" t="s">
        <v>110</v>
      </c>
      <c r="E36" s="39" t="str">
        <f>+'Cuota Industrial'!C$29</f>
        <v xml:space="preserve">BLUMAR S.A.             </v>
      </c>
      <c r="F36" s="39" t="s">
        <v>113</v>
      </c>
      <c r="G36" s="39" t="s">
        <v>114</v>
      </c>
      <c r="H36" s="78">
        <f>+'Cuota Industrial'!E30</f>
        <v>147.44536600000001</v>
      </c>
      <c r="I36" s="78">
        <f>+'Cuota Industrial'!F30</f>
        <v>0</v>
      </c>
      <c r="J36" s="78">
        <f>+'Cuota Industrial'!G30</f>
        <v>150.50501600000015</v>
      </c>
      <c r="K36" s="78">
        <f>+'Cuota Industrial'!H30</f>
        <v>0</v>
      </c>
      <c r="L36" s="78">
        <f>+'Cuota Industrial'!I30</f>
        <v>150.50501600000015</v>
      </c>
      <c r="M36" s="221">
        <f>+'Cuota Industrial'!J30</f>
        <v>0</v>
      </c>
      <c r="N36" s="82" t="s">
        <v>135</v>
      </c>
      <c r="O36" s="83">
        <f>Resumen!$B$3</f>
        <v>44096</v>
      </c>
      <c r="P36" s="39">
        <f t="shared" si="0"/>
        <v>2020</v>
      </c>
      <c r="Q36" s="39"/>
    </row>
    <row r="37" spans="1:17">
      <c r="A37" s="40" t="s">
        <v>118</v>
      </c>
      <c r="B37" s="39" t="s">
        <v>109</v>
      </c>
      <c r="C37" s="39" t="s">
        <v>119</v>
      </c>
      <c r="D37" s="39" t="s">
        <v>110</v>
      </c>
      <c r="E37" s="39" t="str">
        <f>+'Cuota Industrial'!C$29</f>
        <v xml:space="preserve">BLUMAR S.A.             </v>
      </c>
      <c r="F37" s="39" t="s">
        <v>111</v>
      </c>
      <c r="G37" s="39" t="s">
        <v>114</v>
      </c>
      <c r="H37" s="78">
        <f>'Cuota Industrial'!K29</f>
        <v>2950.5050160000001</v>
      </c>
      <c r="I37" s="78">
        <f>'Cuota Industrial'!L29</f>
        <v>-2800</v>
      </c>
      <c r="J37" s="78">
        <f>'Cuota Industrial'!M29</f>
        <v>150.50501600000007</v>
      </c>
      <c r="K37" s="78">
        <f>'Cuota Industrial'!N29</f>
        <v>0</v>
      </c>
      <c r="L37" s="78">
        <f>'Cuota Industrial'!O29</f>
        <v>150.50501600000007</v>
      </c>
      <c r="M37" s="221">
        <f>'Cuota Industrial'!P29</f>
        <v>0</v>
      </c>
      <c r="N37" s="82" t="s">
        <v>135</v>
      </c>
      <c r="O37" s="83">
        <f>Resumen!$B$3</f>
        <v>44096</v>
      </c>
      <c r="P37" s="39">
        <f t="shared" si="0"/>
        <v>2020</v>
      </c>
      <c r="Q37" s="39"/>
    </row>
    <row r="38" spans="1:17">
      <c r="A38" s="40" t="s">
        <v>118</v>
      </c>
      <c r="B38" s="39" t="s">
        <v>109</v>
      </c>
      <c r="C38" s="39" t="s">
        <v>119</v>
      </c>
      <c r="D38" s="39" t="s">
        <v>110</v>
      </c>
      <c r="E38" s="39" t="str">
        <f>+'Cuota Industrial'!C$31</f>
        <v>CAMANCHACA S.A. CIA. PESQ</v>
      </c>
      <c r="F38" s="39" t="s">
        <v>111</v>
      </c>
      <c r="G38" s="39" t="s">
        <v>112</v>
      </c>
      <c r="H38" s="78">
        <f>+'Cuota Industrial'!E31</f>
        <v>183.09742900000001</v>
      </c>
      <c r="I38" s="78">
        <f>+'Cuota Industrial'!F31</f>
        <v>-192.72900000000001</v>
      </c>
      <c r="J38" s="78">
        <f>+'Cuota Industrial'!G31</f>
        <v>-9.6315710000000081</v>
      </c>
      <c r="K38" s="78">
        <f>+'Cuota Industrial'!H31</f>
        <v>0</v>
      </c>
      <c r="L38" s="78">
        <f>+'Cuota Industrial'!I31</f>
        <v>-9.6315710000000081</v>
      </c>
      <c r="M38" s="221">
        <f>+'Cuota Industrial'!J31</f>
        <v>0</v>
      </c>
      <c r="N38" s="82" t="s">
        <v>135</v>
      </c>
      <c r="O38" s="83">
        <f>Resumen!$B$3</f>
        <v>44096</v>
      </c>
      <c r="P38" s="39">
        <f t="shared" si="0"/>
        <v>2020</v>
      </c>
      <c r="Q38" s="39"/>
    </row>
    <row r="39" spans="1:17">
      <c r="A39" s="40" t="s">
        <v>118</v>
      </c>
      <c r="B39" s="39" t="s">
        <v>109</v>
      </c>
      <c r="C39" s="39" t="s">
        <v>119</v>
      </c>
      <c r="D39" s="39" t="s">
        <v>110</v>
      </c>
      <c r="E39" s="39" t="str">
        <f>+'Cuota Industrial'!C$31</f>
        <v>CAMANCHACA S.A. CIA. PESQ</v>
      </c>
      <c r="F39" s="39" t="s">
        <v>113</v>
      </c>
      <c r="G39" s="39" t="s">
        <v>114</v>
      </c>
      <c r="H39" s="78">
        <f>+'Cuota Industrial'!E32</f>
        <v>9.6312139999999999</v>
      </c>
      <c r="I39" s="78">
        <f>+'Cuota Industrial'!F32</f>
        <v>0</v>
      </c>
      <c r="J39" s="78">
        <f>+'Cuota Industrial'!G32</f>
        <v>-3.5700000000815635E-4</v>
      </c>
      <c r="K39" s="78">
        <f>+'Cuota Industrial'!H32</f>
        <v>0</v>
      </c>
      <c r="L39" s="78">
        <f>+'Cuota Industrial'!I32</f>
        <v>-3.5700000000815635E-4</v>
      </c>
      <c r="M39" s="221">
        <f>+'Cuota Industrial'!J32</f>
        <v>0</v>
      </c>
      <c r="N39" s="82" t="s">
        <v>135</v>
      </c>
      <c r="O39" s="83">
        <f>Resumen!$B$3</f>
        <v>44096</v>
      </c>
      <c r="P39" s="39">
        <f t="shared" si="0"/>
        <v>2020</v>
      </c>
      <c r="Q39" s="39"/>
    </row>
    <row r="40" spans="1:17">
      <c r="A40" s="40" t="s">
        <v>118</v>
      </c>
      <c r="B40" s="39" t="s">
        <v>109</v>
      </c>
      <c r="C40" s="39" t="s">
        <v>119</v>
      </c>
      <c r="D40" s="39" t="s">
        <v>110</v>
      </c>
      <c r="E40" s="39" t="str">
        <f>+'Cuota Industrial'!C$31</f>
        <v>CAMANCHACA S.A. CIA. PESQ</v>
      </c>
      <c r="F40" s="39" t="s">
        <v>111</v>
      </c>
      <c r="G40" s="39" t="s">
        <v>114</v>
      </c>
      <c r="H40" s="78">
        <f>'Cuota Industrial'!K31</f>
        <v>192.72864300000001</v>
      </c>
      <c r="I40" s="78">
        <f>'Cuota Industrial'!L31</f>
        <v>-192.72900000000001</v>
      </c>
      <c r="J40" s="78">
        <f>'Cuota Industrial'!M31</f>
        <v>-3.5700000000815635E-4</v>
      </c>
      <c r="K40" s="78">
        <f>'Cuota Industrial'!N31</f>
        <v>0</v>
      </c>
      <c r="L40" s="78">
        <f>'Cuota Industrial'!O31</f>
        <v>-3.5700000000815635E-4</v>
      </c>
      <c r="M40" s="221">
        <f>'Cuota Industrial'!P31</f>
        <v>0</v>
      </c>
      <c r="N40" s="82" t="s">
        <v>135</v>
      </c>
      <c r="O40" s="83">
        <f>Resumen!$B$3</f>
        <v>44096</v>
      </c>
      <c r="P40" s="39">
        <f t="shared" si="0"/>
        <v>2020</v>
      </c>
      <c r="Q40" s="39"/>
    </row>
    <row r="41" spans="1:17">
      <c r="A41" s="40" t="s">
        <v>118</v>
      </c>
      <c r="B41" s="39" t="s">
        <v>109</v>
      </c>
      <c r="C41" s="39" t="s">
        <v>119</v>
      </c>
      <c r="D41" s="39" t="s">
        <v>110</v>
      </c>
      <c r="E41" s="39" t="str">
        <f>+'Cuota Industrial'!C$33</f>
        <v xml:space="preserve">FOODCORP CHILE S.A.   </v>
      </c>
      <c r="F41" s="39" t="s">
        <v>111</v>
      </c>
      <c r="G41" s="39" t="s">
        <v>112</v>
      </c>
      <c r="H41" s="78">
        <f>+'Cuota Industrial'!E33</f>
        <v>586.90653399999997</v>
      </c>
      <c r="I41" s="78">
        <f>+'Cuota Industrial'!F33</f>
        <v>-617.78</v>
      </c>
      <c r="J41" s="78">
        <f>+'Cuota Industrial'!G33</f>
        <v>-30.873466000000008</v>
      </c>
      <c r="K41" s="78">
        <f>+'Cuota Industrial'!H33</f>
        <v>0</v>
      </c>
      <c r="L41" s="78">
        <f>+'Cuota Industrial'!I33</f>
        <v>-30.873466000000008</v>
      </c>
      <c r="M41" s="221">
        <f>+'Cuota Industrial'!J33</f>
        <v>0</v>
      </c>
      <c r="N41" s="82" t="s">
        <v>135</v>
      </c>
      <c r="O41" s="83">
        <f>Resumen!$B$3</f>
        <v>44096</v>
      </c>
      <c r="P41" s="39">
        <f t="shared" si="0"/>
        <v>2020</v>
      </c>
      <c r="Q41" s="39"/>
    </row>
    <row r="42" spans="1:17">
      <c r="A42" s="40" t="s">
        <v>118</v>
      </c>
      <c r="B42" s="39" t="s">
        <v>109</v>
      </c>
      <c r="C42" s="39" t="s">
        <v>119</v>
      </c>
      <c r="D42" s="39" t="s">
        <v>110</v>
      </c>
      <c r="E42" s="39" t="str">
        <f>+'Cuota Industrial'!C$33</f>
        <v xml:space="preserve">FOODCORP CHILE S.A.   </v>
      </c>
      <c r="F42" s="39" t="s">
        <v>113</v>
      </c>
      <c r="G42" s="39" t="s">
        <v>114</v>
      </c>
      <c r="H42" s="78">
        <f>+'Cuota Industrial'!E34</f>
        <v>30.872210800000001</v>
      </c>
      <c r="I42" s="78">
        <f>+'Cuota Industrial'!F34</f>
        <v>0</v>
      </c>
      <c r="J42" s="78">
        <f>+'Cuota Industrial'!G34</f>
        <v>-1.2552000000063401E-3</v>
      </c>
      <c r="K42" s="78">
        <f>+'Cuota Industrial'!H34</f>
        <v>0</v>
      </c>
      <c r="L42" s="78">
        <f>+'Cuota Industrial'!I34</f>
        <v>-1.2552000000063401E-3</v>
      </c>
      <c r="M42" s="221">
        <f>+'Cuota Industrial'!J34</f>
        <v>0</v>
      </c>
      <c r="N42" s="82" t="s">
        <v>135</v>
      </c>
      <c r="O42" s="83">
        <f>Resumen!$B$3</f>
        <v>44096</v>
      </c>
      <c r="P42" s="39">
        <f t="shared" si="0"/>
        <v>2020</v>
      </c>
      <c r="Q42" s="39"/>
    </row>
    <row r="43" spans="1:17">
      <c r="A43" s="40" t="s">
        <v>118</v>
      </c>
      <c r="B43" s="39" t="s">
        <v>109</v>
      </c>
      <c r="C43" s="39" t="s">
        <v>119</v>
      </c>
      <c r="D43" s="39" t="s">
        <v>110</v>
      </c>
      <c r="E43" s="39" t="str">
        <f>+'Cuota Industrial'!C$33</f>
        <v xml:space="preserve">FOODCORP CHILE S.A.   </v>
      </c>
      <c r="F43" s="39" t="s">
        <v>111</v>
      </c>
      <c r="G43" s="39" t="s">
        <v>114</v>
      </c>
      <c r="H43" s="78">
        <f>'Cuota Industrial'!K33</f>
        <v>617.77874479999991</v>
      </c>
      <c r="I43" s="78">
        <f>'Cuota Industrial'!L33</f>
        <v>-617.78</v>
      </c>
      <c r="J43" s="78">
        <f>'Cuota Industrial'!M33</f>
        <v>-1.2552000000596308E-3</v>
      </c>
      <c r="K43" s="78">
        <f>'Cuota Industrial'!N33</f>
        <v>0</v>
      </c>
      <c r="L43" s="78">
        <f>'Cuota Industrial'!O33</f>
        <v>-1.2552000000596308E-3</v>
      </c>
      <c r="M43" s="221">
        <f>'Cuota Industrial'!P33</f>
        <v>0</v>
      </c>
      <c r="N43" s="82" t="s">
        <v>135</v>
      </c>
      <c r="O43" s="83">
        <f>Resumen!$B$3</f>
        <v>44096</v>
      </c>
      <c r="P43" s="39">
        <f t="shared" si="0"/>
        <v>2020</v>
      </c>
      <c r="Q43" s="39"/>
    </row>
    <row r="44" spans="1:17">
      <c r="A44" s="40" t="s">
        <v>118</v>
      </c>
      <c r="B44" s="39" t="s">
        <v>109</v>
      </c>
      <c r="C44" s="39" t="s">
        <v>119</v>
      </c>
      <c r="D44" s="39" t="s">
        <v>110</v>
      </c>
      <c r="E44" s="39" t="str">
        <f>+'Cuota Industrial'!C$35</f>
        <v xml:space="preserve">LITORAL SPA PESQ      </v>
      </c>
      <c r="F44" s="39" t="s">
        <v>111</v>
      </c>
      <c r="G44" s="39" t="s">
        <v>112</v>
      </c>
      <c r="H44" s="78">
        <f>+'Cuota Industrial'!E35</f>
        <v>506.072992</v>
      </c>
      <c r="I44" s="78">
        <f>+'Cuota Industrial'!F35</f>
        <v>-474.52199999999999</v>
      </c>
      <c r="J44" s="78">
        <f>+'Cuota Industrial'!G35</f>
        <v>31.550992000000008</v>
      </c>
      <c r="K44" s="78">
        <f>+'Cuota Industrial'!H35</f>
        <v>0</v>
      </c>
      <c r="L44" s="78">
        <f>+'Cuota Industrial'!I35</f>
        <v>31.550992000000008</v>
      </c>
      <c r="M44" s="221">
        <f>+'Cuota Industrial'!J35</f>
        <v>0</v>
      </c>
      <c r="N44" s="82" t="s">
        <v>135</v>
      </c>
      <c r="O44" s="83">
        <f>Resumen!$B$3</f>
        <v>44096</v>
      </c>
      <c r="P44" s="39">
        <f t="shared" si="0"/>
        <v>2020</v>
      </c>
      <c r="Q44" s="39"/>
    </row>
    <row r="45" spans="1:17">
      <c r="A45" s="40" t="s">
        <v>118</v>
      </c>
      <c r="B45" s="39" t="s">
        <v>109</v>
      </c>
      <c r="C45" s="39" t="s">
        <v>119</v>
      </c>
      <c r="D45" s="39" t="s">
        <v>110</v>
      </c>
      <c r="E45" s="39" t="str">
        <f>+'Cuota Industrial'!C$35</f>
        <v xml:space="preserve">LITORAL SPA PESQ      </v>
      </c>
      <c r="F45" s="39" t="s">
        <v>113</v>
      </c>
      <c r="G45" s="39" t="s">
        <v>114</v>
      </c>
      <c r="H45" s="78">
        <f>+'Cuota Industrial'!E36</f>
        <v>26.620238799999999</v>
      </c>
      <c r="I45" s="78">
        <f>+'Cuota Industrial'!F36</f>
        <v>0</v>
      </c>
      <c r="J45" s="78">
        <f>+'Cuota Industrial'!G36</f>
        <v>58.171230800000004</v>
      </c>
      <c r="K45" s="78">
        <f>+'Cuota Industrial'!H36</f>
        <v>0</v>
      </c>
      <c r="L45" s="78">
        <f>+'Cuota Industrial'!I36</f>
        <v>58.171230800000004</v>
      </c>
      <c r="M45" s="221">
        <f>+'Cuota Industrial'!J36</f>
        <v>0</v>
      </c>
      <c r="N45" s="82" t="s">
        <v>135</v>
      </c>
      <c r="O45" s="83">
        <f>Resumen!$B$3</f>
        <v>44096</v>
      </c>
      <c r="P45" s="39">
        <f t="shared" si="0"/>
        <v>2020</v>
      </c>
      <c r="Q45" s="39"/>
    </row>
    <row r="46" spans="1:17">
      <c r="A46" s="40" t="s">
        <v>118</v>
      </c>
      <c r="B46" s="39" t="s">
        <v>109</v>
      </c>
      <c r="C46" s="39" t="s">
        <v>119</v>
      </c>
      <c r="D46" s="39" t="s">
        <v>110</v>
      </c>
      <c r="E46" s="39" t="str">
        <f>+'Cuota Industrial'!C$35</f>
        <v xml:space="preserve">LITORAL SPA PESQ      </v>
      </c>
      <c r="F46" s="39" t="s">
        <v>111</v>
      </c>
      <c r="G46" s="39" t="s">
        <v>114</v>
      </c>
      <c r="H46" s="78">
        <f>'Cuota Industrial'!K35</f>
        <v>532.69323080000004</v>
      </c>
      <c r="I46" s="78">
        <f>'Cuota Industrial'!L35</f>
        <v>-474.52199999999999</v>
      </c>
      <c r="J46" s="78">
        <f>'Cuota Industrial'!M35</f>
        <v>58.171230800000046</v>
      </c>
      <c r="K46" s="78">
        <f>'Cuota Industrial'!N35</f>
        <v>0</v>
      </c>
      <c r="L46" s="78">
        <f>'Cuota Industrial'!O35</f>
        <v>58.171230800000046</v>
      </c>
      <c r="M46" s="221">
        <f>'Cuota Industrial'!P35</f>
        <v>0</v>
      </c>
      <c r="N46" s="82" t="s">
        <v>135</v>
      </c>
      <c r="O46" s="83">
        <f>Resumen!$B$3</f>
        <v>44096</v>
      </c>
      <c r="P46" s="39">
        <f t="shared" si="0"/>
        <v>2020</v>
      </c>
      <c r="Q46" s="39"/>
    </row>
    <row r="47" spans="1:17">
      <c r="A47" s="40" t="s">
        <v>118</v>
      </c>
      <c r="B47" s="39" t="s">
        <v>109</v>
      </c>
      <c r="C47" s="39" t="s">
        <v>119</v>
      </c>
      <c r="D47" s="39" t="s">
        <v>110</v>
      </c>
      <c r="E47" s="39" t="str">
        <f>+'Cuota Industrial'!C$37</f>
        <v xml:space="preserve">ISLADAMAS S.A. PESQ.        </v>
      </c>
      <c r="F47" s="39" t="s">
        <v>111</v>
      </c>
      <c r="G47" s="39" t="s">
        <v>112</v>
      </c>
      <c r="H47" s="78">
        <f>+'Cuota Industrial'!E37</f>
        <v>11.7357236</v>
      </c>
      <c r="I47" s="78">
        <f>+'Cuota Industrial'!F37</f>
        <v>0</v>
      </c>
      <c r="J47" s="78">
        <f>+'Cuota Industrial'!G37</f>
        <v>11.7357236</v>
      </c>
      <c r="K47" s="78">
        <f>+'Cuota Industrial'!H37</f>
        <v>0</v>
      </c>
      <c r="L47" s="78">
        <f>+'Cuota Industrial'!I37</f>
        <v>11.7357236</v>
      </c>
      <c r="M47" s="221">
        <f>+'Cuota Industrial'!J37</f>
        <v>0</v>
      </c>
      <c r="N47" s="82" t="s">
        <v>135</v>
      </c>
      <c r="O47" s="83">
        <f>Resumen!$B$3</f>
        <v>44096</v>
      </c>
      <c r="P47" s="39">
        <f t="shared" si="0"/>
        <v>2020</v>
      </c>
      <c r="Q47" s="39"/>
    </row>
    <row r="48" spans="1:17">
      <c r="A48" s="40" t="s">
        <v>118</v>
      </c>
      <c r="B48" s="39" t="s">
        <v>109</v>
      </c>
      <c r="C48" s="39" t="s">
        <v>119</v>
      </c>
      <c r="D48" s="39" t="s">
        <v>110</v>
      </c>
      <c r="E48" s="39" t="str">
        <f>+'Cuota Industrial'!C$37</f>
        <v xml:space="preserve">ISLADAMAS S.A. PESQ.        </v>
      </c>
      <c r="F48" s="39" t="s">
        <v>113</v>
      </c>
      <c r="G48" s="39" t="s">
        <v>114</v>
      </c>
      <c r="H48" s="78">
        <f>+'Cuota Industrial'!E38</f>
        <v>0.61731760000000002</v>
      </c>
      <c r="I48" s="78">
        <f>+'Cuota Industrial'!F38</f>
        <v>0</v>
      </c>
      <c r="J48" s="78">
        <f>+'Cuota Industrial'!G38</f>
        <v>12.3530412</v>
      </c>
      <c r="K48" s="78">
        <f>+'Cuota Industrial'!H38</f>
        <v>0</v>
      </c>
      <c r="L48" s="78">
        <f>+'Cuota Industrial'!I38</f>
        <v>12.3530412</v>
      </c>
      <c r="M48" s="221">
        <f>+'Cuota Industrial'!J38</f>
        <v>0</v>
      </c>
      <c r="N48" s="82" t="s">
        <v>135</v>
      </c>
      <c r="O48" s="83">
        <f>Resumen!$B$3</f>
        <v>44096</v>
      </c>
      <c r="P48" s="39">
        <f t="shared" si="0"/>
        <v>2020</v>
      </c>
      <c r="Q48" s="39"/>
    </row>
    <row r="49" spans="1:17">
      <c r="A49" s="40" t="s">
        <v>118</v>
      </c>
      <c r="B49" s="39" t="s">
        <v>109</v>
      </c>
      <c r="C49" s="39" t="s">
        <v>119</v>
      </c>
      <c r="D49" s="39" t="s">
        <v>110</v>
      </c>
      <c r="E49" s="39" t="str">
        <f>+'Cuota Industrial'!C$37</f>
        <v xml:space="preserve">ISLADAMAS S.A. PESQ.        </v>
      </c>
      <c r="F49" s="39" t="s">
        <v>111</v>
      </c>
      <c r="G49" s="39" t="s">
        <v>114</v>
      </c>
      <c r="H49" s="78">
        <f>'Cuota Industrial'!K37</f>
        <v>12.3530412</v>
      </c>
      <c r="I49" s="78">
        <f>'Cuota Industrial'!L37</f>
        <v>0</v>
      </c>
      <c r="J49" s="78">
        <f>'Cuota Industrial'!M37</f>
        <v>12.3530412</v>
      </c>
      <c r="K49" s="78">
        <f>'Cuota Industrial'!N37</f>
        <v>0</v>
      </c>
      <c r="L49" s="78">
        <f>'Cuota Industrial'!O37</f>
        <v>12.3530412</v>
      </c>
      <c r="M49" s="221">
        <f>'Cuota Industrial'!P37</f>
        <v>0</v>
      </c>
      <c r="N49" s="82" t="s">
        <v>135</v>
      </c>
      <c r="O49" s="83">
        <f>Resumen!$B$3</f>
        <v>44096</v>
      </c>
      <c r="P49" s="39">
        <f t="shared" si="0"/>
        <v>2020</v>
      </c>
      <c r="Q49" s="39"/>
    </row>
    <row r="50" spans="1:17">
      <c r="A50" s="40" t="s">
        <v>118</v>
      </c>
      <c r="B50" s="39" t="s">
        <v>109</v>
      </c>
      <c r="C50" s="39" t="s">
        <v>119</v>
      </c>
      <c r="D50" s="39" t="s">
        <v>110</v>
      </c>
      <c r="E50" s="39" t="str">
        <f>+'Cuota Industrial'!C$39</f>
        <v xml:space="preserve">LANDES S.A. SOC. PESQ.      </v>
      </c>
      <c r="F50" s="39" t="s">
        <v>111</v>
      </c>
      <c r="G50" s="39" t="s">
        <v>112</v>
      </c>
      <c r="H50" s="78">
        <f>+'Cuota Industrial'!E39</f>
        <v>81.312500999999997</v>
      </c>
      <c r="I50" s="78">
        <f>+'Cuota Industrial'!F39</f>
        <v>-85.460389570000004</v>
      </c>
      <c r="J50" s="78">
        <f>+'Cuota Industrial'!G39</f>
        <v>-4.1478885700000063</v>
      </c>
      <c r="K50" s="78">
        <f>+'Cuota Industrial'!H39</f>
        <v>0</v>
      </c>
      <c r="L50" s="78">
        <f>+'Cuota Industrial'!I39</f>
        <v>-4.1478885700000063</v>
      </c>
      <c r="M50" s="221">
        <f>+'Cuota Industrial'!J39</f>
        <v>0</v>
      </c>
      <c r="N50" s="82" t="s">
        <v>135</v>
      </c>
      <c r="O50" s="83">
        <f>Resumen!$B$3</f>
        <v>44096</v>
      </c>
      <c r="P50" s="39">
        <f t="shared" si="0"/>
        <v>2020</v>
      </c>
      <c r="Q50" s="39"/>
    </row>
    <row r="51" spans="1:17">
      <c r="A51" s="40" t="s">
        <v>118</v>
      </c>
      <c r="B51" s="39" t="s">
        <v>109</v>
      </c>
      <c r="C51" s="39" t="s">
        <v>119</v>
      </c>
      <c r="D51" s="39" t="s">
        <v>110</v>
      </c>
      <c r="E51" s="39" t="str">
        <f>+'Cuota Industrial'!C$39</f>
        <v xml:space="preserve">LANDES S.A. SOC. PESQ.      </v>
      </c>
      <c r="F51" s="39" t="s">
        <v>113</v>
      </c>
      <c r="G51" s="39" t="s">
        <v>114</v>
      </c>
      <c r="H51" s="78">
        <f>+'Cuota Industrial'!E40</f>
        <v>4.2771660000000002</v>
      </c>
      <c r="I51" s="78">
        <f>+'Cuota Industrial'!F40</f>
        <v>0</v>
      </c>
      <c r="J51" s="78">
        <f>+'Cuota Industrial'!G40</f>
        <v>0.12927742999999392</v>
      </c>
      <c r="K51" s="78">
        <f>+'Cuota Industrial'!H40</f>
        <v>0</v>
      </c>
      <c r="L51" s="78">
        <f>+'Cuota Industrial'!I40</f>
        <v>0.12927742999999392</v>
      </c>
      <c r="M51" s="221">
        <f>+'Cuota Industrial'!J40</f>
        <v>0</v>
      </c>
      <c r="N51" s="82" t="s">
        <v>135</v>
      </c>
      <c r="O51" s="83">
        <f>Resumen!$B$3</f>
        <v>44096</v>
      </c>
      <c r="P51" s="39">
        <f t="shared" si="0"/>
        <v>2020</v>
      </c>
      <c r="Q51" s="39"/>
    </row>
    <row r="52" spans="1:17">
      <c r="A52" s="40" t="s">
        <v>118</v>
      </c>
      <c r="B52" s="39" t="s">
        <v>109</v>
      </c>
      <c r="C52" s="39" t="s">
        <v>119</v>
      </c>
      <c r="D52" s="39" t="s">
        <v>110</v>
      </c>
      <c r="E52" s="39" t="str">
        <f>+'Cuota Industrial'!C$39</f>
        <v xml:space="preserve">LANDES S.A. SOC. PESQ.      </v>
      </c>
      <c r="F52" s="39" t="s">
        <v>111</v>
      </c>
      <c r="G52" s="39" t="s">
        <v>114</v>
      </c>
      <c r="H52" s="78">
        <f>'Cuota Industrial'!K39</f>
        <v>85.589666999999992</v>
      </c>
      <c r="I52" s="78">
        <f>'Cuota Industrial'!L39</f>
        <v>-85.460389570000004</v>
      </c>
      <c r="J52" s="78">
        <f>'Cuota Industrial'!M39</f>
        <v>0.1292774299999877</v>
      </c>
      <c r="K52" s="78">
        <f>'Cuota Industrial'!N39</f>
        <v>0</v>
      </c>
      <c r="L52" s="78">
        <f>'Cuota Industrial'!O39</f>
        <v>0.1292774299999877</v>
      </c>
      <c r="M52" s="221">
        <f>'Cuota Industrial'!P39</f>
        <v>0</v>
      </c>
      <c r="N52" s="82" t="s">
        <v>135</v>
      </c>
      <c r="O52" s="83">
        <f>Resumen!$B$3</f>
        <v>44096</v>
      </c>
      <c r="P52" s="39">
        <f t="shared" si="0"/>
        <v>2020</v>
      </c>
      <c r="Q52" s="39"/>
    </row>
    <row r="53" spans="1:17">
      <c r="A53" s="40" t="s">
        <v>118</v>
      </c>
      <c r="B53" s="39" t="s">
        <v>109</v>
      </c>
      <c r="C53" s="39" t="s">
        <v>119</v>
      </c>
      <c r="D53" s="39" t="s">
        <v>110</v>
      </c>
      <c r="E53" s="39" t="str">
        <f>+'Cuota Industrial'!C$41</f>
        <v xml:space="preserve">LOTA PROTEIN S.A.  </v>
      </c>
      <c r="F53" s="39" t="s">
        <v>111</v>
      </c>
      <c r="G53" s="39" t="s">
        <v>112</v>
      </c>
      <c r="H53" s="78">
        <f>+'Cuota Industrial'!E41</f>
        <v>5.2808299999999999</v>
      </c>
      <c r="I53" s="78">
        <f>+'Cuota Industrial'!F41</f>
        <v>-5.5586104299999999</v>
      </c>
      <c r="J53" s="78">
        <f>+'Cuota Industrial'!G41</f>
        <v>-0.27778042999999997</v>
      </c>
      <c r="K53" s="78">
        <f>+'Cuota Industrial'!H41</f>
        <v>0</v>
      </c>
      <c r="L53" s="78">
        <f>+'Cuota Industrial'!I41</f>
        <v>-0.27778042999999997</v>
      </c>
      <c r="M53" s="221">
        <f>+'Cuota Industrial'!J41</f>
        <v>0</v>
      </c>
      <c r="N53" s="82" t="s">
        <v>135</v>
      </c>
      <c r="O53" s="83">
        <f>Resumen!$B$3</f>
        <v>44096</v>
      </c>
      <c r="P53" s="39">
        <f t="shared" si="0"/>
        <v>2020</v>
      </c>
      <c r="Q53" s="39"/>
    </row>
    <row r="54" spans="1:17">
      <c r="A54" s="40" t="s">
        <v>118</v>
      </c>
      <c r="B54" s="39" t="s">
        <v>109</v>
      </c>
      <c r="C54" s="39" t="s">
        <v>119</v>
      </c>
      <c r="D54" s="39" t="s">
        <v>110</v>
      </c>
      <c r="E54" s="39" t="str">
        <f>+'Cuota Industrial'!C$41</f>
        <v xml:space="preserve">LOTA PROTEIN S.A.  </v>
      </c>
      <c r="F54" s="39" t="s">
        <v>113</v>
      </c>
      <c r="G54" s="39" t="s">
        <v>114</v>
      </c>
      <c r="H54" s="78">
        <f>+'Cuota Industrial'!E42</f>
        <v>0.27778000000000003</v>
      </c>
      <c r="I54" s="78">
        <f>+'Cuota Industrial'!F42</f>
        <v>0</v>
      </c>
      <c r="J54" s="78">
        <f>+'Cuota Industrial'!G42</f>
        <v>-4.2999999994020044E-7</v>
      </c>
      <c r="K54" s="78">
        <f>+'Cuota Industrial'!H42</f>
        <v>0</v>
      </c>
      <c r="L54" s="78">
        <f>+'Cuota Industrial'!I42</f>
        <v>-4.2999999994020044E-7</v>
      </c>
      <c r="M54" s="221">
        <f>+'Cuota Industrial'!J42</f>
        <v>0</v>
      </c>
      <c r="N54" s="82" t="s">
        <v>135</v>
      </c>
      <c r="O54" s="83">
        <f>Resumen!$B$3</f>
        <v>44096</v>
      </c>
      <c r="P54" s="39">
        <f t="shared" si="0"/>
        <v>2020</v>
      </c>
      <c r="Q54" s="39"/>
    </row>
    <row r="55" spans="1:17">
      <c r="A55" s="40" t="s">
        <v>118</v>
      </c>
      <c r="B55" s="39" t="s">
        <v>109</v>
      </c>
      <c r="C55" s="39" t="s">
        <v>119</v>
      </c>
      <c r="D55" s="39" t="s">
        <v>110</v>
      </c>
      <c r="E55" s="39" t="str">
        <f>+'Cuota Industrial'!C$41</f>
        <v xml:space="preserve">LOTA PROTEIN S.A.  </v>
      </c>
      <c r="F55" s="39" t="s">
        <v>111</v>
      </c>
      <c r="G55" s="39" t="s">
        <v>114</v>
      </c>
      <c r="H55" s="78">
        <f>'Cuota Industrial'!K41</f>
        <v>5.5586099999999998</v>
      </c>
      <c r="I55" s="78">
        <f>'Cuota Industrial'!L41</f>
        <v>-5.5586104299999999</v>
      </c>
      <c r="J55" s="78">
        <f>'Cuota Industrial'!M41</f>
        <v>-4.3000000005122274E-7</v>
      </c>
      <c r="K55" s="78">
        <f>'Cuota Industrial'!N41</f>
        <v>0</v>
      </c>
      <c r="L55" s="78">
        <f>'Cuota Industrial'!O41</f>
        <v>-4.3000000005122274E-7</v>
      </c>
      <c r="M55" s="221">
        <f>'Cuota Industrial'!P41</f>
        <v>0</v>
      </c>
      <c r="N55" s="82" t="s">
        <v>135</v>
      </c>
      <c r="O55" s="83">
        <f>Resumen!$B$3</f>
        <v>44096</v>
      </c>
      <c r="P55" s="39">
        <f t="shared" si="0"/>
        <v>2020</v>
      </c>
      <c r="Q55" s="39"/>
    </row>
    <row r="56" spans="1:17">
      <c r="A56" s="40" t="s">
        <v>118</v>
      </c>
      <c r="B56" s="39" t="s">
        <v>109</v>
      </c>
      <c r="C56" s="39" t="s">
        <v>119</v>
      </c>
      <c r="D56" s="39" t="s">
        <v>110</v>
      </c>
      <c r="E56" s="39" t="str">
        <f>+'Cuota Industrial'!C$43</f>
        <v xml:space="preserve"> ORIZON S.A   </v>
      </c>
      <c r="F56" s="39" t="s">
        <v>111</v>
      </c>
      <c r="G56" s="39" t="s">
        <v>112</v>
      </c>
      <c r="H56" s="78">
        <f>+'Cuota Industrial'!E43</f>
        <v>5631.6994000000004</v>
      </c>
      <c r="I56" s="78">
        <f>+'Cuota Industrial'!F43</f>
        <v>-1602.4380000000001</v>
      </c>
      <c r="J56" s="78">
        <f>+'Cuota Industrial'!G43</f>
        <v>4029.2614000000003</v>
      </c>
      <c r="K56" s="78">
        <f>+'Cuota Industrial'!H43</f>
        <v>4219.9859999999999</v>
      </c>
      <c r="L56" s="78">
        <f>+'Cuota Industrial'!I43</f>
        <v>-190.72459999999955</v>
      </c>
      <c r="M56" s="221">
        <f>+'Cuota Industrial'!J43</f>
        <v>1.0473348787944112</v>
      </c>
      <c r="N56" s="82" t="s">
        <v>135</v>
      </c>
      <c r="O56" s="83">
        <f>Resumen!$B$3</f>
        <v>44096</v>
      </c>
      <c r="P56" s="39">
        <f t="shared" si="0"/>
        <v>2020</v>
      </c>
      <c r="Q56" s="39"/>
    </row>
    <row r="57" spans="1:17">
      <c r="A57" s="40" t="s">
        <v>118</v>
      </c>
      <c r="B57" s="39" t="s">
        <v>109</v>
      </c>
      <c r="C57" s="39" t="s">
        <v>119</v>
      </c>
      <c r="D57" s="39" t="s">
        <v>110</v>
      </c>
      <c r="E57" s="39" t="str">
        <f>+'Cuota Industrial'!C$43</f>
        <v xml:space="preserve"> ORIZON S.A   </v>
      </c>
      <c r="F57" s="39" t="s">
        <v>113</v>
      </c>
      <c r="G57" s="39" t="s">
        <v>114</v>
      </c>
      <c r="H57" s="78">
        <f>+'Cuota Industrial'!E44</f>
        <v>296.23628500000001</v>
      </c>
      <c r="I57" s="78">
        <f>+'Cuota Industrial'!F44</f>
        <v>0</v>
      </c>
      <c r="J57" s="78">
        <f>+'Cuota Industrial'!G44</f>
        <v>105.51168500000045</v>
      </c>
      <c r="K57" s="78">
        <f>+'Cuota Industrial'!H44</f>
        <v>0</v>
      </c>
      <c r="L57" s="78">
        <f>+'Cuota Industrial'!I44</f>
        <v>105.51168500000045</v>
      </c>
      <c r="M57" s="221">
        <f>+'Cuota Industrial'!J44</f>
        <v>0</v>
      </c>
      <c r="N57" s="82" t="s">
        <v>135</v>
      </c>
      <c r="O57" s="83">
        <f>Resumen!$B$3</f>
        <v>44096</v>
      </c>
      <c r="P57" s="39">
        <f t="shared" si="0"/>
        <v>2020</v>
      </c>
      <c r="Q57" s="39"/>
    </row>
    <row r="58" spans="1:17">
      <c r="A58" s="40" t="s">
        <v>118</v>
      </c>
      <c r="B58" s="39" t="s">
        <v>109</v>
      </c>
      <c r="C58" s="39" t="s">
        <v>119</v>
      </c>
      <c r="D58" s="39" t="s">
        <v>110</v>
      </c>
      <c r="E58" s="39" t="str">
        <f>+'Cuota Industrial'!C$43</f>
        <v xml:space="preserve"> ORIZON S.A   </v>
      </c>
      <c r="F58" s="39" t="s">
        <v>111</v>
      </c>
      <c r="G58" s="39" t="s">
        <v>114</v>
      </c>
      <c r="H58" s="78">
        <f>'Cuota Industrial'!K43</f>
        <v>5927.9356850000004</v>
      </c>
      <c r="I58" s="78">
        <f>'Cuota Industrial'!L43</f>
        <v>-1602.4380000000001</v>
      </c>
      <c r="J58" s="78">
        <f>'Cuota Industrial'!M43</f>
        <v>4325.4976850000003</v>
      </c>
      <c r="K58" s="78">
        <f>'Cuota Industrial'!N43</f>
        <v>4219.9859999999999</v>
      </c>
      <c r="L58" s="78">
        <f>'Cuota Industrial'!O43</f>
        <v>105.5116850000004</v>
      </c>
      <c r="M58" s="221">
        <f>'Cuota Industrial'!P43</f>
        <v>0.97560704162069145</v>
      </c>
      <c r="N58" s="82" t="s">
        <v>135</v>
      </c>
      <c r="O58" s="83">
        <f>Resumen!$B$3</f>
        <v>44096</v>
      </c>
      <c r="P58" s="39">
        <f t="shared" si="0"/>
        <v>2020</v>
      </c>
      <c r="Q58" s="39"/>
    </row>
    <row r="59" spans="1:17">
      <c r="A59" s="85" t="s">
        <v>118</v>
      </c>
      <c r="B59" s="39" t="s">
        <v>109</v>
      </c>
      <c r="C59" s="39" t="s">
        <v>119</v>
      </c>
      <c r="D59" s="39" t="s">
        <v>110</v>
      </c>
      <c r="E59" s="39" t="str">
        <f>+'Cuota Industrial'!C$45</f>
        <v>CAMANCHACA PESCA SUR S.A.</v>
      </c>
      <c r="F59" s="39" t="s">
        <v>111</v>
      </c>
      <c r="G59" s="39" t="s">
        <v>112</v>
      </c>
      <c r="H59" s="78">
        <f>+'Cuota Industrial'!E45</f>
        <v>729.47175000000004</v>
      </c>
      <c r="I59" s="78">
        <f>+'Cuota Industrial'!F45</f>
        <v>-747.83199999999999</v>
      </c>
      <c r="J59" s="78">
        <f>+'Cuota Industrial'!G45</f>
        <v>-18.360249999999951</v>
      </c>
      <c r="K59" s="78">
        <f>+'Cuota Industrial'!H45</f>
        <v>0</v>
      </c>
      <c r="L59" s="78">
        <f>+'Cuota Industrial'!I45</f>
        <v>-18.360249999999951</v>
      </c>
      <c r="M59" s="221">
        <f>+'Cuota Industrial'!J45</f>
        <v>0</v>
      </c>
      <c r="N59" s="82" t="s">
        <v>135</v>
      </c>
      <c r="O59" s="83">
        <f>Resumen!$B$3</f>
        <v>44096</v>
      </c>
      <c r="P59" s="39">
        <f t="shared" si="0"/>
        <v>2020</v>
      </c>
      <c r="Q59" s="39"/>
    </row>
    <row r="60" spans="1:17">
      <c r="A60" s="85" t="s">
        <v>118</v>
      </c>
      <c r="B60" s="39" t="s">
        <v>109</v>
      </c>
      <c r="C60" s="39" t="s">
        <v>119</v>
      </c>
      <c r="D60" s="39" t="s">
        <v>110</v>
      </c>
      <c r="E60" s="39" t="str">
        <f>+'Cuota Industrial'!C$45</f>
        <v>CAMANCHACA PESCA SUR S.A.</v>
      </c>
      <c r="F60" s="39" t="s">
        <v>113</v>
      </c>
      <c r="G60" s="39" t="s">
        <v>114</v>
      </c>
      <c r="H60" s="78">
        <f>+'Cuota Industrial'!E46</f>
        <v>38.371366399999999</v>
      </c>
      <c r="I60" s="78">
        <f>+'Cuota Industrial'!F46</f>
        <v>0</v>
      </c>
      <c r="J60" s="78">
        <f>+'Cuota Industrial'!G46</f>
        <v>20.011116400000049</v>
      </c>
      <c r="K60" s="78">
        <f>+'Cuota Industrial'!H46</f>
        <v>0</v>
      </c>
      <c r="L60" s="78">
        <f>+'Cuota Industrial'!I46</f>
        <v>20.011116400000049</v>
      </c>
      <c r="M60" s="221">
        <f>+'Cuota Industrial'!J46</f>
        <v>0</v>
      </c>
      <c r="N60" s="82" t="s">
        <v>135</v>
      </c>
      <c r="O60" s="83">
        <f>Resumen!$B$3</f>
        <v>44096</v>
      </c>
      <c r="P60" s="39">
        <f t="shared" si="0"/>
        <v>2020</v>
      </c>
      <c r="Q60" s="39"/>
    </row>
    <row r="61" spans="1:17">
      <c r="A61" s="85" t="s">
        <v>118</v>
      </c>
      <c r="B61" s="39" t="s">
        <v>109</v>
      </c>
      <c r="C61" s="39" t="s">
        <v>119</v>
      </c>
      <c r="D61" s="39" t="s">
        <v>110</v>
      </c>
      <c r="E61" s="39" t="str">
        <f>+'Cuota Industrial'!C$45</f>
        <v>CAMANCHACA PESCA SUR S.A.</v>
      </c>
      <c r="F61" s="39" t="s">
        <v>111</v>
      </c>
      <c r="G61" s="39" t="s">
        <v>114</v>
      </c>
      <c r="H61" s="78">
        <f>'Cuota Industrial'!K45</f>
        <v>767.8431164000001</v>
      </c>
      <c r="I61" s="78">
        <f>'Cuota Industrial'!L45</f>
        <v>-747.83199999999999</v>
      </c>
      <c r="J61" s="78">
        <f>'Cuota Industrial'!M45</f>
        <v>20.011116400000105</v>
      </c>
      <c r="K61" s="78">
        <f>'Cuota Industrial'!N45</f>
        <v>0</v>
      </c>
      <c r="L61" s="78">
        <f>'Cuota Industrial'!O45</f>
        <v>20.011116400000105</v>
      </c>
      <c r="M61" s="221">
        <f>'Cuota Industrial'!P45</f>
        <v>0</v>
      </c>
      <c r="N61" s="82" t="s">
        <v>135</v>
      </c>
      <c r="O61" s="83">
        <f>Resumen!$B$3</f>
        <v>44096</v>
      </c>
      <c r="P61" s="39">
        <f t="shared" si="0"/>
        <v>2020</v>
      </c>
      <c r="Q61" s="39"/>
    </row>
    <row r="62" spans="1:17">
      <c r="A62" s="40" t="s">
        <v>118</v>
      </c>
      <c r="B62" s="39" t="s">
        <v>109</v>
      </c>
      <c r="C62" s="39" t="s">
        <v>119</v>
      </c>
      <c r="D62" s="39" t="s">
        <v>110</v>
      </c>
      <c r="E62" s="39" t="str">
        <f>+'Cuota Industrial'!C$47</f>
        <v>COMERCIAL Y CONSERVERA SAN LAZARO LIMITADA</v>
      </c>
      <c r="F62" s="39" t="s">
        <v>111</v>
      </c>
      <c r="G62" s="39" t="s">
        <v>112</v>
      </c>
      <c r="H62" s="78">
        <f>+'Cuota Industrial'!E47</f>
        <v>589.48800000000006</v>
      </c>
      <c r="I62" s="78">
        <f>+'Cuota Industrial'!F47</f>
        <v>-620.49604799999997</v>
      </c>
      <c r="J62" s="78">
        <f>+'Cuota Industrial'!G47</f>
        <v>-31.008047999999917</v>
      </c>
      <c r="K62" s="78">
        <f>+'Cuota Industrial'!H47</f>
        <v>0</v>
      </c>
      <c r="L62" s="78">
        <f>+'Cuota Industrial'!I47</f>
        <v>-31.008047999999917</v>
      </c>
      <c r="M62" s="221">
        <f>+'Cuota Industrial'!J47</f>
        <v>0</v>
      </c>
      <c r="N62" s="82" t="s">
        <v>135</v>
      </c>
      <c r="O62" s="83">
        <f>Resumen!$B$3</f>
        <v>44096</v>
      </c>
      <c r="P62" s="39">
        <f t="shared" si="0"/>
        <v>2020</v>
      </c>
      <c r="Q62" s="39"/>
    </row>
    <row r="63" spans="1:17">
      <c r="A63" s="40" t="s">
        <v>118</v>
      </c>
      <c r="B63" s="39" t="s">
        <v>109</v>
      </c>
      <c r="C63" s="39" t="s">
        <v>119</v>
      </c>
      <c r="D63" s="39" t="s">
        <v>110</v>
      </c>
      <c r="E63" s="39" t="str">
        <f>+'Cuota Industrial'!C$47</f>
        <v>COMERCIAL Y CONSERVERA SAN LAZARO LIMITADA</v>
      </c>
      <c r="F63" s="39" t="s">
        <v>113</v>
      </c>
      <c r="G63" s="39" t="s">
        <v>114</v>
      </c>
      <c r="H63" s="78">
        <f>+'Cuota Industrial'!E48</f>
        <v>31.007999999999999</v>
      </c>
      <c r="I63" s="78">
        <f>+'Cuota Industrial'!F48</f>
        <v>0</v>
      </c>
      <c r="J63" s="78">
        <f>+'Cuota Industrial'!G48</f>
        <v>-4.79999999178915E-5</v>
      </c>
      <c r="K63" s="78">
        <f>+'Cuota Industrial'!H48</f>
        <v>0</v>
      </c>
      <c r="L63" s="78">
        <f>+'Cuota Industrial'!I48</f>
        <v>-4.79999999178915E-5</v>
      </c>
      <c r="M63" s="221">
        <f>+'Cuota Industrial'!J48</f>
        <v>0</v>
      </c>
      <c r="N63" s="82" t="s">
        <v>135</v>
      </c>
      <c r="O63" s="83">
        <f>Resumen!$B$3</f>
        <v>44096</v>
      </c>
      <c r="P63" s="39">
        <f t="shared" si="0"/>
        <v>2020</v>
      </c>
      <c r="Q63" s="39"/>
    </row>
    <row r="64" spans="1:17">
      <c r="A64" s="40" t="s">
        <v>118</v>
      </c>
      <c r="B64" s="39" t="s">
        <v>109</v>
      </c>
      <c r="C64" s="39" t="s">
        <v>119</v>
      </c>
      <c r="D64" s="39" t="s">
        <v>110</v>
      </c>
      <c r="E64" s="39" t="str">
        <f>+'Cuota Industrial'!C$47</f>
        <v>COMERCIAL Y CONSERVERA SAN LAZARO LIMITADA</v>
      </c>
      <c r="F64" s="39" t="s">
        <v>111</v>
      </c>
      <c r="G64" s="39" t="s">
        <v>114</v>
      </c>
      <c r="H64" s="78">
        <f>'Cuota Industrial'!K47</f>
        <v>620.49600000000009</v>
      </c>
      <c r="I64" s="78">
        <f>'Cuota Industrial'!L47</f>
        <v>-620.49604799999997</v>
      </c>
      <c r="J64" s="78">
        <f>'Cuota Industrial'!M47</f>
        <v>-4.799999987881165E-5</v>
      </c>
      <c r="K64" s="78">
        <f>'Cuota Industrial'!N47</f>
        <v>0</v>
      </c>
      <c r="L64" s="78">
        <f>'Cuota Industrial'!O47</f>
        <v>-4.799999987881165E-5</v>
      </c>
      <c r="M64" s="221">
        <f>'Cuota Industrial'!P47</f>
        <v>0</v>
      </c>
      <c r="N64" s="82" t="s">
        <v>135</v>
      </c>
      <c r="O64" s="83">
        <f>Resumen!$B$3</f>
        <v>44096</v>
      </c>
      <c r="P64" s="39">
        <f t="shared" ref="P64:P124" si="2">YEAR(O64)</f>
        <v>2020</v>
      </c>
      <c r="Q64" s="39"/>
    </row>
    <row r="65" spans="1:17">
      <c r="A65" s="40" t="s">
        <v>118</v>
      </c>
      <c r="B65" s="39" t="s">
        <v>109</v>
      </c>
      <c r="C65" s="39" t="s">
        <v>119</v>
      </c>
      <c r="D65" s="39" t="s">
        <v>110</v>
      </c>
      <c r="E65" s="39" t="str">
        <f>+'Cuota Industrial'!C$49</f>
        <v>PESQ. GENOVA LTDA.</v>
      </c>
      <c r="F65" s="39" t="s">
        <v>111</v>
      </c>
      <c r="G65" s="39" t="s">
        <v>112</v>
      </c>
      <c r="H65" s="78">
        <f>+'Cuota Industrial'!E49</f>
        <v>73.686000000000007</v>
      </c>
      <c r="I65" s="78">
        <f>+'Cuota Industrial'!F49</f>
        <v>-77.561999999999998</v>
      </c>
      <c r="J65" s="78">
        <f>+'Cuota Industrial'!G49</f>
        <v>-3.8759999999999906</v>
      </c>
      <c r="K65" s="78">
        <f>+'Cuota Industrial'!H49</f>
        <v>0</v>
      </c>
      <c r="L65" s="78">
        <f>+'Cuota Industrial'!I49</f>
        <v>-3.8759999999999906</v>
      </c>
      <c r="M65" s="221">
        <f>+'Cuota Industrial'!J49</f>
        <v>0</v>
      </c>
      <c r="N65" s="82" t="s">
        <v>135</v>
      </c>
      <c r="O65" s="83">
        <f>Resumen!$B$3</f>
        <v>44096</v>
      </c>
      <c r="P65" s="39">
        <f t="shared" si="2"/>
        <v>2020</v>
      </c>
      <c r="Q65" s="39"/>
    </row>
    <row r="66" spans="1:17">
      <c r="A66" s="40" t="s">
        <v>118</v>
      </c>
      <c r="B66" s="39" t="s">
        <v>109</v>
      </c>
      <c r="C66" s="39" t="s">
        <v>119</v>
      </c>
      <c r="D66" s="39" t="s">
        <v>110</v>
      </c>
      <c r="E66" s="39" t="str">
        <f>+'Cuota Industrial'!C$49</f>
        <v>PESQ. GENOVA LTDA.</v>
      </c>
      <c r="F66" s="39" t="s">
        <v>113</v>
      </c>
      <c r="G66" s="39" t="s">
        <v>114</v>
      </c>
      <c r="H66" s="78">
        <f>+'Cuota Industrial'!E50</f>
        <v>3.8759999999999999</v>
      </c>
      <c r="I66" s="78">
        <f>+'Cuota Industrial'!F50</f>
        <v>0</v>
      </c>
      <c r="J66" s="78">
        <f>+'Cuota Industrial'!G50</f>
        <v>9.3258734068513149E-15</v>
      </c>
      <c r="K66" s="78">
        <f>+'Cuota Industrial'!H50</f>
        <v>0</v>
      </c>
      <c r="L66" s="78">
        <f>+'Cuota Industrial'!I50</f>
        <v>9.3258734068513149E-15</v>
      </c>
      <c r="M66" s="221">
        <f>+'Cuota Industrial'!J50</f>
        <v>0</v>
      </c>
      <c r="N66" s="82" t="s">
        <v>135</v>
      </c>
      <c r="O66" s="83">
        <f>Resumen!$B$3</f>
        <v>44096</v>
      </c>
      <c r="P66" s="39">
        <f t="shared" si="2"/>
        <v>2020</v>
      </c>
      <c r="Q66" s="39"/>
    </row>
    <row r="67" spans="1:17">
      <c r="A67" s="40" t="s">
        <v>118</v>
      </c>
      <c r="B67" s="39" t="s">
        <v>109</v>
      </c>
      <c r="C67" s="39" t="s">
        <v>119</v>
      </c>
      <c r="D67" s="39" t="s">
        <v>110</v>
      </c>
      <c r="E67" s="39" t="str">
        <f>+'Cuota Industrial'!C$49</f>
        <v>PESQ. GENOVA LTDA.</v>
      </c>
      <c r="F67" s="39" t="s">
        <v>111</v>
      </c>
      <c r="G67" s="39" t="s">
        <v>114</v>
      </c>
      <c r="H67" s="78">
        <f>'Cuota Industrial'!K49</f>
        <v>77.562000000000012</v>
      </c>
      <c r="I67" s="78">
        <f>'Cuota Industrial'!L49</f>
        <v>-77.561999999999998</v>
      </c>
      <c r="J67" s="78">
        <f>'Cuota Industrial'!M49</f>
        <v>0</v>
      </c>
      <c r="K67" s="78">
        <f>'Cuota Industrial'!N49</f>
        <v>0</v>
      </c>
      <c r="L67" s="78">
        <f>'Cuota Industrial'!O49</f>
        <v>0</v>
      </c>
      <c r="M67" s="221">
        <f>'Cuota Industrial'!P49</f>
        <v>0</v>
      </c>
      <c r="N67" s="82" t="s">
        <v>135</v>
      </c>
      <c r="O67" s="83">
        <f>Resumen!$B$3</f>
        <v>44096</v>
      </c>
      <c r="P67" s="39">
        <f t="shared" si="2"/>
        <v>2020</v>
      </c>
      <c r="Q67" s="39"/>
    </row>
    <row r="68" spans="1:17">
      <c r="A68" s="40" t="s">
        <v>121</v>
      </c>
      <c r="B68" s="39" t="s">
        <v>109</v>
      </c>
      <c r="C68" s="39" t="s">
        <v>76</v>
      </c>
      <c r="D68" s="39" t="s">
        <v>110</v>
      </c>
      <c r="E68" s="39" t="str">
        <f>+'Cuota Industrial'!C$52</f>
        <v xml:space="preserve">ALIMENTOS MARINOS S.A.    </v>
      </c>
      <c r="F68" s="39" t="s">
        <v>111</v>
      </c>
      <c r="G68" s="39" t="s">
        <v>112</v>
      </c>
      <c r="H68" s="78">
        <f>'Cuota Industrial'!E52</f>
        <v>32606.815900000001</v>
      </c>
      <c r="I68" s="78">
        <f>'Cuota Industrial'!F52</f>
        <v>10555.71</v>
      </c>
      <c r="J68" s="78">
        <f>'Cuota Industrial'!G52</f>
        <v>43162.525900000001</v>
      </c>
      <c r="K68" s="78">
        <f>'Cuota Industrial'!H52</f>
        <v>43802.843999999997</v>
      </c>
      <c r="L68" s="78">
        <f>'Cuota Industrial'!I52</f>
        <v>-640.31809999999678</v>
      </c>
      <c r="M68" s="221">
        <f>'Cuota Industrial'!J52</f>
        <v>1.0148350469915386</v>
      </c>
      <c r="N68" s="82" t="s">
        <v>135</v>
      </c>
      <c r="O68" s="83">
        <f>Resumen!$B$3</f>
        <v>44096</v>
      </c>
      <c r="P68" s="39">
        <f t="shared" si="2"/>
        <v>2020</v>
      </c>
      <c r="Q68" s="39"/>
    </row>
    <row r="69" spans="1:17">
      <c r="A69" s="40" t="s">
        <v>121</v>
      </c>
      <c r="B69" s="39" t="s">
        <v>109</v>
      </c>
      <c r="C69" s="39" t="s">
        <v>76</v>
      </c>
      <c r="D69" s="39" t="s">
        <v>110</v>
      </c>
      <c r="E69" s="39" t="str">
        <f>+'Cuota Industrial'!C$52</f>
        <v xml:space="preserve">ALIMENTOS MARINOS S.A.    </v>
      </c>
      <c r="F69" s="39" t="s">
        <v>113</v>
      </c>
      <c r="G69" s="39" t="s">
        <v>114</v>
      </c>
      <c r="H69" s="78">
        <f>'Cuota Industrial'!E53</f>
        <v>665.45011999999997</v>
      </c>
      <c r="I69" s="78">
        <f>'Cuota Industrial'!F53</f>
        <v>0</v>
      </c>
      <c r="J69" s="78">
        <f>'Cuota Industrial'!G53</f>
        <v>25.132020000003195</v>
      </c>
      <c r="K69" s="78">
        <f>'Cuota Industrial'!H53</f>
        <v>0</v>
      </c>
      <c r="L69" s="78">
        <f>'Cuota Industrial'!I53</f>
        <v>25.132020000003195</v>
      </c>
      <c r="M69" s="221">
        <f>'Cuota Industrial'!J53</f>
        <v>0</v>
      </c>
      <c r="N69" s="82" t="s">
        <v>135</v>
      </c>
      <c r="O69" s="83">
        <f>Resumen!$B$3</f>
        <v>44096</v>
      </c>
      <c r="P69" s="39">
        <f t="shared" si="2"/>
        <v>2020</v>
      </c>
      <c r="Q69" s="39"/>
    </row>
    <row r="70" spans="1:17">
      <c r="A70" s="40" t="s">
        <v>121</v>
      </c>
      <c r="B70" s="39" t="s">
        <v>109</v>
      </c>
      <c r="C70" s="39" t="s">
        <v>76</v>
      </c>
      <c r="D70" s="39" t="s">
        <v>110</v>
      </c>
      <c r="E70" s="39" t="str">
        <f>+'Cuota Industrial'!C$52</f>
        <v xml:space="preserve">ALIMENTOS MARINOS S.A.    </v>
      </c>
      <c r="F70" s="39" t="s">
        <v>111</v>
      </c>
      <c r="G70" s="39" t="s">
        <v>114</v>
      </c>
      <c r="H70" s="78">
        <f>'Cuota Industrial'!K52</f>
        <v>33272.266020000003</v>
      </c>
      <c r="I70" s="78">
        <f>'Cuota Industrial'!L52</f>
        <v>10555.71</v>
      </c>
      <c r="J70" s="78">
        <f>'Cuota Industrial'!M52</f>
        <v>43827.976020000002</v>
      </c>
      <c r="K70" s="78">
        <f>'Cuota Industrial'!N52</f>
        <v>43802.843999999997</v>
      </c>
      <c r="L70" s="78">
        <f>'Cuota Industrial'!O52</f>
        <v>25.132020000004559</v>
      </c>
      <c r="M70" s="221">
        <f>'Cuota Industrial'!P52</f>
        <v>0.99942657584761529</v>
      </c>
      <c r="N70" s="82" t="s">
        <v>135</v>
      </c>
      <c r="O70" s="83">
        <f>Resumen!$B$3</f>
        <v>44096</v>
      </c>
      <c r="P70" s="39">
        <f t="shared" si="2"/>
        <v>2020</v>
      </c>
      <c r="Q70" s="39"/>
    </row>
    <row r="71" spans="1:17">
      <c r="A71" s="40" t="s">
        <v>121</v>
      </c>
      <c r="B71" s="39" t="s">
        <v>109</v>
      </c>
      <c r="C71" s="39" t="s">
        <v>76</v>
      </c>
      <c r="D71" s="39" t="s">
        <v>110</v>
      </c>
      <c r="E71" s="39" t="str">
        <f>+'Cuota Industrial'!C$54</f>
        <v xml:space="preserve">BLUMAR S.A.             </v>
      </c>
      <c r="F71" s="39" t="s">
        <v>111</v>
      </c>
      <c r="G71" s="39" t="s">
        <v>112</v>
      </c>
      <c r="H71" s="78">
        <f>+'Cuota Industrial'!E54</f>
        <v>56222.825599999996</v>
      </c>
      <c r="I71" s="78">
        <f>+'Cuota Industrial'!F54</f>
        <v>6300</v>
      </c>
      <c r="J71" s="78">
        <f>+'Cuota Industrial'!G54</f>
        <v>62522.825599999996</v>
      </c>
      <c r="K71" s="78">
        <f>+'Cuota Industrial'!H54</f>
        <v>63477.264000000003</v>
      </c>
      <c r="L71" s="78">
        <f>+'Cuota Industrial'!I54</f>
        <v>-954.43840000000637</v>
      </c>
      <c r="M71" s="221">
        <f>+'Cuota Industrial'!J54</f>
        <v>1.015265439315014</v>
      </c>
      <c r="N71" s="82" t="s">
        <v>135</v>
      </c>
      <c r="O71" s="83">
        <f>Resumen!$B$3</f>
        <v>44096</v>
      </c>
      <c r="P71" s="39">
        <f t="shared" si="2"/>
        <v>2020</v>
      </c>
      <c r="Q71" s="39"/>
    </row>
    <row r="72" spans="1:17">
      <c r="A72" s="40" t="s">
        <v>121</v>
      </c>
      <c r="B72" s="39" t="s">
        <v>109</v>
      </c>
      <c r="C72" s="39" t="s">
        <v>76</v>
      </c>
      <c r="D72" s="39" t="s">
        <v>110</v>
      </c>
      <c r="E72" s="39" t="str">
        <f>+'Cuota Industrial'!C$54</f>
        <v xml:space="preserve">BLUMAR S.A.             </v>
      </c>
      <c r="F72" s="39" t="s">
        <v>113</v>
      </c>
      <c r="G72" s="39" t="s">
        <v>114</v>
      </c>
      <c r="H72" s="78">
        <f>+'Cuota Industrial'!E55</f>
        <v>1147.4130500000001</v>
      </c>
      <c r="I72" s="78">
        <f>+'Cuota Industrial'!F55</f>
        <v>0</v>
      </c>
      <c r="J72" s="78">
        <f>+'Cuota Industrial'!G55</f>
        <v>192.97464999999374</v>
      </c>
      <c r="K72" s="78">
        <f>+'Cuota Industrial'!H55</f>
        <v>0</v>
      </c>
      <c r="L72" s="78">
        <f>+'Cuota Industrial'!I55</f>
        <v>192.97464999999374</v>
      </c>
      <c r="M72" s="221">
        <f>+'Cuota Industrial'!J55</f>
        <v>0</v>
      </c>
      <c r="N72" s="82" t="s">
        <v>135</v>
      </c>
      <c r="O72" s="83">
        <f>Resumen!$B$3</f>
        <v>44096</v>
      </c>
      <c r="P72" s="39">
        <f t="shared" si="2"/>
        <v>2020</v>
      </c>
      <c r="Q72" s="39"/>
    </row>
    <row r="73" spans="1:17">
      <c r="A73" s="40" t="s">
        <v>121</v>
      </c>
      <c r="B73" s="39" t="s">
        <v>109</v>
      </c>
      <c r="C73" s="39" t="s">
        <v>76</v>
      </c>
      <c r="D73" s="39" t="s">
        <v>110</v>
      </c>
      <c r="E73" s="39" t="str">
        <f>+'Cuota Industrial'!C$54</f>
        <v xml:space="preserve">BLUMAR S.A.             </v>
      </c>
      <c r="F73" s="39" t="s">
        <v>111</v>
      </c>
      <c r="G73" s="39" t="s">
        <v>114</v>
      </c>
      <c r="H73" s="78">
        <f>'Cuota Industrial'!K54</f>
        <v>57370.238649999999</v>
      </c>
      <c r="I73" s="78">
        <f>'Cuota Industrial'!L54</f>
        <v>6300</v>
      </c>
      <c r="J73" s="78">
        <f>'Cuota Industrial'!M54</f>
        <v>63670.238649999999</v>
      </c>
      <c r="K73" s="78">
        <f>'Cuota Industrial'!N54</f>
        <v>63477.264000000003</v>
      </c>
      <c r="L73" s="78">
        <f>'Cuota Industrial'!O54</f>
        <v>192.97464999999647</v>
      </c>
      <c r="M73" s="221">
        <f>'Cuota Industrial'!P54</f>
        <v>0.99696915459888891</v>
      </c>
      <c r="N73" s="82" t="s">
        <v>135</v>
      </c>
      <c r="O73" s="83">
        <f>Resumen!$B$3</f>
        <v>44096</v>
      </c>
      <c r="P73" s="39">
        <f t="shared" si="2"/>
        <v>2020</v>
      </c>
      <c r="Q73" s="39"/>
    </row>
    <row r="74" spans="1:17">
      <c r="A74" s="40" t="s">
        <v>121</v>
      </c>
      <c r="B74" s="39" t="s">
        <v>109</v>
      </c>
      <c r="C74" s="39" t="s">
        <v>76</v>
      </c>
      <c r="D74" s="39" t="s">
        <v>110</v>
      </c>
      <c r="E74" s="39" t="str">
        <f>+'Cuota Industrial'!C$56</f>
        <v>CAMANCHACA PESCA SUR S.A.</v>
      </c>
      <c r="F74" s="39" t="s">
        <v>111</v>
      </c>
      <c r="G74" s="39" t="s">
        <v>112</v>
      </c>
      <c r="H74" s="78">
        <f>+'Cuota Industrial'!E56</f>
        <v>46341.759899999997</v>
      </c>
      <c r="I74" s="78">
        <f>+'Cuota Industrial'!F56</f>
        <v>14728.400619</v>
      </c>
      <c r="J74" s="78">
        <f>+'Cuota Industrial'!G56</f>
        <v>61070.160518999997</v>
      </c>
      <c r="K74" s="78">
        <f>+'Cuota Industrial'!H56</f>
        <v>61455.044999999998</v>
      </c>
      <c r="L74" s="78">
        <f>+'Cuota Industrial'!I56</f>
        <v>-384.88448100000096</v>
      </c>
      <c r="M74" s="221">
        <f>+'Cuota Industrial'!J56</f>
        <v>1.0063023328861278</v>
      </c>
      <c r="N74" s="82" t="s">
        <v>135</v>
      </c>
      <c r="O74" s="83">
        <f>Resumen!$B$3</f>
        <v>44096</v>
      </c>
      <c r="P74" s="39">
        <f t="shared" si="2"/>
        <v>2020</v>
      </c>
      <c r="Q74" s="39"/>
    </row>
    <row r="75" spans="1:17">
      <c r="A75" s="40" t="s">
        <v>121</v>
      </c>
      <c r="B75" s="39" t="s">
        <v>109</v>
      </c>
      <c r="C75" s="39" t="s">
        <v>76</v>
      </c>
      <c r="D75" s="39" t="s">
        <v>110</v>
      </c>
      <c r="E75" s="39" t="str">
        <f>+'Cuota Industrial'!C$56</f>
        <v>CAMANCHACA PESCA SUR S.A.</v>
      </c>
      <c r="F75" s="39" t="s">
        <v>113</v>
      </c>
      <c r="G75" s="39" t="s">
        <v>114</v>
      </c>
      <c r="H75" s="78">
        <f>'Cuota Industrial'!E57</f>
        <v>945.75716199999999</v>
      </c>
      <c r="I75" s="78">
        <f>'Cuota Industrial'!F57</f>
        <v>0</v>
      </c>
      <c r="J75" s="78">
        <f>'Cuota Industrial'!G57</f>
        <v>560.87268099999903</v>
      </c>
      <c r="K75" s="78">
        <f>'Cuota Industrial'!H57</f>
        <v>0</v>
      </c>
      <c r="L75" s="78">
        <f>'Cuota Industrial'!I57</f>
        <v>560.87268099999903</v>
      </c>
      <c r="M75" s="221">
        <f>'Cuota Industrial'!J57</f>
        <v>0</v>
      </c>
      <c r="N75" s="82" t="s">
        <v>135</v>
      </c>
      <c r="O75" s="83">
        <f>Resumen!$B$3</f>
        <v>44096</v>
      </c>
      <c r="P75" s="39">
        <f t="shared" si="2"/>
        <v>2020</v>
      </c>
      <c r="Q75" s="39"/>
    </row>
    <row r="76" spans="1:17">
      <c r="A76" s="40" t="s">
        <v>121</v>
      </c>
      <c r="B76" s="39" t="s">
        <v>109</v>
      </c>
      <c r="C76" s="39" t="s">
        <v>76</v>
      </c>
      <c r="D76" s="39" t="s">
        <v>110</v>
      </c>
      <c r="E76" s="39" t="str">
        <f>+'Cuota Industrial'!C$56</f>
        <v>CAMANCHACA PESCA SUR S.A.</v>
      </c>
      <c r="F76" s="39" t="s">
        <v>111</v>
      </c>
      <c r="G76" s="39" t="s">
        <v>114</v>
      </c>
      <c r="H76" s="78">
        <f>'Cuota Industrial'!K56</f>
        <v>47287.517061999999</v>
      </c>
      <c r="I76" s="78">
        <f>'Cuota Industrial'!L56</f>
        <v>14728.400619</v>
      </c>
      <c r="J76" s="78">
        <f>'Cuota Industrial'!M56</f>
        <v>62015.917680999999</v>
      </c>
      <c r="K76" s="78">
        <f>'Cuota Industrial'!N56</f>
        <v>61455.044999999998</v>
      </c>
      <c r="L76" s="78">
        <f>'Cuota Industrial'!O56</f>
        <v>560.87268100000074</v>
      </c>
      <c r="M76" s="221">
        <f>'Cuota Industrial'!P56</f>
        <v>0.9909559883660024</v>
      </c>
      <c r="N76" s="82" t="s">
        <v>135</v>
      </c>
      <c r="O76" s="83">
        <f>Resumen!$B$3</f>
        <v>44096</v>
      </c>
      <c r="P76" s="39">
        <f t="shared" si="2"/>
        <v>2020</v>
      </c>
      <c r="Q76" s="39"/>
    </row>
    <row r="77" spans="1:17">
      <c r="A77" s="40" t="s">
        <v>121</v>
      </c>
      <c r="B77" s="39" t="s">
        <v>109</v>
      </c>
      <c r="C77" s="39" t="s">
        <v>76</v>
      </c>
      <c r="D77" s="39" t="s">
        <v>110</v>
      </c>
      <c r="E77" s="39" t="str">
        <f>+'Cuota Industrial'!C$58</f>
        <v>CAMANCHACA S.A. CIA. PESQ</v>
      </c>
      <c r="F77" s="39" t="s">
        <v>111</v>
      </c>
      <c r="G77" s="39" t="s">
        <v>112</v>
      </c>
      <c r="H77" s="78">
        <f>+'Cuota Industrial'!E58</f>
        <v>643.15545799999995</v>
      </c>
      <c r="I77" s="78">
        <f>+'Cuota Industrial'!F58</f>
        <v>-656.27850899999999</v>
      </c>
      <c r="J77" s="78">
        <f>+'Cuota Industrial'!G58</f>
        <v>-13.123051000000032</v>
      </c>
      <c r="K77" s="78">
        <f>+'Cuota Industrial'!H58</f>
        <v>0</v>
      </c>
      <c r="L77" s="78">
        <f>+'Cuota Industrial'!I58</f>
        <v>-13.123051000000032</v>
      </c>
      <c r="M77" s="221">
        <f>+'Cuota Industrial'!J58</f>
        <v>0</v>
      </c>
      <c r="N77" s="82" t="s">
        <v>135</v>
      </c>
      <c r="O77" s="83">
        <f>Resumen!$B$3</f>
        <v>44096</v>
      </c>
      <c r="P77" s="39">
        <f t="shared" si="2"/>
        <v>2020</v>
      </c>
      <c r="Q77" s="39"/>
    </row>
    <row r="78" spans="1:17">
      <c r="A78" s="40" t="s">
        <v>121</v>
      </c>
      <c r="B78" s="39" t="s">
        <v>109</v>
      </c>
      <c r="C78" s="39" t="s">
        <v>76</v>
      </c>
      <c r="D78" s="39" t="s">
        <v>110</v>
      </c>
      <c r="E78" s="39" t="str">
        <f>+'Cuota Industrial'!C$58</f>
        <v>CAMANCHACA S.A. CIA. PESQ</v>
      </c>
      <c r="F78" s="39" t="s">
        <v>113</v>
      </c>
      <c r="G78" s="39" t="s">
        <v>114</v>
      </c>
      <c r="H78" s="78">
        <f>'Cuota Industrial'!E59</f>
        <v>13.1257182</v>
      </c>
      <c r="I78" s="78">
        <f>'Cuota Industrial'!F59</f>
        <v>0</v>
      </c>
      <c r="J78" s="78">
        <f>'Cuota Industrial'!G59</f>
        <v>2.6671999999674512E-3</v>
      </c>
      <c r="K78" s="78">
        <f>'Cuota Industrial'!H59</f>
        <v>0</v>
      </c>
      <c r="L78" s="78">
        <f>'Cuota Industrial'!I59</f>
        <v>2.6671999999674512E-3</v>
      </c>
      <c r="M78" s="221">
        <f>'Cuota Industrial'!J59</f>
        <v>0</v>
      </c>
      <c r="N78" s="82" t="s">
        <v>135</v>
      </c>
      <c r="O78" s="83">
        <f>Resumen!$B$3</f>
        <v>44096</v>
      </c>
      <c r="P78" s="39">
        <f t="shared" si="2"/>
        <v>2020</v>
      </c>
      <c r="Q78" s="39"/>
    </row>
    <row r="79" spans="1:17">
      <c r="A79" s="40" t="s">
        <v>121</v>
      </c>
      <c r="B79" s="39" t="s">
        <v>109</v>
      </c>
      <c r="C79" s="39" t="s">
        <v>76</v>
      </c>
      <c r="D79" s="39" t="s">
        <v>110</v>
      </c>
      <c r="E79" s="39" t="str">
        <f>+'Cuota Industrial'!C$58</f>
        <v>CAMANCHACA S.A. CIA. PESQ</v>
      </c>
      <c r="F79" s="39" t="s">
        <v>111</v>
      </c>
      <c r="G79" s="39" t="s">
        <v>114</v>
      </c>
      <c r="H79" s="78">
        <f>'Cuota Industrial'!K58</f>
        <v>656.2811762</v>
      </c>
      <c r="I79" s="78">
        <f>'Cuota Industrial'!L58</f>
        <v>-656.27850899999999</v>
      </c>
      <c r="J79" s="78">
        <f>'Cuota Industrial'!M58</f>
        <v>2.6672000000189655E-3</v>
      </c>
      <c r="K79" s="78">
        <f>'Cuota Industrial'!N58</f>
        <v>0</v>
      </c>
      <c r="L79" s="78">
        <f>'Cuota Industrial'!O58</f>
        <v>2.6672000000189655E-3</v>
      </c>
      <c r="M79" s="221">
        <f>'Cuota Industrial'!P58</f>
        <v>0</v>
      </c>
      <c r="N79" s="82" t="s">
        <v>135</v>
      </c>
      <c r="O79" s="83">
        <f>Resumen!$B$3</f>
        <v>44096</v>
      </c>
      <c r="P79" s="39">
        <f t="shared" si="2"/>
        <v>2020</v>
      </c>
      <c r="Q79" s="39"/>
    </row>
    <row r="80" spans="1:17">
      <c r="A80" s="40" t="s">
        <v>121</v>
      </c>
      <c r="B80" s="39" t="s">
        <v>109</v>
      </c>
      <c r="C80" s="39" t="s">
        <v>76</v>
      </c>
      <c r="D80" s="39" t="s">
        <v>110</v>
      </c>
      <c r="E80" s="39" t="str">
        <f>+'Cuota Industrial'!C$60</f>
        <v xml:space="preserve">LITORAL SpA PESQ   </v>
      </c>
      <c r="F80" s="39" t="s">
        <v>111</v>
      </c>
      <c r="G80" s="39" t="s">
        <v>112</v>
      </c>
      <c r="H80" s="78">
        <f>+'Cuota Industrial'!E60</f>
        <v>14693.1415</v>
      </c>
      <c r="I80" s="78">
        <f>+'Cuota Industrial'!F60</f>
        <v>2873.6959999999999</v>
      </c>
      <c r="J80" s="78">
        <f>+'Cuota Industrial'!G60</f>
        <v>17566.837500000001</v>
      </c>
      <c r="K80" s="78">
        <f>+'Cuota Industrial'!H60</f>
        <v>17185.228999999999</v>
      </c>
      <c r="L80" s="78">
        <f>+'Cuota Industrial'!I60</f>
        <v>381.6085000000021</v>
      </c>
      <c r="M80" s="221">
        <f>+'Cuota Industrial'!J60</f>
        <v>0.97827676723257662</v>
      </c>
      <c r="N80" s="82" t="s">
        <v>135</v>
      </c>
      <c r="O80" s="83">
        <f>Resumen!$B$3</f>
        <v>44096</v>
      </c>
      <c r="P80" s="39">
        <f t="shared" si="2"/>
        <v>2020</v>
      </c>
      <c r="Q80" s="39"/>
    </row>
    <row r="81" spans="1:17">
      <c r="A81" s="40" t="s">
        <v>121</v>
      </c>
      <c r="B81" s="39" t="s">
        <v>109</v>
      </c>
      <c r="C81" s="39" t="s">
        <v>76</v>
      </c>
      <c r="D81" s="39" t="s">
        <v>110</v>
      </c>
      <c r="E81" s="39" t="str">
        <f>+'Cuota Industrial'!C$60</f>
        <v xml:space="preserve">LITORAL SpA PESQ   </v>
      </c>
      <c r="F81" s="39" t="s">
        <v>113</v>
      </c>
      <c r="G81" s="39" t="s">
        <v>114</v>
      </c>
      <c r="H81" s="78">
        <f>+'Cuota Industrial'!E61</f>
        <v>299.86223699999999</v>
      </c>
      <c r="I81" s="78">
        <f>+'Cuota Industrial'!F61</f>
        <v>0</v>
      </c>
      <c r="J81" s="78">
        <f>+'Cuota Industrial'!G61</f>
        <v>681.47073700000215</v>
      </c>
      <c r="K81" s="78">
        <f>+'Cuota Industrial'!H61</f>
        <v>0</v>
      </c>
      <c r="L81" s="78">
        <f>+'Cuota Industrial'!I61</f>
        <v>681.47073700000215</v>
      </c>
      <c r="M81" s="221">
        <f>+'Cuota Industrial'!J61</f>
        <v>0</v>
      </c>
      <c r="N81" s="82" t="s">
        <v>135</v>
      </c>
      <c r="O81" s="83">
        <f>Resumen!$B$3</f>
        <v>44096</v>
      </c>
      <c r="P81" s="39">
        <f t="shared" si="2"/>
        <v>2020</v>
      </c>
      <c r="Q81" s="39"/>
    </row>
    <row r="82" spans="1:17">
      <c r="A82" s="40" t="s">
        <v>121</v>
      </c>
      <c r="B82" s="39" t="s">
        <v>109</v>
      </c>
      <c r="C82" s="39" t="s">
        <v>76</v>
      </c>
      <c r="D82" s="39" t="s">
        <v>110</v>
      </c>
      <c r="E82" s="39" t="str">
        <f>+'Cuota Industrial'!C$60</f>
        <v xml:space="preserve">LITORAL SpA PESQ   </v>
      </c>
      <c r="F82" s="39" t="s">
        <v>111</v>
      </c>
      <c r="G82" s="39" t="s">
        <v>114</v>
      </c>
      <c r="H82" s="78">
        <f>'Cuota Industrial'!K60</f>
        <v>14993.003736999999</v>
      </c>
      <c r="I82" s="78">
        <f>'Cuota Industrial'!L60</f>
        <v>2873.6959999999999</v>
      </c>
      <c r="J82" s="78">
        <f>'Cuota Industrial'!M60</f>
        <v>17866.699736999999</v>
      </c>
      <c r="K82" s="78">
        <f>'Cuota Industrial'!N60</f>
        <v>17185.228999999999</v>
      </c>
      <c r="L82" s="78">
        <f>'Cuota Industrial'!O60</f>
        <v>681.47073699999964</v>
      </c>
      <c r="M82" s="221">
        <f>'Cuota Industrial'!P60</f>
        <v>0.96185805173695582</v>
      </c>
      <c r="N82" s="82" t="s">
        <v>135</v>
      </c>
      <c r="O82" s="83">
        <f>Resumen!$B$3</f>
        <v>44096</v>
      </c>
      <c r="P82" s="39">
        <f t="shared" si="2"/>
        <v>2020</v>
      </c>
      <c r="Q82" s="39"/>
    </row>
    <row r="83" spans="1:17">
      <c r="A83" s="40" t="s">
        <v>121</v>
      </c>
      <c r="B83" s="39" t="s">
        <v>109</v>
      </c>
      <c r="C83" s="39" t="s">
        <v>76</v>
      </c>
      <c r="D83" s="39" t="s">
        <v>110</v>
      </c>
      <c r="E83" s="39" t="str">
        <f>+'Cuota Industrial'!C$62</f>
        <v xml:space="preserve">FOODCORP CHILE S.A.   </v>
      </c>
      <c r="F83" s="39" t="s">
        <v>111</v>
      </c>
      <c r="G83" s="39" t="s">
        <v>112</v>
      </c>
      <c r="H83" s="78">
        <f>+'Cuota Industrial'!E62</f>
        <v>27874.010300000002</v>
      </c>
      <c r="I83" s="78">
        <f>+'Cuota Industrial'!F62</f>
        <v>7338.8019999999997</v>
      </c>
      <c r="J83" s="78">
        <f>+'Cuota Industrial'!G62</f>
        <v>35212.812300000005</v>
      </c>
      <c r="K83" s="78">
        <f>+'Cuota Industrial'!H62</f>
        <v>35592.482000000004</v>
      </c>
      <c r="L83" s="78">
        <f>+'Cuota Industrial'!I62</f>
        <v>-379.66969999999856</v>
      </c>
      <c r="M83" s="221">
        <f>+'Cuota Industrial'!J62</f>
        <v>1.0107821464745659</v>
      </c>
      <c r="N83" s="82" t="s">
        <v>135</v>
      </c>
      <c r="O83" s="83">
        <f>Resumen!$B$3</f>
        <v>44096</v>
      </c>
      <c r="P83" s="39">
        <f t="shared" si="2"/>
        <v>2020</v>
      </c>
      <c r="Q83" s="39"/>
    </row>
    <row r="84" spans="1:17">
      <c r="A84" s="40" t="s">
        <v>121</v>
      </c>
      <c r="B84" s="39" t="s">
        <v>109</v>
      </c>
      <c r="C84" s="39" t="s">
        <v>76</v>
      </c>
      <c r="D84" s="39" t="s">
        <v>110</v>
      </c>
      <c r="E84" s="39" t="str">
        <f>+'Cuota Industrial'!C$62</f>
        <v xml:space="preserve">FOODCORP CHILE S.A.   </v>
      </c>
      <c r="F84" s="39" t="s">
        <v>113</v>
      </c>
      <c r="G84" s="39" t="s">
        <v>114</v>
      </c>
      <c r="H84" s="78">
        <f>'Cuota Industrial'!E63</f>
        <v>568.86153899999999</v>
      </c>
      <c r="I84" s="78">
        <f>'Cuota Industrial'!F63</f>
        <v>0</v>
      </c>
      <c r="J84" s="78">
        <f>'Cuota Industrial'!G63</f>
        <v>189.19183900000144</v>
      </c>
      <c r="K84" s="78">
        <f>'Cuota Industrial'!H63</f>
        <v>0</v>
      </c>
      <c r="L84" s="78">
        <f>'Cuota Industrial'!I63</f>
        <v>189.19183900000144</v>
      </c>
      <c r="M84" s="221">
        <f>'Cuota Industrial'!J63</f>
        <v>0</v>
      </c>
      <c r="N84" s="82" t="s">
        <v>135</v>
      </c>
      <c r="O84" s="83">
        <f>Resumen!$B$3</f>
        <v>44096</v>
      </c>
      <c r="P84" s="39">
        <f t="shared" si="2"/>
        <v>2020</v>
      </c>
      <c r="Q84" s="39"/>
    </row>
    <row r="85" spans="1:17">
      <c r="A85" s="40" t="s">
        <v>121</v>
      </c>
      <c r="B85" s="39" t="s">
        <v>109</v>
      </c>
      <c r="C85" s="39" t="s">
        <v>76</v>
      </c>
      <c r="D85" s="39" t="s">
        <v>110</v>
      </c>
      <c r="E85" s="39" t="str">
        <f>+'Cuota Industrial'!C$62</f>
        <v xml:space="preserve">FOODCORP CHILE S.A.   </v>
      </c>
      <c r="F85" s="39" t="s">
        <v>111</v>
      </c>
      <c r="G85" s="39" t="s">
        <v>114</v>
      </c>
      <c r="H85" s="78">
        <f>'Cuota Industrial'!K62</f>
        <v>28442.871839000003</v>
      </c>
      <c r="I85" s="78">
        <f>'Cuota Industrial'!L62</f>
        <v>7338.8019999999997</v>
      </c>
      <c r="J85" s="78">
        <f>'Cuota Industrial'!M62</f>
        <v>35781.673839000003</v>
      </c>
      <c r="K85" s="78">
        <f>'Cuota Industrial'!N62</f>
        <v>35592.482000000004</v>
      </c>
      <c r="L85" s="78">
        <f>'Cuota Industrial'!O62</f>
        <v>189.19183899999916</v>
      </c>
      <c r="M85" s="221">
        <f>'Cuota Industrial'!P62</f>
        <v>0.9947126051215136</v>
      </c>
      <c r="N85" s="82" t="s">
        <v>135</v>
      </c>
      <c r="O85" s="83">
        <f>Resumen!$B$3</f>
        <v>44096</v>
      </c>
      <c r="P85" s="39">
        <f t="shared" si="2"/>
        <v>2020</v>
      </c>
      <c r="Q85" s="39"/>
    </row>
    <row r="86" spans="1:17">
      <c r="A86" s="40" t="s">
        <v>121</v>
      </c>
      <c r="B86" s="39" t="s">
        <v>109</v>
      </c>
      <c r="C86" s="39" t="s">
        <v>76</v>
      </c>
      <c r="D86" s="39" t="s">
        <v>110</v>
      </c>
      <c r="E86" s="39" t="str">
        <f>+'Cuota Industrial'!C$64</f>
        <v>ISLA QUIHUA S.A. PESQ.</v>
      </c>
      <c r="F86" s="39" t="s">
        <v>111</v>
      </c>
      <c r="G86" s="39" t="s">
        <v>112</v>
      </c>
      <c r="H86" s="78">
        <f>+'Cuota Industrial'!E64</f>
        <v>2.3098920000000001</v>
      </c>
      <c r="I86" s="78">
        <f>+'Cuota Industrial'!F64</f>
        <v>0</v>
      </c>
      <c r="J86" s="78">
        <f>+'Cuota Industrial'!G64</f>
        <v>2.3098920000000001</v>
      </c>
      <c r="K86" s="78">
        <f>+'Cuota Industrial'!H64</f>
        <v>0</v>
      </c>
      <c r="L86" s="78">
        <f>+'Cuota Industrial'!I64</f>
        <v>2.3098920000000001</v>
      </c>
      <c r="M86" s="221">
        <f>+'Cuota Industrial'!J64</f>
        <v>0</v>
      </c>
      <c r="N86" s="82" t="s">
        <v>135</v>
      </c>
      <c r="O86" s="83">
        <f>Resumen!$B$3</f>
        <v>44096</v>
      </c>
      <c r="P86" s="39">
        <f t="shared" si="2"/>
        <v>2020</v>
      </c>
      <c r="Q86" s="39"/>
    </row>
    <row r="87" spans="1:17">
      <c r="A87" s="40" t="s">
        <v>121</v>
      </c>
      <c r="B87" s="39" t="s">
        <v>109</v>
      </c>
      <c r="C87" s="39" t="s">
        <v>76</v>
      </c>
      <c r="D87" s="39" t="s">
        <v>110</v>
      </c>
      <c r="E87" s="39" t="str">
        <f>+'Cuota Industrial'!C$64</f>
        <v>ISLA QUIHUA S.A. PESQ.</v>
      </c>
      <c r="F87" s="39" t="s">
        <v>113</v>
      </c>
      <c r="G87" s="39" t="s">
        <v>114</v>
      </c>
      <c r="H87" s="78">
        <f>'Cuota Industrial'!E65</f>
        <v>4.7141000000000002E-2</v>
      </c>
      <c r="I87" s="78">
        <f>'Cuota Industrial'!F65</f>
        <v>0</v>
      </c>
      <c r="J87" s="78">
        <f>'Cuota Industrial'!G65</f>
        <v>2.3570329999999999</v>
      </c>
      <c r="K87" s="78">
        <f>'Cuota Industrial'!H65</f>
        <v>0</v>
      </c>
      <c r="L87" s="78">
        <f>'Cuota Industrial'!I65</f>
        <v>2.3570329999999999</v>
      </c>
      <c r="M87" s="221">
        <f>'Cuota Industrial'!J65</f>
        <v>0</v>
      </c>
      <c r="N87" s="82" t="s">
        <v>135</v>
      </c>
      <c r="O87" s="83">
        <f>Resumen!$B$3</f>
        <v>44096</v>
      </c>
      <c r="P87" s="39">
        <f t="shared" si="2"/>
        <v>2020</v>
      </c>
      <c r="Q87" s="39"/>
    </row>
    <row r="88" spans="1:17">
      <c r="A88" s="40" t="s">
        <v>121</v>
      </c>
      <c r="B88" s="39" t="s">
        <v>109</v>
      </c>
      <c r="C88" s="39" t="s">
        <v>76</v>
      </c>
      <c r="D88" s="39" t="s">
        <v>110</v>
      </c>
      <c r="E88" s="39" t="str">
        <f>+'Cuota Industrial'!C$64</f>
        <v>ISLA QUIHUA S.A. PESQ.</v>
      </c>
      <c r="F88" s="39" t="s">
        <v>111</v>
      </c>
      <c r="G88" s="39" t="s">
        <v>114</v>
      </c>
      <c r="H88" s="78">
        <f>'Cuota Industrial'!K64</f>
        <v>2.3570329999999999</v>
      </c>
      <c r="I88" s="78">
        <f>'Cuota Industrial'!L64</f>
        <v>0</v>
      </c>
      <c r="J88" s="78">
        <f>'Cuota Industrial'!M64</f>
        <v>2.3570329999999999</v>
      </c>
      <c r="K88" s="78">
        <f>'Cuota Industrial'!N64</f>
        <v>0</v>
      </c>
      <c r="L88" s="78">
        <f>'Cuota Industrial'!O64</f>
        <v>2.3570329999999999</v>
      </c>
      <c r="M88" s="221">
        <f>'Cuota Industrial'!P64</f>
        <v>0</v>
      </c>
      <c r="N88" s="82" t="s">
        <v>135</v>
      </c>
      <c r="O88" s="83">
        <f>Resumen!$B$3</f>
        <v>44096</v>
      </c>
      <c r="P88" s="39">
        <f t="shared" si="2"/>
        <v>2020</v>
      </c>
      <c r="Q88" s="39"/>
    </row>
    <row r="89" spans="1:17">
      <c r="A89" s="40" t="s">
        <v>121</v>
      </c>
      <c r="B89" s="39" t="s">
        <v>109</v>
      </c>
      <c r="C89" s="39" t="s">
        <v>76</v>
      </c>
      <c r="D89" s="39" t="s">
        <v>110</v>
      </c>
      <c r="E89" s="39" t="str">
        <f>+'Cuota Industrial'!C$66</f>
        <v xml:space="preserve">LANDES S.A. SOC. PESQ.      </v>
      </c>
      <c r="F89" s="39" t="s">
        <v>111</v>
      </c>
      <c r="G89" s="39" t="s">
        <v>112</v>
      </c>
      <c r="H89" s="78">
        <f>+'Cuota Industrial'!E66</f>
        <v>17730.975600000002</v>
      </c>
      <c r="I89" s="78">
        <f>+'Cuota Industrial'!F66</f>
        <v>12794.697300000002</v>
      </c>
      <c r="J89" s="78">
        <f>+'Cuota Industrial'!G66</f>
        <v>30525.672900000005</v>
      </c>
      <c r="K89" s="78">
        <f>+'Cuota Industrial'!H66</f>
        <v>30551.076000000001</v>
      </c>
      <c r="L89" s="78">
        <f>+'Cuota Industrial'!I66</f>
        <v>-25.403099999995902</v>
      </c>
      <c r="M89" s="221">
        <f>+'Cuota Industrial'!J66</f>
        <v>1.0008321880432649</v>
      </c>
      <c r="N89" s="82" t="s">
        <v>135</v>
      </c>
      <c r="O89" s="83">
        <f>Resumen!$B$3</f>
        <v>44096</v>
      </c>
      <c r="P89" s="39">
        <f t="shared" si="2"/>
        <v>2020</v>
      </c>
      <c r="Q89" s="39"/>
    </row>
    <row r="90" spans="1:17">
      <c r="A90" s="40" t="s">
        <v>121</v>
      </c>
      <c r="B90" s="39" t="s">
        <v>109</v>
      </c>
      <c r="C90" s="39" t="s">
        <v>76</v>
      </c>
      <c r="D90" s="39" t="s">
        <v>110</v>
      </c>
      <c r="E90" s="39" t="str">
        <f>+'Cuota Industrial'!C$66</f>
        <v xml:space="preserve">LANDES S.A. SOC. PESQ.      </v>
      </c>
      <c r="F90" s="39" t="s">
        <v>113</v>
      </c>
      <c r="G90" s="39" t="s">
        <v>114</v>
      </c>
      <c r="H90" s="78">
        <f>+'Cuota Industrial'!E67</f>
        <v>361.859307</v>
      </c>
      <c r="I90" s="78">
        <f>+'Cuota Industrial'!F67</f>
        <v>0</v>
      </c>
      <c r="J90" s="78">
        <f>+'Cuota Industrial'!G67</f>
        <v>336.4562070000041</v>
      </c>
      <c r="K90" s="78">
        <f>+'Cuota Industrial'!H67</f>
        <v>0</v>
      </c>
      <c r="L90" s="78">
        <f>+'Cuota Industrial'!I67</f>
        <v>336.4562070000041</v>
      </c>
      <c r="M90" s="221">
        <f>+'Cuota Industrial'!J67</f>
        <v>0</v>
      </c>
      <c r="N90" s="82" t="s">
        <v>135</v>
      </c>
      <c r="O90" s="83">
        <f>Resumen!$B$3</f>
        <v>44096</v>
      </c>
      <c r="P90" s="39">
        <f t="shared" si="2"/>
        <v>2020</v>
      </c>
      <c r="Q90" s="39"/>
    </row>
    <row r="91" spans="1:17">
      <c r="A91" s="40" t="s">
        <v>121</v>
      </c>
      <c r="B91" s="39" t="s">
        <v>109</v>
      </c>
      <c r="C91" s="39" t="s">
        <v>76</v>
      </c>
      <c r="D91" s="39" t="s">
        <v>110</v>
      </c>
      <c r="E91" s="39" t="str">
        <f>+'Cuota Industrial'!C$66</f>
        <v xml:space="preserve">LANDES S.A. SOC. PESQ.      </v>
      </c>
      <c r="F91" s="39" t="s">
        <v>111</v>
      </c>
      <c r="G91" s="39" t="s">
        <v>114</v>
      </c>
      <c r="H91" s="78">
        <f>'Cuota Industrial'!K66</f>
        <v>18092.834907</v>
      </c>
      <c r="I91" s="78">
        <f>'Cuota Industrial'!L66</f>
        <v>12794.697300000002</v>
      </c>
      <c r="J91" s="78">
        <f>'Cuota Industrial'!M66</f>
        <v>30887.532207000004</v>
      </c>
      <c r="K91" s="78">
        <f>'Cuota Industrial'!N66</f>
        <v>30551.076000000001</v>
      </c>
      <c r="L91" s="78">
        <f>'Cuota Industrial'!O66</f>
        <v>336.45620700000291</v>
      </c>
      <c r="M91" s="221">
        <f>'Cuota Industrial'!P66</f>
        <v>0.98910705443396507</v>
      </c>
      <c r="N91" s="82" t="s">
        <v>135</v>
      </c>
      <c r="O91" s="83">
        <f>Resumen!$B$3</f>
        <v>44096</v>
      </c>
      <c r="P91" s="39">
        <f t="shared" si="2"/>
        <v>2020</v>
      </c>
      <c r="Q91" s="39"/>
    </row>
    <row r="92" spans="1:17">
      <c r="A92" s="40" t="s">
        <v>121</v>
      </c>
      <c r="B92" s="39" t="s">
        <v>109</v>
      </c>
      <c r="C92" s="39" t="s">
        <v>76</v>
      </c>
      <c r="D92" s="39" t="s">
        <v>110</v>
      </c>
      <c r="E92" s="39" t="str">
        <f>+'Cuota Industrial'!C$68</f>
        <v xml:space="preserve">LOTA PROTEIN S.A.  </v>
      </c>
      <c r="F92" s="39" t="s">
        <v>111</v>
      </c>
      <c r="G92" s="39" t="s">
        <v>112</v>
      </c>
      <c r="H92" s="78">
        <f>+'Cuota Industrial'!E68</f>
        <v>3755.1506599999998</v>
      </c>
      <c r="I92" s="78">
        <f>+'Cuota Industrial'!F68</f>
        <v>-3831.7873</v>
      </c>
      <c r="J92" s="78">
        <f>+'Cuota Industrial'!G68</f>
        <v>-76.63664000000017</v>
      </c>
      <c r="K92" s="78">
        <f>+'Cuota Industrial'!H68</f>
        <v>0</v>
      </c>
      <c r="L92" s="78">
        <f>+'Cuota Industrial'!I68</f>
        <v>-76.63664000000017</v>
      </c>
      <c r="M92" s="221">
        <f>+'Cuota Industrial'!J68</f>
        <v>0</v>
      </c>
      <c r="N92" s="82" t="s">
        <v>135</v>
      </c>
      <c r="O92" s="83">
        <f>Resumen!$B$3</f>
        <v>44096</v>
      </c>
      <c r="P92" s="39">
        <f t="shared" si="2"/>
        <v>2020</v>
      </c>
      <c r="Q92" s="39"/>
    </row>
    <row r="93" spans="1:17">
      <c r="A93" s="40" t="s">
        <v>121</v>
      </c>
      <c r="B93" s="39" t="s">
        <v>109</v>
      </c>
      <c r="C93" s="39" t="s">
        <v>76</v>
      </c>
      <c r="D93" s="39" t="s">
        <v>110</v>
      </c>
      <c r="E93" s="39" t="str">
        <f>+'Cuota Industrial'!C$68</f>
        <v xml:space="preserve">LOTA PROTEIN S.A.  </v>
      </c>
      <c r="F93" s="39" t="s">
        <v>113</v>
      </c>
      <c r="G93" s="39" t="s">
        <v>114</v>
      </c>
      <c r="H93" s="78">
        <f>'Cuota Industrial'!E69</f>
        <v>76.636291799999995</v>
      </c>
      <c r="I93" s="78">
        <f>'Cuota Industrial'!F69</f>
        <v>0</v>
      </c>
      <c r="J93" s="78">
        <f>'Cuota Industrial'!G69</f>
        <v>-3.4820000017532493E-4</v>
      </c>
      <c r="K93" s="78">
        <f>'Cuota Industrial'!H69</f>
        <v>0</v>
      </c>
      <c r="L93" s="78">
        <f>'Cuota Industrial'!I69</f>
        <v>-3.4820000017532493E-4</v>
      </c>
      <c r="M93" s="221">
        <f>'Cuota Industrial'!J69</f>
        <v>0</v>
      </c>
      <c r="N93" s="82" t="s">
        <v>135</v>
      </c>
      <c r="O93" s="83">
        <f>Resumen!$B$3</f>
        <v>44096</v>
      </c>
      <c r="P93" s="39">
        <f t="shared" si="2"/>
        <v>2020</v>
      </c>
      <c r="Q93" s="39"/>
    </row>
    <row r="94" spans="1:17">
      <c r="A94" s="40" t="s">
        <v>121</v>
      </c>
      <c r="B94" s="39" t="s">
        <v>109</v>
      </c>
      <c r="C94" s="39" t="s">
        <v>76</v>
      </c>
      <c r="D94" s="39" t="s">
        <v>110</v>
      </c>
      <c r="E94" s="39" t="str">
        <f>+'Cuota Industrial'!C$68</f>
        <v xml:space="preserve">LOTA PROTEIN S.A.  </v>
      </c>
      <c r="F94" s="39" t="s">
        <v>111</v>
      </c>
      <c r="G94" s="39" t="s">
        <v>114</v>
      </c>
      <c r="H94" s="78">
        <f>'Cuota Industrial'!K68</f>
        <v>3831.7869517999998</v>
      </c>
      <c r="I94" s="78">
        <f>'Cuota Industrial'!L68</f>
        <v>-3831.7873</v>
      </c>
      <c r="J94" s="78">
        <f>'Cuota Industrial'!M68</f>
        <v>-3.4820000018953579E-4</v>
      </c>
      <c r="K94" s="78">
        <f>'Cuota Industrial'!N68</f>
        <v>0</v>
      </c>
      <c r="L94" s="78">
        <f>'Cuota Industrial'!O68</f>
        <v>-3.4820000018953579E-4</v>
      </c>
      <c r="M94" s="221">
        <f>'Cuota Industrial'!P68</f>
        <v>0</v>
      </c>
      <c r="N94" s="82" t="s">
        <v>135</v>
      </c>
      <c r="O94" s="83">
        <f>Resumen!$B$3</f>
        <v>44096</v>
      </c>
      <c r="P94" s="39">
        <f t="shared" si="2"/>
        <v>2020</v>
      </c>
      <c r="Q94" s="39"/>
    </row>
    <row r="95" spans="1:17">
      <c r="A95" s="40" t="s">
        <v>121</v>
      </c>
      <c r="B95" s="39" t="s">
        <v>109</v>
      </c>
      <c r="C95" s="39" t="s">
        <v>76</v>
      </c>
      <c r="D95" s="39" t="s">
        <v>110</v>
      </c>
      <c r="E95" s="39" t="str">
        <f>+'Cuota Industrial'!C$70</f>
        <v>ORIZON S.A</v>
      </c>
      <c r="F95" s="39" t="s">
        <v>111</v>
      </c>
      <c r="G95" s="39" t="s">
        <v>112</v>
      </c>
      <c r="H95" s="78">
        <f>+'Cuota Industrial'!E70</f>
        <v>69083.353199999998</v>
      </c>
      <c r="I95" s="78">
        <f>+'Cuota Industrial'!F70</f>
        <v>10714.673521000001</v>
      </c>
      <c r="J95" s="78">
        <f>+'Cuota Industrial'!G70</f>
        <v>79798.026721000002</v>
      </c>
      <c r="K95" s="78">
        <f>+'Cuota Industrial'!H70</f>
        <v>79557.679999999993</v>
      </c>
      <c r="L95" s="78">
        <f>+'Cuota Industrial'!I70</f>
        <v>240.34672100000898</v>
      </c>
      <c r="M95" s="221">
        <f>+'Cuota Industrial'!J70</f>
        <v>0.99698806184969535</v>
      </c>
      <c r="N95" s="82" t="s">
        <v>135</v>
      </c>
      <c r="O95" s="83">
        <f>Resumen!$B$3</f>
        <v>44096</v>
      </c>
      <c r="P95" s="39">
        <f t="shared" si="2"/>
        <v>2020</v>
      </c>
      <c r="Q95" s="39"/>
    </row>
    <row r="96" spans="1:17">
      <c r="A96" s="40" t="s">
        <v>121</v>
      </c>
      <c r="B96" s="39" t="s">
        <v>109</v>
      </c>
      <c r="C96" s="39" t="s">
        <v>76</v>
      </c>
      <c r="D96" s="39" t="s">
        <v>110</v>
      </c>
      <c r="E96" s="39" t="str">
        <f>+'Cuota Industrial'!C$70</f>
        <v>ORIZON S.A</v>
      </c>
      <c r="F96" s="39" t="s">
        <v>113</v>
      </c>
      <c r="G96" s="39" t="s">
        <v>114</v>
      </c>
      <c r="H96" s="78">
        <f>'Cuota Industrial'!E71</f>
        <v>1409.87473</v>
      </c>
      <c r="I96" s="78">
        <f>'Cuota Industrial'!F71</f>
        <v>0</v>
      </c>
      <c r="J96" s="78">
        <f>'Cuota Industrial'!G71</f>
        <v>1650.221451000009</v>
      </c>
      <c r="K96" s="78">
        <f>'Cuota Industrial'!H71</f>
        <v>0</v>
      </c>
      <c r="L96" s="78">
        <f>'Cuota Industrial'!I71</f>
        <v>1650.221451000009</v>
      </c>
      <c r="M96" s="221">
        <f>'Cuota Industrial'!J71</f>
        <v>0</v>
      </c>
      <c r="N96" s="82" t="s">
        <v>135</v>
      </c>
      <c r="O96" s="83">
        <f>Resumen!$B$3</f>
        <v>44096</v>
      </c>
      <c r="P96" s="39">
        <f t="shared" si="2"/>
        <v>2020</v>
      </c>
      <c r="Q96" s="39"/>
    </row>
    <row r="97" spans="1:17">
      <c r="A97" s="40" t="s">
        <v>121</v>
      </c>
      <c r="B97" s="39" t="s">
        <v>109</v>
      </c>
      <c r="C97" s="39" t="s">
        <v>76</v>
      </c>
      <c r="D97" s="39" t="s">
        <v>110</v>
      </c>
      <c r="E97" s="39" t="str">
        <f>+'Cuota Industrial'!C$70</f>
        <v>ORIZON S.A</v>
      </c>
      <c r="F97" s="39" t="s">
        <v>111</v>
      </c>
      <c r="G97" s="39" t="s">
        <v>114</v>
      </c>
      <c r="H97" s="78">
        <f>'Cuota Industrial'!K70</f>
        <v>70493.227929999994</v>
      </c>
      <c r="I97" s="78">
        <f>'Cuota Industrial'!L70</f>
        <v>10714.673521000001</v>
      </c>
      <c r="J97" s="78">
        <f>'Cuota Industrial'!M70</f>
        <v>81207.901450999998</v>
      </c>
      <c r="K97" s="78">
        <f>'Cuota Industrial'!N70</f>
        <v>79557.679999999993</v>
      </c>
      <c r="L97" s="78">
        <f>'Cuota Industrial'!O70</f>
        <v>1650.2214510000049</v>
      </c>
      <c r="M97" s="221">
        <f>'Cuota Industrial'!P70</f>
        <v>0.9796790531276599</v>
      </c>
      <c r="N97" s="82" t="s">
        <v>135</v>
      </c>
      <c r="O97" s="83">
        <f>Resumen!$B$3</f>
        <v>44096</v>
      </c>
      <c r="P97" s="39">
        <f t="shared" si="2"/>
        <v>2020</v>
      </c>
      <c r="Q97" s="39"/>
    </row>
    <row r="98" spans="1:17">
      <c r="A98" s="85" t="s">
        <v>121</v>
      </c>
      <c r="B98" s="39" t="s">
        <v>109</v>
      </c>
      <c r="C98" s="39" t="s">
        <v>76</v>
      </c>
      <c r="D98" s="39" t="s">
        <v>110</v>
      </c>
      <c r="E98" s="39" t="str">
        <f>+'Cuota Industrial'!C$72</f>
        <v>SUR AUSTRAL S.A. PESQ.</v>
      </c>
      <c r="F98" s="39" t="s">
        <v>111</v>
      </c>
      <c r="G98" s="39" t="s">
        <v>112</v>
      </c>
      <c r="H98" s="78">
        <f>+'Cuota Industrial'!E72</f>
        <v>89.161831199999995</v>
      </c>
      <c r="I98" s="78">
        <f>+'Cuota Industrial'!F72</f>
        <v>0</v>
      </c>
      <c r="J98" s="78">
        <f>+'Cuota Industrial'!G72</f>
        <v>89.161831199999995</v>
      </c>
      <c r="K98" s="78">
        <f>+'Cuota Industrial'!H72</f>
        <v>0</v>
      </c>
      <c r="L98" s="78">
        <f>+'Cuota Industrial'!I72</f>
        <v>89.161831199999995</v>
      </c>
      <c r="M98" s="221">
        <f>+'Cuota Industrial'!J72</f>
        <v>0</v>
      </c>
      <c r="N98" s="82" t="s">
        <v>135</v>
      </c>
      <c r="O98" s="83">
        <f>Resumen!$B$3</f>
        <v>44096</v>
      </c>
      <c r="P98" s="39">
        <f t="shared" si="2"/>
        <v>2020</v>
      </c>
      <c r="Q98" s="39"/>
    </row>
    <row r="99" spans="1:17">
      <c r="A99" s="85" t="s">
        <v>121</v>
      </c>
      <c r="B99" s="39" t="s">
        <v>109</v>
      </c>
      <c r="C99" s="39" t="s">
        <v>76</v>
      </c>
      <c r="D99" s="39" t="s">
        <v>110</v>
      </c>
      <c r="E99" s="39" t="str">
        <f>+'Cuota Industrial'!C$72</f>
        <v>SUR AUSTRAL S.A. PESQ.</v>
      </c>
      <c r="F99" s="39" t="s">
        <v>113</v>
      </c>
      <c r="G99" s="39" t="s">
        <v>114</v>
      </c>
      <c r="H99" s="78">
        <f>+'Cuota Industrial'!E73</f>
        <v>1.8196426000000001</v>
      </c>
      <c r="I99" s="78">
        <f>+'Cuota Industrial'!F73</f>
        <v>0</v>
      </c>
      <c r="J99" s="78">
        <f>+'Cuota Industrial'!G73</f>
        <v>90.981473799999989</v>
      </c>
      <c r="K99" s="78">
        <f>+'Cuota Industrial'!H73</f>
        <v>0</v>
      </c>
      <c r="L99" s="78">
        <f>+'Cuota Industrial'!I73</f>
        <v>90.981473799999989</v>
      </c>
      <c r="M99" s="221">
        <f>+'Cuota Industrial'!J73</f>
        <v>0</v>
      </c>
      <c r="N99" s="82" t="s">
        <v>135</v>
      </c>
      <c r="O99" s="83">
        <f>Resumen!$B$3</f>
        <v>44096</v>
      </c>
      <c r="P99" s="39">
        <f t="shared" si="2"/>
        <v>2020</v>
      </c>
      <c r="Q99" s="39"/>
    </row>
    <row r="100" spans="1:17">
      <c r="A100" s="85" t="s">
        <v>121</v>
      </c>
      <c r="B100" s="39" t="s">
        <v>109</v>
      </c>
      <c r="C100" s="39" t="s">
        <v>76</v>
      </c>
      <c r="D100" s="39" t="s">
        <v>110</v>
      </c>
      <c r="E100" s="39" t="str">
        <f>+'Cuota Industrial'!C$72</f>
        <v>SUR AUSTRAL S.A. PESQ.</v>
      </c>
      <c r="F100" s="39" t="s">
        <v>111</v>
      </c>
      <c r="G100" s="39" t="s">
        <v>114</v>
      </c>
      <c r="H100" s="78">
        <f>'Cuota Industrial'!K72</f>
        <v>90.981473799999989</v>
      </c>
      <c r="I100" s="78">
        <f>'Cuota Industrial'!L72</f>
        <v>0</v>
      </c>
      <c r="J100" s="78">
        <f>'Cuota Industrial'!M72</f>
        <v>90.981473799999989</v>
      </c>
      <c r="K100" s="78">
        <f>'Cuota Industrial'!N72</f>
        <v>0</v>
      </c>
      <c r="L100" s="78">
        <f>'Cuota Industrial'!O72</f>
        <v>90.981473799999989</v>
      </c>
      <c r="M100" s="221">
        <f>'Cuota Industrial'!P72</f>
        <v>0</v>
      </c>
      <c r="N100" s="82" t="s">
        <v>135</v>
      </c>
      <c r="O100" s="83">
        <f>Resumen!$B$3</f>
        <v>44096</v>
      </c>
      <c r="P100" s="39">
        <f t="shared" si="2"/>
        <v>2020</v>
      </c>
      <c r="Q100" s="39"/>
    </row>
    <row r="101" spans="1:17">
      <c r="A101" s="40" t="s">
        <v>121</v>
      </c>
      <c r="B101" s="39" t="s">
        <v>109</v>
      </c>
      <c r="C101" s="39" t="s">
        <v>76</v>
      </c>
      <c r="D101" s="39" t="s">
        <v>110</v>
      </c>
      <c r="E101" s="39" t="str">
        <f>+'Cuota Industrial'!C$74</f>
        <v xml:space="preserve"> PACIFICBLU SpA</v>
      </c>
      <c r="F101" s="39" t="s">
        <v>111</v>
      </c>
      <c r="G101" s="39" t="s">
        <v>112</v>
      </c>
      <c r="H101" s="78">
        <f>+'Cuota Industrial'!E74</f>
        <v>46.197839999999999</v>
      </c>
      <c r="I101" s="78">
        <f>+'Cuota Industrial'!F74</f>
        <v>0</v>
      </c>
      <c r="J101" s="78">
        <f>+'Cuota Industrial'!G74</f>
        <v>46.197839999999999</v>
      </c>
      <c r="K101" s="78">
        <f>+'Cuota Industrial'!H74</f>
        <v>30.558</v>
      </c>
      <c r="L101" s="78">
        <f>+'Cuota Industrial'!I74</f>
        <v>15.63984</v>
      </c>
      <c r="M101" s="221">
        <f>+'Cuota Industrial'!J74</f>
        <v>0.66145949680764293</v>
      </c>
      <c r="N101" s="82" t="s">
        <v>135</v>
      </c>
      <c r="O101" s="83">
        <f>Resumen!$B$3</f>
        <v>44096</v>
      </c>
      <c r="P101" s="39">
        <f t="shared" si="2"/>
        <v>2020</v>
      </c>
      <c r="Q101" s="39"/>
    </row>
    <row r="102" spans="1:17">
      <c r="A102" s="40" t="s">
        <v>121</v>
      </c>
      <c r="B102" s="39" t="s">
        <v>109</v>
      </c>
      <c r="C102" s="39" t="s">
        <v>76</v>
      </c>
      <c r="D102" s="39" t="s">
        <v>110</v>
      </c>
      <c r="E102" s="39" t="str">
        <f>+'Cuota Industrial'!C$74</f>
        <v xml:space="preserve"> PACIFICBLU SpA</v>
      </c>
      <c r="F102" s="39" t="s">
        <v>113</v>
      </c>
      <c r="G102" s="39" t="s">
        <v>114</v>
      </c>
      <c r="H102" s="78">
        <f>'Cuota Industrial'!E75</f>
        <v>0.94281999999999999</v>
      </c>
      <c r="I102" s="78">
        <f>'Cuota Industrial'!F75</f>
        <v>0</v>
      </c>
      <c r="J102" s="78">
        <f>'Cuota Industrial'!G75</f>
        <v>16.582660000000001</v>
      </c>
      <c r="K102" s="78">
        <f>'Cuota Industrial'!H75</f>
        <v>0</v>
      </c>
      <c r="L102" s="78">
        <f>'Cuota Industrial'!I75</f>
        <v>16.582660000000001</v>
      </c>
      <c r="M102" s="221">
        <f>'Cuota Industrial'!J75</f>
        <v>0</v>
      </c>
      <c r="N102" s="82" t="s">
        <v>135</v>
      </c>
      <c r="O102" s="83">
        <f>Resumen!$B$3</f>
        <v>44096</v>
      </c>
      <c r="P102" s="39">
        <f t="shared" si="2"/>
        <v>2020</v>
      </c>
      <c r="Q102" s="39"/>
    </row>
    <row r="103" spans="1:17">
      <c r="A103" s="40" t="s">
        <v>121</v>
      </c>
      <c r="B103" s="39" t="s">
        <v>109</v>
      </c>
      <c r="C103" s="39" t="s">
        <v>76</v>
      </c>
      <c r="D103" s="39" t="s">
        <v>110</v>
      </c>
      <c r="E103" s="39" t="str">
        <f>+'Cuota Industrial'!C$74</f>
        <v xml:space="preserve"> PACIFICBLU SpA</v>
      </c>
      <c r="F103" s="39" t="s">
        <v>111</v>
      </c>
      <c r="G103" s="39" t="s">
        <v>114</v>
      </c>
      <c r="H103" s="78">
        <f>'Cuota Industrial'!K74</f>
        <v>47.140659999999997</v>
      </c>
      <c r="I103" s="78">
        <f>'Cuota Industrial'!L74</f>
        <v>0</v>
      </c>
      <c r="J103" s="78">
        <f>'Cuota Industrial'!M74</f>
        <v>47.140659999999997</v>
      </c>
      <c r="K103" s="78">
        <f>'Cuota Industrial'!N74</f>
        <v>30.558</v>
      </c>
      <c r="L103" s="78">
        <f>'Cuota Industrial'!O74</f>
        <v>16.582659999999997</v>
      </c>
      <c r="M103" s="221">
        <f>'Cuota Industrial'!P74</f>
        <v>0.64823021145652182</v>
      </c>
      <c r="N103" s="82" t="s">
        <v>135</v>
      </c>
      <c r="O103" s="83">
        <f>Resumen!$B$3</f>
        <v>44096</v>
      </c>
      <c r="P103" s="39">
        <f t="shared" si="2"/>
        <v>2020</v>
      </c>
      <c r="Q103" s="39"/>
    </row>
    <row r="104" spans="1:17">
      <c r="A104" s="40" t="s">
        <v>121</v>
      </c>
      <c r="B104" s="39" t="s">
        <v>109</v>
      </c>
      <c r="C104" s="39" t="s">
        <v>76</v>
      </c>
      <c r="D104" s="39" t="s">
        <v>110</v>
      </c>
      <c r="E104" s="39" t="str">
        <f>+'Cuota Industrial'!C$76</f>
        <v>PESQ. GENOVA LTDA.</v>
      </c>
      <c r="F104" s="39" t="s">
        <v>111</v>
      </c>
      <c r="G104" s="39" t="s">
        <v>112</v>
      </c>
      <c r="H104" s="78">
        <f>+'Cuota Industrial'!E76</f>
        <v>203.81399999999999</v>
      </c>
      <c r="I104" s="78">
        <f>+'Cuota Industrial'!F76</f>
        <v>-207.97352100000001</v>
      </c>
      <c r="J104" s="78">
        <f>+'Cuota Industrial'!G76</f>
        <v>-4.1595210000000122</v>
      </c>
      <c r="K104" s="78">
        <f>+'Cuota Industrial'!H76</f>
        <v>0</v>
      </c>
      <c r="L104" s="78">
        <f>+'Cuota Industrial'!I76</f>
        <v>-4.1595210000000122</v>
      </c>
      <c r="M104" s="221">
        <f>+'Cuota Industrial'!J76</f>
        <v>0</v>
      </c>
      <c r="N104" s="82" t="s">
        <v>135</v>
      </c>
      <c r="O104" s="83">
        <f>Resumen!$B$3</f>
        <v>44096</v>
      </c>
      <c r="P104" s="39">
        <f t="shared" si="2"/>
        <v>2020</v>
      </c>
      <c r="Q104" s="39"/>
    </row>
    <row r="105" spans="1:17">
      <c r="A105" s="40" t="s">
        <v>121</v>
      </c>
      <c r="B105" s="39" t="s">
        <v>109</v>
      </c>
      <c r="C105" s="39" t="s">
        <v>76</v>
      </c>
      <c r="D105" s="39" t="s">
        <v>110</v>
      </c>
      <c r="E105" s="39" t="str">
        <f>+'Cuota Industrial'!C$76</f>
        <v>PESQ. GENOVA LTDA.</v>
      </c>
      <c r="F105" s="39" t="s">
        <v>113</v>
      </c>
      <c r="G105" s="39" t="s">
        <v>114</v>
      </c>
      <c r="H105" s="78">
        <f>'Cuota Industrial'!E77</f>
        <v>4.1595000000000004</v>
      </c>
      <c r="I105" s="78">
        <f>'Cuota Industrial'!F77</f>
        <v>0</v>
      </c>
      <c r="J105" s="78">
        <f>'Cuota Industrial'!G77</f>
        <v>-2.1000000011817122E-5</v>
      </c>
      <c r="K105" s="78">
        <f>'Cuota Industrial'!H77</f>
        <v>0</v>
      </c>
      <c r="L105" s="78">
        <f>'Cuota Industrial'!I77</f>
        <v>-2.1000000011817122E-5</v>
      </c>
      <c r="M105" s="221">
        <f>'Cuota Industrial'!J77</f>
        <v>0</v>
      </c>
      <c r="N105" s="82" t="s">
        <v>135</v>
      </c>
      <c r="O105" s="83">
        <f>Resumen!$B$3</f>
        <v>44096</v>
      </c>
      <c r="P105" s="39">
        <f t="shared" si="2"/>
        <v>2020</v>
      </c>
      <c r="Q105" s="39"/>
    </row>
    <row r="106" spans="1:17">
      <c r="A106" s="40" t="s">
        <v>121</v>
      </c>
      <c r="B106" s="39" t="s">
        <v>109</v>
      </c>
      <c r="C106" s="39" t="s">
        <v>76</v>
      </c>
      <c r="D106" s="39" t="s">
        <v>110</v>
      </c>
      <c r="E106" s="39" t="str">
        <f>+'Cuota Industrial'!C$76</f>
        <v>PESQ. GENOVA LTDA.</v>
      </c>
      <c r="F106" s="39" t="s">
        <v>111</v>
      </c>
      <c r="G106" s="39" t="s">
        <v>114</v>
      </c>
      <c r="H106" s="78">
        <f>'Cuota Industrial'!K76</f>
        <v>207.9735</v>
      </c>
      <c r="I106" s="78">
        <f>'Cuota Industrial'!L76</f>
        <v>-207.97352100000001</v>
      </c>
      <c r="J106" s="78">
        <f>'Cuota Industrial'!M76</f>
        <v>-2.1000000003823516E-5</v>
      </c>
      <c r="K106" s="78">
        <f>'Cuota Industrial'!N76</f>
        <v>0</v>
      </c>
      <c r="L106" s="78">
        <f>'Cuota Industrial'!O76</f>
        <v>-2.1000000003823516E-5</v>
      </c>
      <c r="M106" s="221">
        <f>'Cuota Industrial'!P76</f>
        <v>0</v>
      </c>
      <c r="N106" s="82" t="s">
        <v>135</v>
      </c>
      <c r="O106" s="83">
        <f>Resumen!$B$3</f>
        <v>44096</v>
      </c>
      <c r="P106" s="39">
        <f t="shared" si="2"/>
        <v>2020</v>
      </c>
      <c r="Q106" s="39"/>
    </row>
    <row r="107" spans="1:17">
      <c r="A107" s="40" t="s">
        <v>121</v>
      </c>
      <c r="B107" s="39" t="s">
        <v>109</v>
      </c>
      <c r="C107" s="39" t="s">
        <v>76</v>
      </c>
      <c r="D107" s="39" t="s">
        <v>110</v>
      </c>
      <c r="E107" s="39" t="str">
        <f>+'Cuota Industrial'!C$78</f>
        <v>PAOLA POBLETE NOVOA</v>
      </c>
      <c r="F107" s="39" t="s">
        <v>111</v>
      </c>
      <c r="G107" s="39" t="s">
        <v>112</v>
      </c>
      <c r="H107" s="78">
        <f>+'Cuota Industrial'!E78</f>
        <v>13.5876</v>
      </c>
      <c r="I107" s="78">
        <f>+'Cuota Industrial'!F78</f>
        <v>0</v>
      </c>
      <c r="J107" s="78">
        <f>+'Cuota Industrial'!G78</f>
        <v>13.5876</v>
      </c>
      <c r="K107" s="78">
        <f>+'Cuota Industrial'!H78</f>
        <v>0</v>
      </c>
      <c r="L107" s="78">
        <f>+'Cuota Industrial'!I78</f>
        <v>13.5876</v>
      </c>
      <c r="M107" s="221">
        <f>+'Cuota Industrial'!J78</f>
        <v>0</v>
      </c>
      <c r="N107" s="82" t="s">
        <v>135</v>
      </c>
      <c r="O107" s="83">
        <f>Resumen!$B$3</f>
        <v>44096</v>
      </c>
      <c r="P107" s="39">
        <f t="shared" si="2"/>
        <v>2020</v>
      </c>
      <c r="Q107" s="39"/>
    </row>
    <row r="108" spans="1:17">
      <c r="A108" s="40" t="s">
        <v>121</v>
      </c>
      <c r="B108" s="39" t="s">
        <v>109</v>
      </c>
      <c r="C108" s="39" t="s">
        <v>76</v>
      </c>
      <c r="D108" s="39" t="s">
        <v>110</v>
      </c>
      <c r="E108" s="39" t="str">
        <f>+'Cuota Industrial'!C$78</f>
        <v>PAOLA POBLETE NOVOA</v>
      </c>
      <c r="F108" s="39" t="s">
        <v>113</v>
      </c>
      <c r="G108" s="39" t="s">
        <v>114</v>
      </c>
      <c r="H108" s="78">
        <f>'Cuota Industrial'!E79</f>
        <v>0.27729999999999999</v>
      </c>
      <c r="I108" s="78">
        <f>'Cuota Industrial'!F79</f>
        <v>0</v>
      </c>
      <c r="J108" s="78">
        <f>'Cuota Industrial'!G79</f>
        <v>13.8649</v>
      </c>
      <c r="K108" s="78">
        <f>'Cuota Industrial'!H79</f>
        <v>0</v>
      </c>
      <c r="L108" s="78">
        <f>'Cuota Industrial'!I79</f>
        <v>13.8649</v>
      </c>
      <c r="M108" s="221">
        <f>'Cuota Industrial'!J79</f>
        <v>0</v>
      </c>
      <c r="N108" s="82" t="s">
        <v>135</v>
      </c>
      <c r="O108" s="83">
        <f>Resumen!$B$3</f>
        <v>44096</v>
      </c>
      <c r="P108" s="39">
        <f t="shared" si="2"/>
        <v>2020</v>
      </c>
      <c r="Q108" s="39"/>
    </row>
    <row r="109" spans="1:17">
      <c r="A109" s="40" t="s">
        <v>121</v>
      </c>
      <c r="B109" s="39" t="s">
        <v>109</v>
      </c>
      <c r="C109" s="39" t="s">
        <v>76</v>
      </c>
      <c r="D109" s="39" t="s">
        <v>110</v>
      </c>
      <c r="E109" s="39" t="str">
        <f>+'Cuota Industrial'!C$78</f>
        <v>PAOLA POBLETE NOVOA</v>
      </c>
      <c r="F109" s="39" t="s">
        <v>111</v>
      </c>
      <c r="G109" s="39" t="s">
        <v>114</v>
      </c>
      <c r="H109" s="78">
        <f>'Cuota Industrial'!K78</f>
        <v>13.8649</v>
      </c>
      <c r="I109" s="78">
        <f>'Cuota Industrial'!L78</f>
        <v>0</v>
      </c>
      <c r="J109" s="78">
        <f>'Cuota Industrial'!M78</f>
        <v>13.8649</v>
      </c>
      <c r="K109" s="78">
        <f>'Cuota Industrial'!N78</f>
        <v>0</v>
      </c>
      <c r="L109" s="78">
        <f>'Cuota Industrial'!O78</f>
        <v>13.8649</v>
      </c>
      <c r="M109" s="221">
        <f>'Cuota Industrial'!P78</f>
        <v>0</v>
      </c>
      <c r="N109" s="82" t="s">
        <v>135</v>
      </c>
      <c r="O109" s="83">
        <f>Resumen!$B$3</f>
        <v>44096</v>
      </c>
      <c r="P109" s="39">
        <f t="shared" si="2"/>
        <v>2020</v>
      </c>
      <c r="Q109" s="39"/>
    </row>
    <row r="110" spans="1:17">
      <c r="A110" s="40" t="s">
        <v>121</v>
      </c>
      <c r="B110" s="39" t="s">
        <v>109</v>
      </c>
      <c r="C110" s="39" t="s">
        <v>76</v>
      </c>
      <c r="D110" s="39" t="s">
        <v>110</v>
      </c>
      <c r="E110" s="39" t="str">
        <f>+'Cuota Industrial'!C$80</f>
        <v>PESQ. ENFEMAR LTDA.</v>
      </c>
      <c r="F110" s="39" t="s">
        <v>111</v>
      </c>
      <c r="G110" s="39" t="s">
        <v>112</v>
      </c>
      <c r="H110" s="78">
        <f>+'Cuota Industrial'!E80</f>
        <v>0</v>
      </c>
      <c r="I110" s="78">
        <f>+'Cuota Industrial'!F80</f>
        <v>0</v>
      </c>
      <c r="J110" s="78">
        <f>+'Cuota Industrial'!G80</f>
        <v>0</v>
      </c>
      <c r="K110" s="78">
        <f>+'Cuota Industrial'!H80</f>
        <v>0.29499999999999998</v>
      </c>
      <c r="L110" s="78">
        <f>+'Cuota Industrial'!I80</f>
        <v>-0.29499999999999998</v>
      </c>
      <c r="M110" s="221">
        <f>+'Cuota Industrial'!J80</f>
        <v>0</v>
      </c>
      <c r="N110" s="82" t="s">
        <v>135</v>
      </c>
      <c r="O110" s="83">
        <f>Resumen!$B$3</f>
        <v>44096</v>
      </c>
      <c r="P110" s="39">
        <f t="shared" si="2"/>
        <v>2020</v>
      </c>
      <c r="Q110" s="39"/>
    </row>
    <row r="111" spans="1:17">
      <c r="A111" s="40" t="s">
        <v>121</v>
      </c>
      <c r="B111" s="39" t="s">
        <v>109</v>
      </c>
      <c r="C111" s="39" t="s">
        <v>76</v>
      </c>
      <c r="D111" s="39" t="s">
        <v>110</v>
      </c>
      <c r="E111" s="39" t="str">
        <f>+'Cuota Industrial'!C$80</f>
        <v>PESQ. ENFEMAR LTDA.</v>
      </c>
      <c r="F111" s="39" t="s">
        <v>113</v>
      </c>
      <c r="G111" s="39" t="s">
        <v>114</v>
      </c>
      <c r="H111" s="78">
        <f>+'Cuota Industrial'!E81</f>
        <v>0</v>
      </c>
      <c r="I111" s="78">
        <f>+'Cuota Industrial'!F81</f>
        <v>0</v>
      </c>
      <c r="J111" s="78">
        <f>+'Cuota Industrial'!G81</f>
        <v>-0.29499999999999998</v>
      </c>
      <c r="K111" s="78">
        <f>+'Cuota Industrial'!H81</f>
        <v>0</v>
      </c>
      <c r="L111" s="78">
        <f>+'Cuota Industrial'!I81</f>
        <v>-0.29499999999999998</v>
      </c>
      <c r="M111" s="221">
        <f>+'Cuota Industrial'!J81</f>
        <v>0</v>
      </c>
      <c r="N111" s="82" t="s">
        <v>135</v>
      </c>
      <c r="O111" s="83">
        <f>Resumen!$B$3</f>
        <v>44096</v>
      </c>
      <c r="P111" s="39">
        <f t="shared" si="2"/>
        <v>2020</v>
      </c>
      <c r="Q111" s="39"/>
    </row>
    <row r="112" spans="1:17">
      <c r="A112" s="40" t="s">
        <v>121</v>
      </c>
      <c r="B112" s="39" t="s">
        <v>109</v>
      </c>
      <c r="C112" s="39" t="s">
        <v>76</v>
      </c>
      <c r="D112" s="39" t="s">
        <v>110</v>
      </c>
      <c r="E112" s="39" t="str">
        <f>+'Cuota Industrial'!C$80</f>
        <v>PESQ. ENFEMAR LTDA.</v>
      </c>
      <c r="F112" s="39" t="s">
        <v>111</v>
      </c>
      <c r="G112" s="39" t="s">
        <v>114</v>
      </c>
      <c r="H112" s="78">
        <f>'Cuota Industrial'!K80</f>
        <v>0</v>
      </c>
      <c r="I112" s="78">
        <f>'Cuota Industrial'!L80</f>
        <v>0</v>
      </c>
      <c r="J112" s="78">
        <f>'Cuota Industrial'!M80</f>
        <v>0</v>
      </c>
      <c r="K112" s="78">
        <f>'Cuota Industrial'!N80</f>
        <v>0.29499999999999998</v>
      </c>
      <c r="L112" s="78">
        <f>'Cuota Industrial'!O80</f>
        <v>-0.29499999999999998</v>
      </c>
      <c r="M112" s="221">
        <f>'Cuota Industrial'!P80</f>
        <v>1</v>
      </c>
      <c r="N112" s="82" t="s">
        <v>135</v>
      </c>
      <c r="O112" s="83">
        <f>Resumen!$B$3</f>
        <v>44096</v>
      </c>
      <c r="P112" s="39">
        <f t="shared" si="2"/>
        <v>2020</v>
      </c>
      <c r="Q112" s="39"/>
    </row>
    <row r="113" spans="1:17">
      <c r="A113" s="40" t="s">
        <v>121</v>
      </c>
      <c r="B113" s="39" t="s">
        <v>109</v>
      </c>
      <c r="C113" s="39" t="s">
        <v>76</v>
      </c>
      <c r="D113" s="39" t="s">
        <v>110</v>
      </c>
      <c r="E113" s="39" t="str">
        <f>+'Cuota Industrial'!C$82</f>
        <v>ANTONIO CRUZ CORDOZA NAKOUZI E.I.R.L</v>
      </c>
      <c r="F113" s="39" t="s">
        <v>111</v>
      </c>
      <c r="G113" s="39" t="s">
        <v>112</v>
      </c>
      <c r="H113" s="78">
        <f>+'Cuota Industrial'!E82</f>
        <v>0</v>
      </c>
      <c r="I113" s="78">
        <f>+'Cuota Industrial'!F82</f>
        <v>0</v>
      </c>
      <c r="J113" s="78">
        <f>+'Cuota Industrial'!G82</f>
        <v>0</v>
      </c>
      <c r="K113" s="78">
        <f>+'Cuota Industrial'!H82</f>
        <v>3.2000000000000001E-2</v>
      </c>
      <c r="L113" s="78">
        <f>+'Cuota Industrial'!I82</f>
        <v>-3.2000000000000001E-2</v>
      </c>
      <c r="M113" s="221">
        <f>+'Cuota Industrial'!J82</f>
        <v>0</v>
      </c>
      <c r="N113" s="82" t="s">
        <v>135</v>
      </c>
      <c r="O113" s="83">
        <f>Resumen!$B$3</f>
        <v>44096</v>
      </c>
      <c r="P113" s="39">
        <f t="shared" ref="P113:P118" si="3">YEAR(O113)</f>
        <v>2020</v>
      </c>
      <c r="Q113" s="39"/>
    </row>
    <row r="114" spans="1:17">
      <c r="A114" s="40" t="s">
        <v>121</v>
      </c>
      <c r="B114" s="39" t="s">
        <v>109</v>
      </c>
      <c r="C114" s="39" t="s">
        <v>76</v>
      </c>
      <c r="D114" s="39" t="s">
        <v>110</v>
      </c>
      <c r="E114" s="39" t="str">
        <f>+'Cuota Industrial'!C$82</f>
        <v>ANTONIO CRUZ CORDOZA NAKOUZI E.I.R.L</v>
      </c>
      <c r="F114" s="39" t="s">
        <v>113</v>
      </c>
      <c r="G114" s="39" t="s">
        <v>114</v>
      </c>
      <c r="H114" s="78">
        <f>+'Cuota Industrial'!E83</f>
        <v>0</v>
      </c>
      <c r="I114" s="78">
        <f>+'Cuota Industrial'!F83</f>
        <v>0</v>
      </c>
      <c r="J114" s="78">
        <f>+'Cuota Industrial'!G83</f>
        <v>-3.2000000000000001E-2</v>
      </c>
      <c r="K114" s="78">
        <f>+'Cuota Industrial'!H83</f>
        <v>0</v>
      </c>
      <c r="L114" s="78">
        <f>+'Cuota Industrial'!I83</f>
        <v>-3.2000000000000001E-2</v>
      </c>
      <c r="M114" s="221">
        <f>+'Cuota Industrial'!J83</f>
        <v>0</v>
      </c>
      <c r="N114" s="82" t="s">
        <v>135</v>
      </c>
      <c r="O114" s="83">
        <f>Resumen!$B$3</f>
        <v>44096</v>
      </c>
      <c r="P114" s="39">
        <f t="shared" si="3"/>
        <v>2020</v>
      </c>
      <c r="Q114" s="39"/>
    </row>
    <row r="115" spans="1:17">
      <c r="A115" s="40" t="s">
        <v>121</v>
      </c>
      <c r="B115" s="39" t="s">
        <v>109</v>
      </c>
      <c r="C115" s="39" t="s">
        <v>76</v>
      </c>
      <c r="D115" s="39" t="s">
        <v>110</v>
      </c>
      <c r="E115" s="39" t="str">
        <f>+'Cuota Industrial'!C$82</f>
        <v>ANTONIO CRUZ CORDOZA NAKOUZI E.I.R.L</v>
      </c>
      <c r="F115" s="39" t="s">
        <v>111</v>
      </c>
      <c r="G115" s="39" t="s">
        <v>114</v>
      </c>
      <c r="H115" s="78">
        <f>+'Cuota Industrial'!K82</f>
        <v>0</v>
      </c>
      <c r="I115" s="78">
        <f>+'Cuota Industrial'!L82</f>
        <v>0</v>
      </c>
      <c r="J115" s="78">
        <f>+'Cuota Industrial'!M82</f>
        <v>0</v>
      </c>
      <c r="K115" s="78">
        <f>+'Cuota Industrial'!N82</f>
        <v>3.2000000000000001E-2</v>
      </c>
      <c r="L115" s="78">
        <f>+'Cuota Industrial'!O82</f>
        <v>-3.2000000000000001E-2</v>
      </c>
      <c r="M115" s="221">
        <f>+'Cuota Industrial'!P82</f>
        <v>1</v>
      </c>
      <c r="N115" s="82" t="s">
        <v>135</v>
      </c>
      <c r="O115" s="83">
        <f>Resumen!$B$3</f>
        <v>44096</v>
      </c>
      <c r="P115" s="39">
        <f t="shared" si="3"/>
        <v>2020</v>
      </c>
      <c r="Q115" s="39"/>
    </row>
    <row r="116" spans="1:17">
      <c r="A116" s="40" t="s">
        <v>121</v>
      </c>
      <c r="B116" s="39" t="s">
        <v>109</v>
      </c>
      <c r="C116" s="39" t="s">
        <v>76</v>
      </c>
      <c r="D116" s="39" t="s">
        <v>110</v>
      </c>
      <c r="E116" s="39" t="str">
        <f>+'Cuota Industrial'!C$84</f>
        <v>COMERCIAL Y CONSERVERA SAN LAZARO LIMITADA</v>
      </c>
      <c r="F116" s="39" t="s">
        <v>111</v>
      </c>
      <c r="G116" s="39" t="s">
        <v>112</v>
      </c>
      <c r="H116" s="78">
        <f>+'Cuota Industrial'!E84</f>
        <v>2445.768</v>
      </c>
      <c r="I116" s="78">
        <f>+'Cuota Industrial'!F84</f>
        <v>3075.323946</v>
      </c>
      <c r="J116" s="78">
        <f>+'Cuota Industrial'!G84</f>
        <v>5521.0919460000005</v>
      </c>
      <c r="K116" s="78">
        <f>+'Cuota Industrial'!H84</f>
        <v>5543.7839999999997</v>
      </c>
      <c r="L116" s="78">
        <f>+'Cuota Industrial'!I84</f>
        <v>-22.692053999999189</v>
      </c>
      <c r="M116" s="221">
        <f>+'Cuota Industrial'!J84</f>
        <v>1.004110066309698</v>
      </c>
      <c r="N116" s="82" t="s">
        <v>135</v>
      </c>
      <c r="O116" s="83">
        <f>Resumen!$B$3</f>
        <v>44096</v>
      </c>
      <c r="P116" s="39">
        <f t="shared" si="3"/>
        <v>2020</v>
      </c>
      <c r="Q116" s="39"/>
    </row>
    <row r="117" spans="1:17">
      <c r="A117" s="40" t="s">
        <v>121</v>
      </c>
      <c r="B117" s="39" t="s">
        <v>109</v>
      </c>
      <c r="C117" s="39" t="s">
        <v>76</v>
      </c>
      <c r="D117" s="39" t="s">
        <v>110</v>
      </c>
      <c r="E117" s="39" t="str">
        <f>+'Cuota Industrial'!C$84</f>
        <v>COMERCIAL Y CONSERVERA SAN LAZARO LIMITADA</v>
      </c>
      <c r="F117" s="39" t="s">
        <v>113</v>
      </c>
      <c r="G117" s="39" t="s">
        <v>114</v>
      </c>
      <c r="H117" s="78">
        <f>+'Cuota Industrial'!E85</f>
        <v>49.914000000000001</v>
      </c>
      <c r="I117" s="78">
        <f>+'Cuota Industrial'!F85</f>
        <v>0</v>
      </c>
      <c r="J117" s="78">
        <f>+'Cuota Industrial'!G85</f>
        <v>27.221946000000813</v>
      </c>
      <c r="K117" s="78">
        <f>+'Cuota Industrial'!H85</f>
        <v>0</v>
      </c>
      <c r="L117" s="78">
        <f>+'Cuota Industrial'!I85</f>
        <v>27.221946000000813</v>
      </c>
      <c r="M117" s="221">
        <f>+'Cuota Industrial'!J85</f>
        <v>0</v>
      </c>
      <c r="N117" s="82" t="s">
        <v>135</v>
      </c>
      <c r="O117" s="83">
        <f>Resumen!$B$3</f>
        <v>44096</v>
      </c>
      <c r="P117" s="39">
        <f t="shared" si="3"/>
        <v>2020</v>
      </c>
      <c r="Q117" s="39"/>
    </row>
    <row r="118" spans="1:17">
      <c r="A118" s="40" t="s">
        <v>121</v>
      </c>
      <c r="B118" s="39" t="s">
        <v>109</v>
      </c>
      <c r="C118" s="39" t="s">
        <v>76</v>
      </c>
      <c r="D118" s="39" t="s">
        <v>110</v>
      </c>
      <c r="E118" s="39" t="str">
        <f>+'Cuota Industrial'!C$84</f>
        <v>COMERCIAL Y CONSERVERA SAN LAZARO LIMITADA</v>
      </c>
      <c r="F118" s="39" t="s">
        <v>111</v>
      </c>
      <c r="G118" s="39" t="s">
        <v>114</v>
      </c>
      <c r="H118" s="78">
        <f>+'Cuota Industrial'!K84</f>
        <v>2495.6820000000002</v>
      </c>
      <c r="I118" s="78">
        <f>+'Cuota Industrial'!L84</f>
        <v>3075.323946</v>
      </c>
      <c r="J118" s="78">
        <f>+'Cuota Industrial'!M84</f>
        <v>5571.0059460000002</v>
      </c>
      <c r="K118" s="78">
        <f>+'Cuota Industrial'!N84</f>
        <v>5543.7839999999997</v>
      </c>
      <c r="L118" s="78">
        <f>+'Cuota Industrial'!O84</f>
        <v>27.221946000000571</v>
      </c>
      <c r="M118" s="221">
        <f>+'Cuota Industrial'!P84</f>
        <v>0.99511363903326189</v>
      </c>
      <c r="N118" s="82" t="s">
        <v>135</v>
      </c>
      <c r="O118" s="83">
        <f>Resumen!$B$3</f>
        <v>44096</v>
      </c>
      <c r="P118" s="39">
        <f t="shared" si="3"/>
        <v>2020</v>
      </c>
      <c r="Q118" s="39"/>
    </row>
    <row r="119" spans="1:17">
      <c r="A119" s="40" t="s">
        <v>122</v>
      </c>
      <c r="B119" s="39" t="s">
        <v>109</v>
      </c>
      <c r="C119" s="39" t="s">
        <v>82</v>
      </c>
      <c r="D119" s="39" t="s">
        <v>110</v>
      </c>
      <c r="E119" s="39" t="str">
        <f>+'Cuota Industrial'!C$87</f>
        <v xml:space="preserve">ALIMENTOS MARINOS S.A.    </v>
      </c>
      <c r="F119" s="39" t="s">
        <v>111</v>
      </c>
      <c r="G119" s="39" t="s">
        <v>112</v>
      </c>
      <c r="H119" s="78">
        <f>+'Cuota Industrial'!E87</f>
        <v>3696.7123799999999</v>
      </c>
      <c r="I119" s="78">
        <f>+'Cuota Industrial'!F87</f>
        <v>-3770</v>
      </c>
      <c r="J119" s="78">
        <f>+'Cuota Industrial'!G87</f>
        <v>-73.287620000000061</v>
      </c>
      <c r="K119" s="78">
        <f>+'Cuota Industrial'!H87</f>
        <v>0</v>
      </c>
      <c r="L119" s="78">
        <f>+'Cuota Industrial'!I87</f>
        <v>-73.287620000000061</v>
      </c>
      <c r="M119" s="221">
        <f>+'Cuota Industrial'!J87</f>
        <v>0</v>
      </c>
      <c r="N119" s="82" t="s">
        <v>135</v>
      </c>
      <c r="O119" s="83">
        <f>Resumen!$B$3</f>
        <v>44096</v>
      </c>
      <c r="P119" s="39">
        <f t="shared" si="2"/>
        <v>2020</v>
      </c>
      <c r="Q119" s="39"/>
    </row>
    <row r="120" spans="1:17">
      <c r="A120" s="40" t="s">
        <v>122</v>
      </c>
      <c r="B120" s="39" t="s">
        <v>109</v>
      </c>
      <c r="C120" s="39" t="s">
        <v>82</v>
      </c>
      <c r="D120" s="39" t="s">
        <v>110</v>
      </c>
      <c r="E120" s="39" t="str">
        <f>+'Cuota Industrial'!C$87</f>
        <v xml:space="preserve">ALIMENTOS MARINOS S.A.    </v>
      </c>
      <c r="F120" s="39" t="s">
        <v>113</v>
      </c>
      <c r="G120" s="39" t="s">
        <v>114</v>
      </c>
      <c r="H120" s="78">
        <f>+'Cuota Industrial'!E88</f>
        <v>75.5108915</v>
      </c>
      <c r="I120" s="78">
        <f>+'Cuota Industrial'!F88</f>
        <v>0</v>
      </c>
      <c r="J120" s="78">
        <f>+'Cuota Industrial'!G88</f>
        <v>2.2232714999999388</v>
      </c>
      <c r="K120" s="78">
        <f>+'Cuota Industrial'!H88</f>
        <v>0</v>
      </c>
      <c r="L120" s="78">
        <f>+'Cuota Industrial'!I88</f>
        <v>2.2232714999999388</v>
      </c>
      <c r="M120" s="221">
        <f>+'Cuota Industrial'!J88</f>
        <v>0</v>
      </c>
      <c r="N120" s="82" t="s">
        <v>135</v>
      </c>
      <c r="O120" s="83">
        <f>Resumen!$B$3</f>
        <v>44096</v>
      </c>
      <c r="P120" s="39">
        <f t="shared" si="2"/>
        <v>2020</v>
      </c>
      <c r="Q120" s="39"/>
    </row>
    <row r="121" spans="1:17">
      <c r="A121" s="40" t="s">
        <v>122</v>
      </c>
      <c r="B121" s="39" t="s">
        <v>109</v>
      </c>
      <c r="C121" s="39" t="s">
        <v>82</v>
      </c>
      <c r="D121" s="39" t="s">
        <v>110</v>
      </c>
      <c r="E121" s="39" t="str">
        <f>+'Cuota Industrial'!C$87</f>
        <v xml:space="preserve">ALIMENTOS MARINOS S.A.    </v>
      </c>
      <c r="F121" s="39" t="s">
        <v>111</v>
      </c>
      <c r="G121" s="39" t="s">
        <v>114</v>
      </c>
      <c r="H121" s="78">
        <f>'Cuota Industrial'!K87</f>
        <v>3772.2232715</v>
      </c>
      <c r="I121" s="78">
        <f>'Cuota Industrial'!L87</f>
        <v>-3770</v>
      </c>
      <c r="J121" s="78">
        <f>'Cuota Industrial'!M87</f>
        <v>2.2232715000000098</v>
      </c>
      <c r="K121" s="78">
        <f>'Cuota Industrial'!N87</f>
        <v>0</v>
      </c>
      <c r="L121" s="78">
        <f>'Cuota Industrial'!O87</f>
        <v>2.2232715000000098</v>
      </c>
      <c r="M121" s="221">
        <f>'Cuota Industrial'!P87</f>
        <v>0</v>
      </c>
      <c r="N121" s="82" t="s">
        <v>135</v>
      </c>
      <c r="O121" s="83">
        <f>Resumen!$B$3</f>
        <v>44096</v>
      </c>
      <c r="P121" s="39">
        <f t="shared" si="2"/>
        <v>2020</v>
      </c>
      <c r="Q121" s="39"/>
    </row>
    <row r="122" spans="1:17">
      <c r="A122" s="40" t="s">
        <v>122</v>
      </c>
      <c r="B122" s="39" t="s">
        <v>109</v>
      </c>
      <c r="C122" s="39" t="s">
        <v>82</v>
      </c>
      <c r="D122" s="39" t="s">
        <v>110</v>
      </c>
      <c r="E122" s="39" t="str">
        <f>+'Cuota Industrial'!C$89</f>
        <v>BAHIA CALDERA S.A. PESQ</v>
      </c>
      <c r="F122" s="39" t="s">
        <v>111</v>
      </c>
      <c r="G122" s="39" t="s">
        <v>112</v>
      </c>
      <c r="H122" s="78">
        <f>+'Cuota Industrial'!E89</f>
        <v>32.688783399999998</v>
      </c>
      <c r="I122" s="78">
        <f>+'Cuota Industrial'!F89</f>
        <v>0</v>
      </c>
      <c r="J122" s="78">
        <f>+'Cuota Industrial'!G89</f>
        <v>32.688783399999998</v>
      </c>
      <c r="K122" s="78">
        <f>+'Cuota Industrial'!H89</f>
        <v>0</v>
      </c>
      <c r="L122" s="78">
        <f>+'Cuota Industrial'!I89</f>
        <v>32.688783399999998</v>
      </c>
      <c r="M122" s="221">
        <f>+'Cuota Industrial'!J89</f>
        <v>0</v>
      </c>
      <c r="N122" s="82" t="s">
        <v>135</v>
      </c>
      <c r="O122" s="83">
        <f>Resumen!$B$3</f>
        <v>44096</v>
      </c>
      <c r="P122" s="39">
        <f t="shared" si="2"/>
        <v>2020</v>
      </c>
      <c r="Q122" s="39"/>
    </row>
    <row r="123" spans="1:17">
      <c r="A123" s="40" t="s">
        <v>122</v>
      </c>
      <c r="B123" s="39" t="s">
        <v>109</v>
      </c>
      <c r="C123" s="39" t="s">
        <v>82</v>
      </c>
      <c r="D123" s="39" t="s">
        <v>110</v>
      </c>
      <c r="E123" s="39" t="str">
        <f>+'Cuota Industrial'!C$89</f>
        <v>BAHIA CALDERA S.A. PESQ</v>
      </c>
      <c r="F123" s="39" t="s">
        <v>113</v>
      </c>
      <c r="G123" s="39" t="s">
        <v>114</v>
      </c>
      <c r="H123" s="78">
        <f>+'Cuota Industrial'!E90</f>
        <v>0.66771740000000002</v>
      </c>
      <c r="I123" s="78">
        <f>+'Cuota Industrial'!F90</f>
        <v>0</v>
      </c>
      <c r="J123" s="78">
        <f>+'Cuota Industrial'!G90</f>
        <v>33.356500799999999</v>
      </c>
      <c r="K123" s="78">
        <f>+'Cuota Industrial'!H90</f>
        <v>0</v>
      </c>
      <c r="L123" s="78">
        <f>+'Cuota Industrial'!I90</f>
        <v>33.356500799999999</v>
      </c>
      <c r="M123" s="221">
        <f>+'Cuota Industrial'!J90</f>
        <v>0</v>
      </c>
      <c r="N123" s="82" t="s">
        <v>135</v>
      </c>
      <c r="O123" s="83">
        <f>Resumen!$B$3</f>
        <v>44096</v>
      </c>
      <c r="P123" s="39">
        <f t="shared" si="2"/>
        <v>2020</v>
      </c>
      <c r="Q123" s="39"/>
    </row>
    <row r="124" spans="1:17">
      <c r="A124" s="40" t="s">
        <v>122</v>
      </c>
      <c r="B124" s="39" t="s">
        <v>109</v>
      </c>
      <c r="C124" s="39" t="s">
        <v>82</v>
      </c>
      <c r="D124" s="39" t="s">
        <v>110</v>
      </c>
      <c r="E124" s="39" t="str">
        <f>+'Cuota Industrial'!C$89</f>
        <v>BAHIA CALDERA S.A. PESQ</v>
      </c>
      <c r="F124" s="39" t="s">
        <v>111</v>
      </c>
      <c r="G124" s="39" t="s">
        <v>114</v>
      </c>
      <c r="H124" s="78">
        <f>'Cuota Industrial'!K89</f>
        <v>33.356500799999999</v>
      </c>
      <c r="I124" s="78">
        <f>'Cuota Industrial'!L89</f>
        <v>0</v>
      </c>
      <c r="J124" s="78">
        <f>'Cuota Industrial'!M89</f>
        <v>33.356500799999999</v>
      </c>
      <c r="K124" s="78">
        <f>'Cuota Industrial'!N89</f>
        <v>0</v>
      </c>
      <c r="L124" s="78">
        <f>'Cuota Industrial'!O89</f>
        <v>33.356500799999999</v>
      </c>
      <c r="M124" s="221">
        <f>'Cuota Industrial'!P89</f>
        <v>0</v>
      </c>
      <c r="N124" s="82" t="s">
        <v>135</v>
      </c>
      <c r="O124" s="83">
        <f>Resumen!$B$3</f>
        <v>44096</v>
      </c>
      <c r="P124" s="39">
        <f t="shared" si="2"/>
        <v>2020</v>
      </c>
      <c r="Q124" s="39"/>
    </row>
    <row r="125" spans="1:17">
      <c r="A125" s="40" t="s">
        <v>122</v>
      </c>
      <c r="B125" s="39" t="s">
        <v>109</v>
      </c>
      <c r="C125" s="39" t="s">
        <v>82</v>
      </c>
      <c r="D125" s="39" t="s">
        <v>110</v>
      </c>
      <c r="E125" s="39" t="str">
        <f>+'Cuota Industrial'!C$91</f>
        <v>CAMANCHACA PESCA SUR S.A.</v>
      </c>
      <c r="F125" s="39" t="s">
        <v>111</v>
      </c>
      <c r="G125" s="39" t="s">
        <v>112</v>
      </c>
      <c r="H125" s="78">
        <f>+'Cuota Industrial'!E91</f>
        <v>5227.50335</v>
      </c>
      <c r="I125" s="78">
        <f>+'Cuota Industrial'!F91</f>
        <v>-5229.2059999999992</v>
      </c>
      <c r="J125" s="78">
        <f>+'Cuota Industrial'!G91</f>
        <v>-1.7026499999992666</v>
      </c>
      <c r="K125" s="78">
        <f>+'Cuota Industrial'!H91</f>
        <v>85.265000000000001</v>
      </c>
      <c r="L125" s="78">
        <f>+'Cuota Industrial'!I91</f>
        <v>-86.967649999999267</v>
      </c>
      <c r="M125" s="221">
        <f>+'Cuota Industrial'!J91</f>
        <v>-50.077819869049264</v>
      </c>
      <c r="N125" s="82" t="s">
        <v>135</v>
      </c>
      <c r="O125" s="83">
        <f>Resumen!$B$3</f>
        <v>44096</v>
      </c>
      <c r="P125" s="39">
        <f t="shared" ref="P125:P176" si="4">YEAR(O125)</f>
        <v>2020</v>
      </c>
      <c r="Q125" s="39"/>
    </row>
    <row r="126" spans="1:17">
      <c r="A126" s="40" t="s">
        <v>122</v>
      </c>
      <c r="B126" s="39" t="s">
        <v>109</v>
      </c>
      <c r="C126" s="39" t="s">
        <v>82</v>
      </c>
      <c r="D126" s="39" t="s">
        <v>110</v>
      </c>
      <c r="E126" s="39" t="str">
        <f>+'Cuota Industrial'!C$91</f>
        <v>CAMANCHACA PESCA SUR S.A.</v>
      </c>
      <c r="F126" s="39" t="s">
        <v>113</v>
      </c>
      <c r="G126" s="39" t="s">
        <v>114</v>
      </c>
      <c r="H126" s="78">
        <f>+'Cuota Industrial'!E92</f>
        <v>106.77959199999999</v>
      </c>
      <c r="I126" s="78">
        <f>+'Cuota Industrial'!F92</f>
        <v>0</v>
      </c>
      <c r="J126" s="78">
        <f>+'Cuota Industrial'!G92</f>
        <v>19.811942000000727</v>
      </c>
      <c r="K126" s="78">
        <f>+'Cuota Industrial'!H92</f>
        <v>0</v>
      </c>
      <c r="L126" s="78">
        <f>+'Cuota Industrial'!I92</f>
        <v>19.811942000000727</v>
      </c>
      <c r="M126" s="221">
        <f>+'Cuota Industrial'!J92</f>
        <v>0</v>
      </c>
      <c r="N126" s="82" t="s">
        <v>135</v>
      </c>
      <c r="O126" s="83">
        <f>Resumen!$B$3</f>
        <v>44096</v>
      </c>
      <c r="P126" s="39">
        <f t="shared" si="4"/>
        <v>2020</v>
      </c>
      <c r="Q126" s="39"/>
    </row>
    <row r="127" spans="1:17">
      <c r="A127" s="40" t="s">
        <v>122</v>
      </c>
      <c r="B127" s="39" t="s">
        <v>109</v>
      </c>
      <c r="C127" s="39" t="s">
        <v>82</v>
      </c>
      <c r="D127" s="39" t="s">
        <v>110</v>
      </c>
      <c r="E127" s="39" t="str">
        <f>+'Cuota Industrial'!C$91</f>
        <v>CAMANCHACA PESCA SUR S.A.</v>
      </c>
      <c r="F127" s="39" t="s">
        <v>111</v>
      </c>
      <c r="G127" s="39" t="s">
        <v>114</v>
      </c>
      <c r="H127" s="78">
        <f>'Cuota Industrial'!K91</f>
        <v>5334.2829419999998</v>
      </c>
      <c r="I127" s="78">
        <f>'Cuota Industrial'!L91</f>
        <v>-5229.2059999999992</v>
      </c>
      <c r="J127" s="78">
        <f>'Cuota Industrial'!M91</f>
        <v>105.0769420000006</v>
      </c>
      <c r="K127" s="78">
        <f>'Cuota Industrial'!N91</f>
        <v>85.265000000000001</v>
      </c>
      <c r="L127" s="78">
        <f>'Cuota Industrial'!O91</f>
        <v>19.811942000000599</v>
      </c>
      <c r="M127" s="221">
        <f>'Cuota Industrial'!P91</f>
        <v>0.81145300174418389</v>
      </c>
      <c r="N127" s="82" t="s">
        <v>135</v>
      </c>
      <c r="O127" s="83">
        <f>Resumen!$B$3</f>
        <v>44096</v>
      </c>
      <c r="P127" s="39">
        <f t="shared" si="4"/>
        <v>2020</v>
      </c>
      <c r="Q127" s="39"/>
    </row>
    <row r="128" spans="1:17">
      <c r="A128" s="40" t="s">
        <v>122</v>
      </c>
      <c r="B128" s="39" t="s">
        <v>109</v>
      </c>
      <c r="C128" s="39" t="s">
        <v>82</v>
      </c>
      <c r="D128" s="39" t="s">
        <v>110</v>
      </c>
      <c r="E128" s="39" t="str">
        <f>+'Cuota Industrial'!C$93</f>
        <v>PACIFICBLU SpA.</v>
      </c>
      <c r="F128" s="39" t="s">
        <v>111</v>
      </c>
      <c r="G128" s="39" t="s">
        <v>112</v>
      </c>
      <c r="H128" s="78">
        <f>+'Cuota Industrial'!E93</f>
        <v>1.286662</v>
      </c>
      <c r="I128" s="78">
        <f>+'Cuota Industrial'!F93</f>
        <v>0</v>
      </c>
      <c r="J128" s="78">
        <f>+'Cuota Industrial'!G93</f>
        <v>1.286662</v>
      </c>
      <c r="K128" s="78">
        <f>+'Cuota Industrial'!H93</f>
        <v>0</v>
      </c>
      <c r="L128" s="78">
        <f>+'Cuota Industrial'!I93</f>
        <v>1.286662</v>
      </c>
      <c r="M128" s="221">
        <f>'Cuota Industrial'!J89</f>
        <v>0</v>
      </c>
      <c r="N128" s="82" t="s">
        <v>135</v>
      </c>
      <c r="O128" s="83">
        <f>Resumen!$B$3</f>
        <v>44096</v>
      </c>
      <c r="P128" s="39">
        <f t="shared" si="4"/>
        <v>2020</v>
      </c>
      <c r="Q128" s="39"/>
    </row>
    <row r="129" spans="1:17">
      <c r="A129" s="40" t="s">
        <v>122</v>
      </c>
      <c r="B129" s="39" t="s">
        <v>109</v>
      </c>
      <c r="C129" s="39" t="s">
        <v>82</v>
      </c>
      <c r="D129" s="39" t="s">
        <v>110</v>
      </c>
      <c r="E129" s="39" t="str">
        <f>+'Cuota Industrial'!C$93</f>
        <v>PACIFICBLU SpA.</v>
      </c>
      <c r="F129" s="39" t="s">
        <v>113</v>
      </c>
      <c r="G129" s="39" t="s">
        <v>114</v>
      </c>
      <c r="H129" s="78">
        <f>+'Cuota Industrial'!E94</f>
        <v>2.6282E-2</v>
      </c>
      <c r="I129" s="78">
        <f>+'Cuota Industrial'!F94</f>
        <v>0</v>
      </c>
      <c r="J129" s="78">
        <f>+'Cuota Industrial'!G94</f>
        <v>1.3129439999999999</v>
      </c>
      <c r="K129" s="78">
        <f>+'Cuota Industrial'!H94</f>
        <v>0</v>
      </c>
      <c r="L129" s="78">
        <f>+'Cuota Industrial'!I94</f>
        <v>1.3129439999999999</v>
      </c>
      <c r="M129" s="221">
        <f>'Cuota Industrial'!J90</f>
        <v>0</v>
      </c>
      <c r="N129" s="82" t="s">
        <v>135</v>
      </c>
      <c r="O129" s="83">
        <f>Resumen!$B$3</f>
        <v>44096</v>
      </c>
      <c r="P129" s="39">
        <f t="shared" si="4"/>
        <v>2020</v>
      </c>
      <c r="Q129" s="39"/>
    </row>
    <row r="130" spans="1:17">
      <c r="A130" s="40" t="s">
        <v>122</v>
      </c>
      <c r="B130" s="39" t="s">
        <v>109</v>
      </c>
      <c r="C130" s="39" t="s">
        <v>82</v>
      </c>
      <c r="D130" s="39" t="s">
        <v>110</v>
      </c>
      <c r="E130" s="39" t="str">
        <f>+'Cuota Industrial'!C$93</f>
        <v>PACIFICBLU SpA.</v>
      </c>
      <c r="F130" s="39" t="s">
        <v>111</v>
      </c>
      <c r="G130" s="39" t="s">
        <v>114</v>
      </c>
      <c r="H130" s="78">
        <f>'Cuota Industrial'!K93</f>
        <v>1.3129439999999999</v>
      </c>
      <c r="I130" s="78">
        <f>'Cuota Industrial'!L93</f>
        <v>0</v>
      </c>
      <c r="J130" s="78">
        <f>'Cuota Industrial'!M93</f>
        <v>1.3129439999999999</v>
      </c>
      <c r="K130" s="78">
        <f>'Cuota Industrial'!N93</f>
        <v>0</v>
      </c>
      <c r="L130" s="78">
        <f>'Cuota Industrial'!O93</f>
        <v>1.3129439999999999</v>
      </c>
      <c r="M130" s="221">
        <f>'Cuota Industrial'!P89</f>
        <v>0</v>
      </c>
      <c r="N130" s="82" t="s">
        <v>135</v>
      </c>
      <c r="O130" s="83">
        <f>Resumen!$B$3</f>
        <v>44096</v>
      </c>
      <c r="P130" s="39">
        <f t="shared" si="4"/>
        <v>2020</v>
      </c>
      <c r="Q130" s="39"/>
    </row>
    <row r="131" spans="1:17">
      <c r="A131" s="40" t="s">
        <v>122</v>
      </c>
      <c r="B131" s="39" t="s">
        <v>109</v>
      </c>
      <c r="C131" s="39" t="s">
        <v>82</v>
      </c>
      <c r="D131" s="39" t="s">
        <v>110</v>
      </c>
      <c r="E131" s="39" t="str">
        <f>+'Cuota Industrial'!C$95</f>
        <v xml:space="preserve">BLUMAR S.A.             </v>
      </c>
      <c r="F131" s="39" t="s">
        <v>111</v>
      </c>
      <c r="G131" s="39" t="s">
        <v>112</v>
      </c>
      <c r="H131" s="78">
        <f>+'Cuota Industrial'!E95</f>
        <v>7855.4272300000002</v>
      </c>
      <c r="I131" s="78">
        <f>+'Cuota Industrial'!F95</f>
        <v>-3500</v>
      </c>
      <c r="J131" s="78">
        <f>+'Cuota Industrial'!G95</f>
        <v>4355.4272300000002</v>
      </c>
      <c r="K131" s="78">
        <f>+'Cuota Industrial'!H95</f>
        <v>4015.375</v>
      </c>
      <c r="L131" s="78">
        <f>+'Cuota Industrial'!I95</f>
        <v>340.05223000000024</v>
      </c>
      <c r="M131" s="221">
        <f>+'Cuota Industrial'!J95</f>
        <v>0.9219244836286703</v>
      </c>
      <c r="N131" s="82" t="s">
        <v>135</v>
      </c>
      <c r="O131" s="83">
        <f>Resumen!$B$3</f>
        <v>44096</v>
      </c>
      <c r="P131" s="39">
        <f t="shared" si="4"/>
        <v>2020</v>
      </c>
      <c r="Q131" s="39"/>
    </row>
    <row r="132" spans="1:17">
      <c r="A132" s="40" t="s">
        <v>122</v>
      </c>
      <c r="B132" s="39" t="s">
        <v>109</v>
      </c>
      <c r="C132" s="39" t="s">
        <v>82</v>
      </c>
      <c r="D132" s="39" t="s">
        <v>110</v>
      </c>
      <c r="E132" s="39" t="str">
        <f>+'Cuota Industrial'!C$95</f>
        <v xml:space="preserve">BLUMAR S.A.             </v>
      </c>
      <c r="F132" s="39" t="s">
        <v>113</v>
      </c>
      <c r="G132" s="39" t="s">
        <v>114</v>
      </c>
      <c r="H132" s="78">
        <f>+'Cuota Industrial'!E96</f>
        <v>160.458876</v>
      </c>
      <c r="I132" s="78">
        <f>+'Cuota Industrial'!F96</f>
        <v>0</v>
      </c>
      <c r="J132" s="78">
        <f>+'Cuota Industrial'!G96</f>
        <v>500.51110600000027</v>
      </c>
      <c r="K132" s="78">
        <f>+'Cuota Industrial'!H96</f>
        <v>0</v>
      </c>
      <c r="L132" s="78">
        <f>+'Cuota Industrial'!I96</f>
        <v>500.51110600000027</v>
      </c>
      <c r="M132" s="221">
        <f>+'Cuota Industrial'!J96</f>
        <v>0</v>
      </c>
      <c r="N132" s="82" t="s">
        <v>135</v>
      </c>
      <c r="O132" s="83">
        <f>Resumen!$B$3</f>
        <v>44096</v>
      </c>
      <c r="P132" s="39">
        <f t="shared" si="4"/>
        <v>2020</v>
      </c>
      <c r="Q132" s="39"/>
    </row>
    <row r="133" spans="1:17">
      <c r="A133" s="40" t="s">
        <v>122</v>
      </c>
      <c r="B133" s="39" t="s">
        <v>109</v>
      </c>
      <c r="C133" s="39" t="s">
        <v>82</v>
      </c>
      <c r="D133" s="39" t="s">
        <v>110</v>
      </c>
      <c r="E133" s="39" t="str">
        <f>+'Cuota Industrial'!C$95</f>
        <v xml:space="preserve">BLUMAR S.A.             </v>
      </c>
      <c r="F133" s="39" t="s">
        <v>111</v>
      </c>
      <c r="G133" s="39" t="s">
        <v>114</v>
      </c>
      <c r="H133" s="78">
        <f>'Cuota Industrial'!K95</f>
        <v>8015.8861059999999</v>
      </c>
      <c r="I133" s="78">
        <f>'Cuota Industrial'!L95</f>
        <v>-3500</v>
      </c>
      <c r="J133" s="78">
        <f>'Cuota Industrial'!M95</f>
        <v>4515.8861059999999</v>
      </c>
      <c r="K133" s="78">
        <f>'Cuota Industrial'!N95</f>
        <v>4015.375</v>
      </c>
      <c r="L133" s="78">
        <f>'Cuota Industrial'!O95</f>
        <v>500.51110599999993</v>
      </c>
      <c r="M133" s="221">
        <f>'Cuota Industrial'!P95</f>
        <v>0.88916657899431972</v>
      </c>
      <c r="N133" s="82" t="s">
        <v>135</v>
      </c>
      <c r="O133" s="83">
        <f>Resumen!$B$3</f>
        <v>44096</v>
      </c>
      <c r="P133" s="39">
        <f t="shared" si="4"/>
        <v>2020</v>
      </c>
      <c r="Q133" s="39"/>
    </row>
    <row r="134" spans="1:17">
      <c r="A134" s="40" t="s">
        <v>122</v>
      </c>
      <c r="B134" s="39" t="s">
        <v>109</v>
      </c>
      <c r="C134" s="39" t="s">
        <v>82</v>
      </c>
      <c r="D134" s="39" t="s">
        <v>110</v>
      </c>
      <c r="E134" s="39" t="str">
        <f>+'Cuota Industrial'!C$97</f>
        <v>CAMANCHACA S.A. CIA. PESQ</v>
      </c>
      <c r="F134" s="39" t="s">
        <v>111</v>
      </c>
      <c r="G134" s="39" t="s">
        <v>112</v>
      </c>
      <c r="H134" s="78">
        <f>+'Cuota Industrial'!E97</f>
        <v>183.67856900000001</v>
      </c>
      <c r="I134" s="78">
        <f>+'Cuota Industrial'!F97</f>
        <v>-187.43</v>
      </c>
      <c r="J134" s="78">
        <f>+'Cuota Industrial'!G97</f>
        <v>-3.7514309999999966</v>
      </c>
      <c r="K134" s="78">
        <f>+'Cuota Industrial'!H97</f>
        <v>0</v>
      </c>
      <c r="L134" s="78">
        <f>+'Cuota Industrial'!I97</f>
        <v>-3.7514309999999966</v>
      </c>
      <c r="M134" s="221">
        <f>+'Cuota Industrial'!J97</f>
        <v>0</v>
      </c>
      <c r="N134" s="82" t="s">
        <v>135</v>
      </c>
      <c r="O134" s="83">
        <f>Resumen!$B$3</f>
        <v>44096</v>
      </c>
      <c r="P134" s="39">
        <f t="shared" si="4"/>
        <v>2020</v>
      </c>
      <c r="Q134" s="39"/>
    </row>
    <row r="135" spans="1:17">
      <c r="A135" s="40" t="s">
        <v>122</v>
      </c>
      <c r="B135" s="39" t="s">
        <v>109</v>
      </c>
      <c r="C135" s="39" t="s">
        <v>82</v>
      </c>
      <c r="D135" s="39" t="s">
        <v>110</v>
      </c>
      <c r="E135" s="39" t="str">
        <f>+'Cuota Industrial'!C$97</f>
        <v>CAMANCHACA S.A. CIA. PESQ</v>
      </c>
      <c r="F135" s="39" t="s">
        <v>113</v>
      </c>
      <c r="G135" s="39" t="s">
        <v>114</v>
      </c>
      <c r="H135" s="78">
        <f>+'Cuota Industrial'!E98</f>
        <v>3.7519100999999999</v>
      </c>
      <c r="I135" s="78">
        <f>+'Cuota Industrial'!F98</f>
        <v>0</v>
      </c>
      <c r="J135" s="78">
        <f>+'Cuota Industrial'!G98</f>
        <v>4.7910000000328523E-4</v>
      </c>
      <c r="K135" s="78">
        <f>+'Cuota Industrial'!H98</f>
        <v>0</v>
      </c>
      <c r="L135" s="78">
        <f>+'Cuota Industrial'!I98</f>
        <v>4.7910000000328523E-4</v>
      </c>
      <c r="M135" s="221">
        <f>+'Cuota Industrial'!J98</f>
        <v>0</v>
      </c>
      <c r="N135" s="82" t="s">
        <v>135</v>
      </c>
      <c r="O135" s="83">
        <f>Resumen!$B$3</f>
        <v>44096</v>
      </c>
      <c r="P135" s="39">
        <f t="shared" si="4"/>
        <v>2020</v>
      </c>
      <c r="Q135" s="39"/>
    </row>
    <row r="136" spans="1:17">
      <c r="A136" s="40" t="s">
        <v>122</v>
      </c>
      <c r="B136" s="39" t="s">
        <v>109</v>
      </c>
      <c r="C136" s="39" t="s">
        <v>82</v>
      </c>
      <c r="D136" s="39" t="s">
        <v>110</v>
      </c>
      <c r="E136" s="39" t="str">
        <f>+'Cuota Industrial'!C$97</f>
        <v>CAMANCHACA S.A. CIA. PESQ</v>
      </c>
      <c r="F136" s="39" t="s">
        <v>111</v>
      </c>
      <c r="G136" s="39" t="s">
        <v>114</v>
      </c>
      <c r="H136" s="78">
        <f>'Cuota Industrial'!K97</f>
        <v>187.43047910000001</v>
      </c>
      <c r="I136" s="78">
        <f>'Cuota Industrial'!L97</f>
        <v>-187.43</v>
      </c>
      <c r="J136" s="78">
        <f>'Cuota Industrial'!M97</f>
        <v>4.7910000000683794E-4</v>
      </c>
      <c r="K136" s="78">
        <f>'Cuota Industrial'!N97</f>
        <v>0</v>
      </c>
      <c r="L136" s="78">
        <f>'Cuota Industrial'!O97</f>
        <v>4.7910000000683794E-4</v>
      </c>
      <c r="M136" s="221">
        <f>'Cuota Industrial'!P97</f>
        <v>0</v>
      </c>
      <c r="N136" s="82" t="s">
        <v>135</v>
      </c>
      <c r="O136" s="83">
        <f>Resumen!$B$3</f>
        <v>44096</v>
      </c>
      <c r="P136" s="39">
        <f t="shared" si="4"/>
        <v>2020</v>
      </c>
      <c r="Q136" s="39"/>
    </row>
    <row r="137" spans="1:17">
      <c r="A137" s="40" t="s">
        <v>122</v>
      </c>
      <c r="B137" s="39" t="s">
        <v>109</v>
      </c>
      <c r="C137" s="39" t="s">
        <v>82</v>
      </c>
      <c r="D137" s="39" t="s">
        <v>110</v>
      </c>
      <c r="E137" s="39" t="str">
        <f>+'Cuota Industrial'!C$99</f>
        <v xml:space="preserve">LITORAL SpA PESQ   </v>
      </c>
      <c r="F137" s="39" t="s">
        <v>111</v>
      </c>
      <c r="G137" s="39" t="s">
        <v>112</v>
      </c>
      <c r="H137" s="78">
        <f>+'Cuota Industrial'!E99</f>
        <v>2400.3436499999998</v>
      </c>
      <c r="I137" s="78">
        <f>+'Cuota Industrial'!F99</f>
        <v>-2399.174</v>
      </c>
      <c r="J137" s="78">
        <f>+'Cuota Industrial'!G99</f>
        <v>1.1696499999998196</v>
      </c>
      <c r="K137" s="78">
        <f>+'Cuota Industrial'!H99</f>
        <v>0</v>
      </c>
      <c r="L137" s="78">
        <f>+'Cuota Industrial'!I99</f>
        <v>1.1696499999998196</v>
      </c>
      <c r="M137" s="221">
        <f>+'Cuota Industrial'!J99</f>
        <v>0</v>
      </c>
      <c r="N137" s="82" t="s">
        <v>135</v>
      </c>
      <c r="O137" s="83">
        <f>Resumen!$B$3</f>
        <v>44096</v>
      </c>
      <c r="P137" s="39">
        <f t="shared" si="4"/>
        <v>2020</v>
      </c>
      <c r="Q137" s="39"/>
    </row>
    <row r="138" spans="1:17">
      <c r="A138" s="40" t="s">
        <v>122</v>
      </c>
      <c r="B138" s="39" t="s">
        <v>109</v>
      </c>
      <c r="C138" s="39" t="s">
        <v>82</v>
      </c>
      <c r="D138" s="39" t="s">
        <v>110</v>
      </c>
      <c r="E138" s="39" t="str">
        <f>+'Cuota Industrial'!C$99</f>
        <v xml:space="preserve">LITORAL SpA PESQ   </v>
      </c>
      <c r="F138" s="39" t="s">
        <v>113</v>
      </c>
      <c r="G138" s="39" t="s">
        <v>114</v>
      </c>
      <c r="H138" s="78">
        <f>+'Cuota Industrial'!E100</f>
        <v>49.030616999999999</v>
      </c>
      <c r="I138" s="78">
        <f>+'Cuota Industrial'!F100</f>
        <v>0</v>
      </c>
      <c r="J138" s="78">
        <f>+'Cuota Industrial'!G100</f>
        <v>50.200266999999819</v>
      </c>
      <c r="K138" s="78">
        <f>+'Cuota Industrial'!H100</f>
        <v>0</v>
      </c>
      <c r="L138" s="78">
        <f>+'Cuota Industrial'!I100</f>
        <v>50.200266999999819</v>
      </c>
      <c r="M138" s="221">
        <f>+'Cuota Industrial'!J100</f>
        <v>0</v>
      </c>
      <c r="N138" s="82" t="s">
        <v>135</v>
      </c>
      <c r="O138" s="83">
        <f>Resumen!$B$3</f>
        <v>44096</v>
      </c>
      <c r="P138" s="39">
        <f t="shared" si="4"/>
        <v>2020</v>
      </c>
      <c r="Q138" s="39"/>
    </row>
    <row r="139" spans="1:17">
      <c r="A139" s="40" t="s">
        <v>122</v>
      </c>
      <c r="B139" s="39" t="s">
        <v>109</v>
      </c>
      <c r="C139" s="39" t="s">
        <v>82</v>
      </c>
      <c r="D139" s="39" t="s">
        <v>110</v>
      </c>
      <c r="E139" s="39" t="str">
        <f>+'Cuota Industrial'!C$99</f>
        <v xml:space="preserve">LITORAL SpA PESQ   </v>
      </c>
      <c r="F139" s="39" t="s">
        <v>111</v>
      </c>
      <c r="G139" s="39" t="s">
        <v>114</v>
      </c>
      <c r="H139" s="78">
        <f>'Cuota Industrial'!K99</f>
        <v>2449.3742669999997</v>
      </c>
      <c r="I139" s="78">
        <f>'Cuota Industrial'!L99</f>
        <v>-2399.174</v>
      </c>
      <c r="J139" s="78">
        <f>'Cuota Industrial'!M99</f>
        <v>50.200266999999712</v>
      </c>
      <c r="K139" s="78">
        <f>'Cuota Industrial'!N99</f>
        <v>0</v>
      </c>
      <c r="L139" s="78">
        <f>'Cuota Industrial'!O99</f>
        <v>50.200266999999712</v>
      </c>
      <c r="M139" s="221">
        <f>'Cuota Industrial'!P99</f>
        <v>0</v>
      </c>
      <c r="N139" s="82" t="s">
        <v>135</v>
      </c>
      <c r="O139" s="83">
        <f>Resumen!$B$3</f>
        <v>44096</v>
      </c>
      <c r="P139" s="39">
        <f t="shared" si="4"/>
        <v>2020</v>
      </c>
      <c r="Q139" s="39"/>
    </row>
    <row r="140" spans="1:17">
      <c r="A140" s="40" t="s">
        <v>122</v>
      </c>
      <c r="B140" s="39" t="s">
        <v>109</v>
      </c>
      <c r="C140" s="39" t="s">
        <v>82</v>
      </c>
      <c r="D140" s="39" t="s">
        <v>110</v>
      </c>
      <c r="E140" s="39" t="str">
        <f>+'Cuota Industrial'!C$101</f>
        <v xml:space="preserve">FOODCORP CHILE S.A.   </v>
      </c>
      <c r="F140" s="39" t="s">
        <v>111</v>
      </c>
      <c r="G140" s="39" t="s">
        <v>112</v>
      </c>
      <c r="H140" s="78">
        <f>+'Cuota Industrial'!E101</f>
        <v>3774.7446399999999</v>
      </c>
      <c r="I140" s="78">
        <f>+'Cuota Industrial'!F101</f>
        <v>-3850</v>
      </c>
      <c r="J140" s="78">
        <f>+'Cuota Industrial'!G101</f>
        <v>-75.25536000000011</v>
      </c>
      <c r="K140" s="78">
        <f>+'Cuota Industrial'!H101</f>
        <v>0</v>
      </c>
      <c r="L140" s="78">
        <f>+'Cuota Industrial'!I101</f>
        <v>-75.25536000000011</v>
      </c>
      <c r="M140" s="221">
        <f>+'Cuota Industrial'!J101</f>
        <v>0</v>
      </c>
      <c r="N140" s="82" t="s">
        <v>135</v>
      </c>
      <c r="O140" s="83">
        <f>Resumen!$B$3</f>
        <v>44096</v>
      </c>
      <c r="P140" s="39">
        <f t="shared" ref="P140:P142" si="5">YEAR(O140)</f>
        <v>2020</v>
      </c>
      <c r="Q140" s="39"/>
    </row>
    <row r="141" spans="1:17">
      <c r="A141" s="40" t="s">
        <v>122</v>
      </c>
      <c r="B141" s="39" t="s">
        <v>109</v>
      </c>
      <c r="C141" s="39" t="s">
        <v>82</v>
      </c>
      <c r="D141" s="39" t="s">
        <v>110</v>
      </c>
      <c r="E141" s="39" t="str">
        <f>+'Cuota Industrial'!C$101</f>
        <v xml:space="preserve">FOODCORP CHILE S.A.   </v>
      </c>
      <c r="F141" s="39" t="s">
        <v>113</v>
      </c>
      <c r="G141" s="39" t="s">
        <v>114</v>
      </c>
      <c r="H141" s="78">
        <f>+'Cuota Industrial'!E102</f>
        <v>77.104817499999996</v>
      </c>
      <c r="I141" s="78">
        <f>+'Cuota Industrial'!F102</f>
        <v>0</v>
      </c>
      <c r="J141" s="78">
        <f>+'Cuota Industrial'!G102</f>
        <v>1.8494574999998861</v>
      </c>
      <c r="K141" s="78">
        <f>+'Cuota Industrial'!H102</f>
        <v>0</v>
      </c>
      <c r="L141" s="78">
        <f>+'Cuota Industrial'!I102</f>
        <v>1.8494574999998861</v>
      </c>
      <c r="M141" s="221">
        <f>+'Cuota Industrial'!J102</f>
        <v>0</v>
      </c>
      <c r="N141" s="82" t="s">
        <v>135</v>
      </c>
      <c r="O141" s="83">
        <f>Resumen!$B$3</f>
        <v>44096</v>
      </c>
      <c r="P141" s="39">
        <f t="shared" si="5"/>
        <v>2020</v>
      </c>
      <c r="Q141" s="39"/>
    </row>
    <row r="142" spans="1:17">
      <c r="A142" s="40" t="s">
        <v>122</v>
      </c>
      <c r="B142" s="39" t="s">
        <v>109</v>
      </c>
      <c r="C142" s="39" t="s">
        <v>82</v>
      </c>
      <c r="D142" s="39" t="s">
        <v>110</v>
      </c>
      <c r="E142" s="39" t="str">
        <f>+'Cuota Industrial'!C$101</f>
        <v xml:space="preserve">FOODCORP CHILE S.A.   </v>
      </c>
      <c r="F142" s="39" t="s">
        <v>111</v>
      </c>
      <c r="G142" s="39" t="s">
        <v>114</v>
      </c>
      <c r="H142" s="78">
        <f>'Cuota Industrial'!K101</f>
        <v>3851.8494575</v>
      </c>
      <c r="I142" s="78">
        <f>'Cuota Industrial'!L101</f>
        <v>-3850</v>
      </c>
      <c r="J142" s="78">
        <f>'Cuota Industrial'!M101</f>
        <v>1.8494574999999713</v>
      </c>
      <c r="K142" s="78">
        <f>'Cuota Industrial'!N101</f>
        <v>0</v>
      </c>
      <c r="L142" s="78">
        <f>'Cuota Industrial'!O101</f>
        <v>1.8494574999999713</v>
      </c>
      <c r="M142" s="221">
        <f>'Cuota Industrial'!P101</f>
        <v>0</v>
      </c>
      <c r="N142" s="82" t="s">
        <v>135</v>
      </c>
      <c r="O142" s="83">
        <f>Resumen!$B$3</f>
        <v>44096</v>
      </c>
      <c r="P142" s="39">
        <f t="shared" si="5"/>
        <v>2020</v>
      </c>
      <c r="Q142" s="39"/>
    </row>
    <row r="143" spans="1:17">
      <c r="A143" s="40" t="s">
        <v>122</v>
      </c>
      <c r="B143" s="39" t="s">
        <v>109</v>
      </c>
      <c r="C143" s="39" t="s">
        <v>82</v>
      </c>
      <c r="D143" s="39" t="s">
        <v>110</v>
      </c>
      <c r="E143" s="39" t="str">
        <f>+'Cuota Industrial'!C$103</f>
        <v>PAOLA POBLETE NOVOA</v>
      </c>
      <c r="F143" s="39" t="s">
        <v>111</v>
      </c>
      <c r="G143" s="39" t="s">
        <v>112</v>
      </c>
      <c r="H143" s="78">
        <f>+'Cuota Industrial'!E103</f>
        <v>0.32166549999999999</v>
      </c>
      <c r="I143" s="78">
        <f>+'Cuota Industrial'!F103</f>
        <v>0</v>
      </c>
      <c r="J143" s="78">
        <f>+'Cuota Industrial'!G103</f>
        <v>0.32166549999999999</v>
      </c>
      <c r="K143" s="78">
        <f>+'Cuota Industrial'!H103</f>
        <v>0</v>
      </c>
      <c r="L143" s="78">
        <f>+'Cuota Industrial'!I103</f>
        <v>0.32166549999999999</v>
      </c>
      <c r="M143" s="221">
        <f>+'Cuota Industrial'!J103</f>
        <v>0</v>
      </c>
      <c r="N143" s="82" t="s">
        <v>135</v>
      </c>
      <c r="O143" s="83">
        <f>Resumen!$B$3</f>
        <v>44096</v>
      </c>
      <c r="P143" s="39">
        <f t="shared" si="4"/>
        <v>2020</v>
      </c>
      <c r="Q143" s="39"/>
    </row>
    <row r="144" spans="1:17">
      <c r="A144" s="40" t="s">
        <v>122</v>
      </c>
      <c r="B144" s="39" t="s">
        <v>109</v>
      </c>
      <c r="C144" s="39" t="s">
        <v>82</v>
      </c>
      <c r="D144" s="39" t="s">
        <v>110</v>
      </c>
      <c r="E144" s="39" t="str">
        <f>+'Cuota Industrial'!C$103</f>
        <v>PAOLA POBLETE NOVOA</v>
      </c>
      <c r="F144" s="39" t="s">
        <v>113</v>
      </c>
      <c r="G144" s="39" t="s">
        <v>114</v>
      </c>
      <c r="H144" s="78">
        <f>+'Cuota Industrial'!E104</f>
        <v>6.5705E-3</v>
      </c>
      <c r="I144" s="78">
        <f>+'Cuota Industrial'!F104</f>
        <v>0</v>
      </c>
      <c r="J144" s="78">
        <f>+'Cuota Industrial'!G104</f>
        <v>0.32823599999999997</v>
      </c>
      <c r="K144" s="78">
        <f>+'Cuota Industrial'!H104</f>
        <v>0</v>
      </c>
      <c r="L144" s="78">
        <f>+'Cuota Industrial'!I104</f>
        <v>0.32823599999999997</v>
      </c>
      <c r="M144" s="221">
        <f>+'Cuota Industrial'!J104</f>
        <v>0</v>
      </c>
      <c r="N144" s="82" t="s">
        <v>135</v>
      </c>
      <c r="O144" s="83">
        <f>Resumen!$B$3</f>
        <v>44096</v>
      </c>
      <c r="P144" s="39">
        <f t="shared" si="4"/>
        <v>2020</v>
      </c>
      <c r="Q144" s="39"/>
    </row>
    <row r="145" spans="1:17">
      <c r="A145" s="40" t="s">
        <v>122</v>
      </c>
      <c r="B145" s="39" t="s">
        <v>109</v>
      </c>
      <c r="C145" s="39" t="s">
        <v>82</v>
      </c>
      <c r="D145" s="39" t="s">
        <v>110</v>
      </c>
      <c r="E145" s="39" t="str">
        <f>+'Cuota Industrial'!C$103</f>
        <v>PAOLA POBLETE NOVOA</v>
      </c>
      <c r="F145" s="39" t="s">
        <v>111</v>
      </c>
      <c r="G145" s="39" t="s">
        <v>114</v>
      </c>
      <c r="H145" s="78">
        <f>'Cuota Industrial'!K103</f>
        <v>0.32823599999999997</v>
      </c>
      <c r="I145" s="78">
        <f>'Cuota Industrial'!L103</f>
        <v>0</v>
      </c>
      <c r="J145" s="78">
        <f>'Cuota Industrial'!M103</f>
        <v>0.32823599999999997</v>
      </c>
      <c r="K145" s="78">
        <f>'Cuota Industrial'!N103</f>
        <v>0</v>
      </c>
      <c r="L145" s="78">
        <f>'Cuota Industrial'!O103</f>
        <v>0.32823599999999997</v>
      </c>
      <c r="M145" s="221">
        <f>'Cuota Industrial'!P103</f>
        <v>0</v>
      </c>
      <c r="N145" s="82" t="s">
        <v>135</v>
      </c>
      <c r="O145" s="83">
        <f>Resumen!$B$3</f>
        <v>44096</v>
      </c>
      <c r="P145" s="39">
        <f t="shared" si="4"/>
        <v>2020</v>
      </c>
      <c r="Q145" s="39"/>
    </row>
    <row r="146" spans="1:17">
      <c r="A146" s="40" t="s">
        <v>122</v>
      </c>
      <c r="B146" s="39" t="s">
        <v>109</v>
      </c>
      <c r="C146" s="39" t="s">
        <v>82</v>
      </c>
      <c r="D146" s="39" t="s">
        <v>110</v>
      </c>
      <c r="E146" s="39" t="str">
        <f>+'Cuota Industrial'!C$105</f>
        <v xml:space="preserve">LANDES S.A. SOC. PESQ.      </v>
      </c>
      <c r="F146" s="39" t="s">
        <v>111</v>
      </c>
      <c r="G146" s="39" t="s">
        <v>112</v>
      </c>
      <c r="H146" s="78">
        <f>+'Cuota Industrial'!E105</f>
        <v>2102.8030600000002</v>
      </c>
      <c r="I146" s="78">
        <f>+'Cuota Industrial'!F105</f>
        <v>-2143.4844280000002</v>
      </c>
      <c r="J146" s="78">
        <f>+'Cuota Industrial'!G105</f>
        <v>-40.68136800000002</v>
      </c>
      <c r="K146" s="78">
        <f>+'Cuota Industrial'!H105</f>
        <v>0</v>
      </c>
      <c r="L146" s="78">
        <f>+'Cuota Industrial'!I105</f>
        <v>-40.68136800000002</v>
      </c>
      <c r="M146" s="221">
        <f>+'Cuota Industrial'!J105</f>
        <v>0</v>
      </c>
      <c r="N146" s="82" t="s">
        <v>135</v>
      </c>
      <c r="O146" s="83">
        <f>Resumen!$B$3</f>
        <v>44096</v>
      </c>
      <c r="P146" s="39">
        <f t="shared" si="4"/>
        <v>2020</v>
      </c>
      <c r="Q146" s="39"/>
    </row>
    <row r="147" spans="1:17">
      <c r="A147" s="40" t="s">
        <v>122</v>
      </c>
      <c r="B147" s="39" t="s">
        <v>109</v>
      </c>
      <c r="C147" s="39" t="s">
        <v>82</v>
      </c>
      <c r="D147" s="39" t="s">
        <v>110</v>
      </c>
      <c r="E147" s="39" t="str">
        <f>+'Cuota Industrial'!C$105</f>
        <v xml:space="preserve">LANDES S.A. SOC. PESQ.      </v>
      </c>
      <c r="F147" s="39" t="s">
        <v>113</v>
      </c>
      <c r="G147" s="39" t="s">
        <v>114</v>
      </c>
      <c r="H147" s="78">
        <f>+'Cuota Industrial'!E106</f>
        <v>42.952904500000002</v>
      </c>
      <c r="I147" s="78">
        <f>+'Cuota Industrial'!F106</f>
        <v>0</v>
      </c>
      <c r="J147" s="78">
        <f>+'Cuota Industrial'!G106</f>
        <v>2.2715364999999821</v>
      </c>
      <c r="K147" s="78">
        <f>+'Cuota Industrial'!H106</f>
        <v>0</v>
      </c>
      <c r="L147" s="78">
        <f>+'Cuota Industrial'!I106</f>
        <v>2.2715364999999821</v>
      </c>
      <c r="M147" s="221">
        <f>+'Cuota Industrial'!J106</f>
        <v>0</v>
      </c>
      <c r="N147" s="82" t="s">
        <v>135</v>
      </c>
      <c r="O147" s="83">
        <f>Resumen!$B$3</f>
        <v>44096</v>
      </c>
      <c r="P147" s="39">
        <f t="shared" si="4"/>
        <v>2020</v>
      </c>
      <c r="Q147" s="39"/>
    </row>
    <row r="148" spans="1:17">
      <c r="A148" s="40" t="s">
        <v>122</v>
      </c>
      <c r="B148" s="39" t="s">
        <v>109</v>
      </c>
      <c r="C148" s="39" t="s">
        <v>82</v>
      </c>
      <c r="D148" s="39" t="s">
        <v>110</v>
      </c>
      <c r="E148" s="39" t="str">
        <f>+'Cuota Industrial'!C$105</f>
        <v xml:space="preserve">LANDES S.A. SOC. PESQ.      </v>
      </c>
      <c r="F148" s="39" t="s">
        <v>111</v>
      </c>
      <c r="G148" s="39" t="s">
        <v>114</v>
      </c>
      <c r="H148" s="78">
        <f>'Cuota Industrial'!K105</f>
        <v>2145.7559645000001</v>
      </c>
      <c r="I148" s="78">
        <f>'Cuota Industrial'!L105</f>
        <v>-2143.4844280000002</v>
      </c>
      <c r="J148" s="78">
        <f>'Cuota Industrial'!M105</f>
        <v>2.271536499999911</v>
      </c>
      <c r="K148" s="78">
        <f>'Cuota Industrial'!N105</f>
        <v>0</v>
      </c>
      <c r="L148" s="78">
        <f>'Cuota Industrial'!O105</f>
        <v>2.271536499999911</v>
      </c>
      <c r="M148" s="221">
        <f>'Cuota Industrial'!P105</f>
        <v>0</v>
      </c>
      <c r="N148" s="82" t="s">
        <v>135</v>
      </c>
      <c r="O148" s="83">
        <f>Resumen!$B$3</f>
        <v>44096</v>
      </c>
      <c r="P148" s="39">
        <f t="shared" si="4"/>
        <v>2020</v>
      </c>
      <c r="Q148" s="39"/>
    </row>
    <row r="149" spans="1:17">
      <c r="A149" s="40" t="s">
        <v>122</v>
      </c>
      <c r="B149" s="39" t="s">
        <v>109</v>
      </c>
      <c r="C149" s="39" t="s">
        <v>82</v>
      </c>
      <c r="D149" s="39" t="s">
        <v>110</v>
      </c>
      <c r="E149" s="39" t="str">
        <f>+'Cuota Industrial'!C$107</f>
        <v xml:space="preserve">LOTA PROTEIN S.A.  </v>
      </c>
      <c r="F149" s="39" t="s">
        <v>111</v>
      </c>
      <c r="G149" s="39" t="s">
        <v>112</v>
      </c>
      <c r="H149" s="78">
        <f>+'Cuota Industrial'!E107</f>
        <v>1549.5194799999999</v>
      </c>
      <c r="I149" s="78">
        <f>+'Cuota Industrial'!F107</f>
        <v>-1581.170572</v>
      </c>
      <c r="J149" s="78">
        <f>+'Cuota Industrial'!G107</f>
        <v>-31.651092000000062</v>
      </c>
      <c r="K149" s="78">
        <f>+'Cuota Industrial'!H107</f>
        <v>0</v>
      </c>
      <c r="L149" s="78">
        <f>+'Cuota Industrial'!I107</f>
        <v>-31.651092000000062</v>
      </c>
      <c r="M149" s="221">
        <f>+'Cuota Industrial'!J107</f>
        <v>0</v>
      </c>
      <c r="N149" s="82" t="s">
        <v>135</v>
      </c>
      <c r="O149" s="83">
        <f>Resumen!$B$3</f>
        <v>44096</v>
      </c>
      <c r="P149" s="39">
        <f t="shared" si="4"/>
        <v>2020</v>
      </c>
      <c r="Q149" s="39"/>
    </row>
    <row r="150" spans="1:17">
      <c r="A150" s="40" t="s">
        <v>122</v>
      </c>
      <c r="B150" s="39" t="s">
        <v>109</v>
      </c>
      <c r="C150" s="39" t="s">
        <v>82</v>
      </c>
      <c r="D150" s="39" t="s">
        <v>110</v>
      </c>
      <c r="E150" s="39" t="str">
        <f>+'Cuota Industrial'!C$107</f>
        <v xml:space="preserve">LOTA PROTEIN S.A.  </v>
      </c>
      <c r="F150" s="39" t="s">
        <v>113</v>
      </c>
      <c r="G150" s="39" t="s">
        <v>114</v>
      </c>
      <c r="H150" s="78">
        <f>+'Cuota Industrial'!E108</f>
        <v>31.651257999999999</v>
      </c>
      <c r="I150" s="78">
        <f>+'Cuota Industrial'!F108</f>
        <v>0</v>
      </c>
      <c r="J150" s="78">
        <f>+'Cuota Industrial'!G108</f>
        <v>1.6599999993616166E-4</v>
      </c>
      <c r="K150" s="78">
        <f>+'Cuota Industrial'!H108</f>
        <v>0</v>
      </c>
      <c r="L150" s="78">
        <f>+'Cuota Industrial'!I108</f>
        <v>1.6599999993616166E-4</v>
      </c>
      <c r="M150" s="221">
        <f>+'Cuota Industrial'!J108</f>
        <v>0</v>
      </c>
      <c r="N150" s="82" t="s">
        <v>135</v>
      </c>
      <c r="O150" s="83">
        <f>Resumen!$B$3</f>
        <v>44096</v>
      </c>
      <c r="P150" s="39">
        <f t="shared" si="4"/>
        <v>2020</v>
      </c>
      <c r="Q150" s="39"/>
    </row>
    <row r="151" spans="1:17">
      <c r="A151" s="40" t="s">
        <v>122</v>
      </c>
      <c r="B151" s="39" t="s">
        <v>109</v>
      </c>
      <c r="C151" s="39" t="s">
        <v>82</v>
      </c>
      <c r="D151" s="39" t="s">
        <v>110</v>
      </c>
      <c r="E151" s="39" t="str">
        <f>+'Cuota Industrial'!C$107</f>
        <v xml:space="preserve">LOTA PROTEIN S.A.  </v>
      </c>
      <c r="F151" s="39" t="s">
        <v>111</v>
      </c>
      <c r="G151" s="39" t="s">
        <v>114</v>
      </c>
      <c r="H151" s="78">
        <f>'Cuota Industrial'!K107</f>
        <v>1581.170738</v>
      </c>
      <c r="I151" s="78">
        <f>'Cuota Industrial'!L107</f>
        <v>-1581.170572</v>
      </c>
      <c r="J151" s="78">
        <f>'Cuota Industrial'!M107</f>
        <v>1.6600000003563764E-4</v>
      </c>
      <c r="K151" s="78">
        <f>'Cuota Industrial'!N107</f>
        <v>0</v>
      </c>
      <c r="L151" s="78">
        <f>'Cuota Industrial'!O107</f>
        <v>1.6600000003563764E-4</v>
      </c>
      <c r="M151" s="221">
        <f>'Cuota Industrial'!P107</f>
        <v>0</v>
      </c>
      <c r="N151" s="82" t="s">
        <v>135</v>
      </c>
      <c r="O151" s="83">
        <f>Resumen!$B$3</f>
        <v>44096</v>
      </c>
      <c r="P151" s="39">
        <f t="shared" si="4"/>
        <v>2020</v>
      </c>
      <c r="Q151" s="39"/>
    </row>
    <row r="152" spans="1:17">
      <c r="A152" s="40" t="s">
        <v>122</v>
      </c>
      <c r="B152" s="39" t="s">
        <v>109</v>
      </c>
      <c r="C152" s="39" t="s">
        <v>82</v>
      </c>
      <c r="D152" s="39" t="s">
        <v>110</v>
      </c>
      <c r="E152" s="39" t="str">
        <f>+'Cuota Industrial'!C$109</f>
        <v>ORIZON S.A</v>
      </c>
      <c r="F152" s="39" t="s">
        <v>111</v>
      </c>
      <c r="G152" s="39" t="s">
        <v>112</v>
      </c>
      <c r="H152" s="78">
        <f>+'Cuota Industrial'!E109</f>
        <v>9989.4318500000008</v>
      </c>
      <c r="I152" s="78">
        <f>+'Cuota Industrial'!F109</f>
        <v>-6300</v>
      </c>
      <c r="J152" s="78">
        <f>+'Cuota Industrial'!G109</f>
        <v>3689.4318500000008</v>
      </c>
      <c r="K152" s="78">
        <f>+'Cuota Industrial'!H109</f>
        <v>3810.74</v>
      </c>
      <c r="L152" s="78">
        <f>+'Cuota Industrial'!I109</f>
        <v>-121.30814999999893</v>
      </c>
      <c r="M152" s="221">
        <f>+'Cuota Industrial'!J109</f>
        <v>1.0328798999228022</v>
      </c>
      <c r="N152" s="82" t="s">
        <v>135</v>
      </c>
      <c r="O152" s="83">
        <f>Resumen!$B$3</f>
        <v>44096</v>
      </c>
      <c r="P152" s="39">
        <f t="shared" si="4"/>
        <v>2020</v>
      </c>
      <c r="Q152" s="39"/>
    </row>
    <row r="153" spans="1:17">
      <c r="A153" s="40" t="s">
        <v>122</v>
      </c>
      <c r="B153" s="39" t="s">
        <v>109</v>
      </c>
      <c r="C153" s="39" t="s">
        <v>82</v>
      </c>
      <c r="D153" s="39" t="s">
        <v>110</v>
      </c>
      <c r="E153" s="39" t="str">
        <f>+'Cuota Industrial'!C$109</f>
        <v>ORIZON S.A</v>
      </c>
      <c r="F153" s="39" t="s">
        <v>113</v>
      </c>
      <c r="G153" s="39" t="s">
        <v>114</v>
      </c>
      <c r="H153" s="78">
        <f>+'Cuota Industrial'!E110</f>
        <v>204.04911899999999</v>
      </c>
      <c r="I153" s="78">
        <f>+'Cuota Industrial'!F110</f>
        <v>0</v>
      </c>
      <c r="J153" s="78">
        <f>+'Cuota Industrial'!G110</f>
        <v>82.740969000001058</v>
      </c>
      <c r="K153" s="78">
        <f>+'Cuota Industrial'!H110</f>
        <v>0</v>
      </c>
      <c r="L153" s="78">
        <f>+'Cuota Industrial'!I110</f>
        <v>82.740969000001058</v>
      </c>
      <c r="M153" s="221">
        <f>+'Cuota Industrial'!J110</f>
        <v>0</v>
      </c>
      <c r="N153" s="82" t="s">
        <v>135</v>
      </c>
      <c r="O153" s="83">
        <f>Resumen!$B$3</f>
        <v>44096</v>
      </c>
      <c r="P153" s="39">
        <f t="shared" si="4"/>
        <v>2020</v>
      </c>
      <c r="Q153" s="39"/>
    </row>
    <row r="154" spans="1:17">
      <c r="A154" s="40" t="s">
        <v>122</v>
      </c>
      <c r="B154" s="39" t="s">
        <v>109</v>
      </c>
      <c r="C154" s="39" t="s">
        <v>82</v>
      </c>
      <c r="D154" s="39" t="s">
        <v>110</v>
      </c>
      <c r="E154" s="39" t="str">
        <f>+'Cuota Industrial'!C$109</f>
        <v>ORIZON S.A</v>
      </c>
      <c r="F154" s="39" t="s">
        <v>111</v>
      </c>
      <c r="G154" s="39" t="s">
        <v>114</v>
      </c>
      <c r="H154" s="78">
        <f>'Cuota Industrial'!K109</f>
        <v>10193.480969</v>
      </c>
      <c r="I154" s="78">
        <f>'Cuota Industrial'!L109</f>
        <v>-6300</v>
      </c>
      <c r="J154" s="78">
        <f>'Cuota Industrial'!M109</f>
        <v>3893.4809690000002</v>
      </c>
      <c r="K154" s="78">
        <f>'Cuota Industrial'!N109</f>
        <v>3810.74</v>
      </c>
      <c r="L154" s="78">
        <f>'Cuota Industrial'!O109</f>
        <v>82.740969000000405</v>
      </c>
      <c r="M154" s="221">
        <f>'Cuota Industrial'!P109</f>
        <v>0.9787488446306053</v>
      </c>
      <c r="N154" s="82" t="s">
        <v>135</v>
      </c>
      <c r="O154" s="83">
        <f>Resumen!$B$3</f>
        <v>44096</v>
      </c>
      <c r="P154" s="39">
        <f t="shared" si="4"/>
        <v>2020</v>
      </c>
      <c r="Q154" s="39"/>
    </row>
    <row r="155" spans="1:17">
      <c r="A155" s="40" t="s">
        <v>122</v>
      </c>
      <c r="B155" s="39" t="s">
        <v>109</v>
      </c>
      <c r="C155" s="39" t="s">
        <v>82</v>
      </c>
      <c r="D155" s="39" t="s">
        <v>110</v>
      </c>
      <c r="E155" s="39" t="str">
        <f>+'Cuota Industrial'!C$111</f>
        <v>COMERCIAL Y CONSERVERA SAN LAZARO LIMITADA</v>
      </c>
      <c r="F155" s="39" t="s">
        <v>111</v>
      </c>
      <c r="G155" s="39" t="s">
        <v>112</v>
      </c>
      <c r="H155" s="78">
        <f>+'Cuota Industrial'!E111</f>
        <v>964.99649999999997</v>
      </c>
      <c r="I155" s="78">
        <f>+'Cuota Industrial'!F111</f>
        <v>-984.707898</v>
      </c>
      <c r="J155" s="78">
        <f>+'Cuota Industrial'!G111</f>
        <v>-19.711398000000031</v>
      </c>
      <c r="K155" s="78">
        <f>+'Cuota Industrial'!H111</f>
        <v>0</v>
      </c>
      <c r="L155" s="78">
        <f>+'Cuota Industrial'!I111</f>
        <v>-19.711398000000031</v>
      </c>
      <c r="M155" s="221">
        <f>+'Cuota Industrial'!J111</f>
        <v>0</v>
      </c>
      <c r="N155" s="78"/>
      <c r="O155" s="83">
        <f>Resumen!$B$3</f>
        <v>44096</v>
      </c>
      <c r="P155" s="39">
        <f t="shared" si="4"/>
        <v>2020</v>
      </c>
      <c r="Q155" s="39"/>
    </row>
    <row r="156" spans="1:17">
      <c r="A156" s="40" t="s">
        <v>122</v>
      </c>
      <c r="B156" s="39" t="s">
        <v>109</v>
      </c>
      <c r="C156" s="39" t="s">
        <v>82</v>
      </c>
      <c r="D156" s="39" t="s">
        <v>110</v>
      </c>
      <c r="E156" s="39" t="str">
        <f>+'Cuota Industrial'!C$111</f>
        <v>COMERCIAL Y CONSERVERA SAN LAZARO LIMITADA</v>
      </c>
      <c r="F156" s="39" t="s">
        <v>113</v>
      </c>
      <c r="G156" s="39" t="s">
        <v>114</v>
      </c>
      <c r="H156" s="78">
        <f>+'Cuota Industrial'!E112</f>
        <v>19.711500000000001</v>
      </c>
      <c r="I156" s="78">
        <f>+'Cuota Industrial'!F112</f>
        <v>0</v>
      </c>
      <c r="J156" s="78">
        <f>+'Cuota Industrial'!G112</f>
        <v>1.0199999996984843E-4</v>
      </c>
      <c r="K156" s="78">
        <f>+'Cuota Industrial'!H112</f>
        <v>0</v>
      </c>
      <c r="L156" s="78">
        <f>+'Cuota Industrial'!I112</f>
        <v>1.0199999996984843E-4</v>
      </c>
      <c r="M156" s="221">
        <f>+'Cuota Industrial'!J112</f>
        <v>0</v>
      </c>
      <c r="N156" s="78"/>
      <c r="O156" s="83">
        <f>Resumen!$B$3</f>
        <v>44096</v>
      </c>
      <c r="P156" s="39">
        <f t="shared" si="4"/>
        <v>2020</v>
      </c>
      <c r="Q156" s="39"/>
    </row>
    <row r="157" spans="1:17">
      <c r="A157" s="40" t="s">
        <v>122</v>
      </c>
      <c r="B157" s="39" t="s">
        <v>109</v>
      </c>
      <c r="C157" s="39" t="s">
        <v>82</v>
      </c>
      <c r="D157" s="39" t="s">
        <v>110</v>
      </c>
      <c r="E157" s="39" t="str">
        <f>+'Cuota Industrial'!C$111</f>
        <v>COMERCIAL Y CONSERVERA SAN LAZARO LIMITADA</v>
      </c>
      <c r="F157" s="39" t="s">
        <v>111</v>
      </c>
      <c r="G157" s="39" t="s">
        <v>114</v>
      </c>
      <c r="H157" s="78">
        <f>'Cuota Industrial'!K111</f>
        <v>984.70799999999997</v>
      </c>
      <c r="I157" s="78">
        <f>'Cuota Industrial'!L111</f>
        <v>-984.707898</v>
      </c>
      <c r="J157" s="78">
        <f>'Cuota Industrial'!M111</f>
        <v>1.0199999996984843E-4</v>
      </c>
      <c r="K157" s="78">
        <f>'Cuota Industrial'!N111</f>
        <v>0</v>
      </c>
      <c r="L157" s="78">
        <f>'Cuota Industrial'!O111</f>
        <v>1.0199999996984843E-4</v>
      </c>
      <c r="M157" s="221">
        <f>'Cuota Industrial'!P111</f>
        <v>0</v>
      </c>
      <c r="N157" s="78"/>
      <c r="O157" s="83">
        <f>Resumen!$B$3</f>
        <v>44096</v>
      </c>
      <c r="P157" s="39">
        <f t="shared" si="4"/>
        <v>2020</v>
      </c>
      <c r="Q157" s="39"/>
    </row>
    <row r="158" spans="1:17">
      <c r="A158" s="40" t="s">
        <v>122</v>
      </c>
      <c r="B158" s="39" t="s">
        <v>109</v>
      </c>
      <c r="C158" s="39" t="s">
        <v>82</v>
      </c>
      <c r="D158" s="39" t="s">
        <v>110</v>
      </c>
      <c r="E158" s="39" t="str">
        <f>+'Cuota Industrial'!C$113</f>
        <v>SUR AUSTRAL S.A. PESQ.</v>
      </c>
      <c r="F158" s="39" t="s">
        <v>111</v>
      </c>
      <c r="G158" s="39" t="s">
        <v>112</v>
      </c>
      <c r="H158" s="78">
        <f>+'Cuota Industrial'!E113</f>
        <v>63.538397000000003</v>
      </c>
      <c r="I158" s="78">
        <f>+'Cuota Industrial'!F113</f>
        <v>0</v>
      </c>
      <c r="J158" s="78">
        <f>+'Cuota Industrial'!G113</f>
        <v>63.538397000000003</v>
      </c>
      <c r="K158" s="78">
        <f>+'Cuota Industrial'!H113</f>
        <v>0</v>
      </c>
      <c r="L158" s="78">
        <f>+'Cuota Industrial'!I113</f>
        <v>63.538397000000003</v>
      </c>
      <c r="M158" s="221">
        <f>+'Cuota Industrial'!J113</f>
        <v>0</v>
      </c>
      <c r="N158" s="82" t="s">
        <v>135</v>
      </c>
      <c r="O158" s="83">
        <f>Resumen!$B$3</f>
        <v>44096</v>
      </c>
      <c r="P158" s="39">
        <f t="shared" si="4"/>
        <v>2020</v>
      </c>
      <c r="Q158" s="39"/>
    </row>
    <row r="159" spans="1:17">
      <c r="A159" s="40" t="s">
        <v>122</v>
      </c>
      <c r="B159" s="39" t="s">
        <v>109</v>
      </c>
      <c r="C159" s="39" t="s">
        <v>82</v>
      </c>
      <c r="D159" s="39" t="s">
        <v>110</v>
      </c>
      <c r="E159" s="39" t="str">
        <f>+'Cuota Industrial'!C$113</f>
        <v>SUR AUSTRAL S.A. PESQ.</v>
      </c>
      <c r="F159" s="39" t="s">
        <v>113</v>
      </c>
      <c r="G159" s="39" t="s">
        <v>114</v>
      </c>
      <c r="H159" s="78">
        <f>+'Cuota Industrial'!E114</f>
        <v>1.2978670000000001</v>
      </c>
      <c r="I159" s="78">
        <f>+'Cuota Industrial'!F114</f>
        <v>0</v>
      </c>
      <c r="J159" s="78">
        <f>+'Cuota Industrial'!G114</f>
        <v>64.836264</v>
      </c>
      <c r="K159" s="78">
        <f>+'Cuota Industrial'!H114</f>
        <v>0</v>
      </c>
      <c r="L159" s="78">
        <f>+'Cuota Industrial'!I114</f>
        <v>64.836264</v>
      </c>
      <c r="M159" s="221">
        <f>+'Cuota Industrial'!J114</f>
        <v>0</v>
      </c>
      <c r="N159" s="82" t="s">
        <v>135</v>
      </c>
      <c r="O159" s="83">
        <f>Resumen!$B$3</f>
        <v>44096</v>
      </c>
      <c r="P159" s="39">
        <f t="shared" si="4"/>
        <v>2020</v>
      </c>
      <c r="Q159" s="39"/>
    </row>
    <row r="160" spans="1:17">
      <c r="A160" s="40" t="s">
        <v>122</v>
      </c>
      <c r="B160" s="39" t="s">
        <v>109</v>
      </c>
      <c r="C160" s="39" t="s">
        <v>82</v>
      </c>
      <c r="D160" s="39" t="s">
        <v>110</v>
      </c>
      <c r="E160" s="39" t="str">
        <f>+'Cuota Industrial'!C$113</f>
        <v>SUR AUSTRAL S.A. PESQ.</v>
      </c>
      <c r="F160" s="39" t="s">
        <v>111</v>
      </c>
      <c r="G160" s="39" t="s">
        <v>114</v>
      </c>
      <c r="H160" s="78">
        <f>'Cuota Industrial'!K113</f>
        <v>64.836264</v>
      </c>
      <c r="I160" s="78">
        <f>'Cuota Industrial'!L113</f>
        <v>0</v>
      </c>
      <c r="J160" s="78">
        <f>'Cuota Industrial'!M113</f>
        <v>64.836264</v>
      </c>
      <c r="K160" s="78">
        <f>'Cuota Industrial'!N113</f>
        <v>0</v>
      </c>
      <c r="L160" s="78">
        <f>'Cuota Industrial'!O113</f>
        <v>64.836264</v>
      </c>
      <c r="M160" s="221">
        <f>'Cuota Industrial'!P113</f>
        <v>0</v>
      </c>
      <c r="N160" s="82" t="s">
        <v>135</v>
      </c>
      <c r="O160" s="83">
        <f>Resumen!$B$3</f>
        <v>44096</v>
      </c>
      <c r="P160" s="39">
        <f t="shared" si="4"/>
        <v>2020</v>
      </c>
      <c r="Q160" s="39"/>
    </row>
    <row r="161" spans="1:17">
      <c r="A161" s="40" t="s">
        <v>108</v>
      </c>
      <c r="B161" s="39" t="s">
        <v>109</v>
      </c>
      <c r="C161" s="39" t="s">
        <v>123</v>
      </c>
      <c r="D161" s="39" t="s">
        <v>115</v>
      </c>
      <c r="E161" s="39" t="str">
        <f>+'Cuota Artesanal'!C$7</f>
        <v>Macrozona XV-I</v>
      </c>
      <c r="F161" s="39" t="s">
        <v>111</v>
      </c>
      <c r="G161" s="39" t="s">
        <v>112</v>
      </c>
      <c r="H161" s="78">
        <f>'Cuota Artesanal'!E7</f>
        <v>1460</v>
      </c>
      <c r="I161" s="78">
        <f>'Cuota Artesanal'!F7</f>
        <v>0</v>
      </c>
      <c r="J161" s="78">
        <f>'Cuota Artesanal'!G7</f>
        <v>1460</v>
      </c>
      <c r="K161" s="78">
        <f>'Cuota Artesanal'!H7</f>
        <v>3.2000000000000001E-2</v>
      </c>
      <c r="L161" s="78">
        <f>'Cuota Artesanal'!I7</f>
        <v>1459.9680000000001</v>
      </c>
      <c r="M161" s="221">
        <f>'Cuota Artesanal'!J7</f>
        <v>2.1917808219178083E-5</v>
      </c>
      <c r="N161" s="82" t="str">
        <f>'Cuota Artesanal'!Q7</f>
        <v>-</v>
      </c>
      <c r="O161" s="83">
        <f>Resumen!$B$3</f>
        <v>44096</v>
      </c>
      <c r="P161" s="39">
        <f t="shared" si="4"/>
        <v>2020</v>
      </c>
      <c r="Q161" s="39"/>
    </row>
    <row r="162" spans="1:17">
      <c r="A162" s="40" t="s">
        <v>108</v>
      </c>
      <c r="B162" s="39" t="s">
        <v>109</v>
      </c>
      <c r="C162" s="39" t="s">
        <v>123</v>
      </c>
      <c r="D162" s="39" t="s">
        <v>115</v>
      </c>
      <c r="E162" s="39" t="str">
        <f>+'Cuota Artesanal'!C$7</f>
        <v>Macrozona XV-I</v>
      </c>
      <c r="F162" s="39" t="s">
        <v>113</v>
      </c>
      <c r="G162" s="39" t="s">
        <v>114</v>
      </c>
      <c r="H162" s="78">
        <f>'Cuota Artesanal'!E8</f>
        <v>77</v>
      </c>
      <c r="I162" s="78">
        <f>'Cuota Artesanal'!F8</f>
        <v>0</v>
      </c>
      <c r="J162" s="78">
        <f>'Cuota Artesanal'!G8</f>
        <v>1536.9680000000001</v>
      </c>
      <c r="K162" s="78">
        <f>'Cuota Artesanal'!H8</f>
        <v>0</v>
      </c>
      <c r="L162" s="78">
        <f>'Cuota Artesanal'!I8</f>
        <v>1536.9680000000001</v>
      </c>
      <c r="M162" s="221">
        <f>'Cuota Artesanal'!J8</f>
        <v>0</v>
      </c>
      <c r="N162" s="82" t="str">
        <f>'Cuota Artesanal'!Q8</f>
        <v>-</v>
      </c>
      <c r="O162" s="83">
        <f>Resumen!$B$3</f>
        <v>44096</v>
      </c>
      <c r="P162" s="39">
        <f t="shared" si="4"/>
        <v>2020</v>
      </c>
      <c r="Q162" s="39"/>
    </row>
    <row r="163" spans="1:17">
      <c r="A163" s="40" t="s">
        <v>108</v>
      </c>
      <c r="B163" s="39" t="s">
        <v>109</v>
      </c>
      <c r="C163" s="39" t="s">
        <v>123</v>
      </c>
      <c r="D163" s="39" t="s">
        <v>115</v>
      </c>
      <c r="E163" s="39" t="str">
        <f>+'Cuota Artesanal'!C$7</f>
        <v>Macrozona XV-I</v>
      </c>
      <c r="F163" s="39" t="s">
        <v>111</v>
      </c>
      <c r="G163" s="39" t="s">
        <v>114</v>
      </c>
      <c r="H163" s="78">
        <f>'Cuota Artesanal'!K7</f>
        <v>1537</v>
      </c>
      <c r="I163" s="78">
        <f>'Cuota Artesanal'!L7</f>
        <v>0</v>
      </c>
      <c r="J163" s="78">
        <f>'Cuota Artesanal'!M7</f>
        <v>1537</v>
      </c>
      <c r="K163" s="78">
        <f>'Cuota Artesanal'!N7</f>
        <v>3.2000000000000001E-2</v>
      </c>
      <c r="L163" s="78">
        <f>'Cuota Artesanal'!O7</f>
        <v>1536.9680000000001</v>
      </c>
      <c r="M163" s="221">
        <f>'Cuota Artesanal'!P7</f>
        <v>2.0819778789850359E-5</v>
      </c>
      <c r="N163" s="82" t="s">
        <v>135</v>
      </c>
      <c r="O163" s="83">
        <f>Resumen!$B$3</f>
        <v>44096</v>
      </c>
      <c r="P163" s="39">
        <f t="shared" si="4"/>
        <v>2020</v>
      </c>
      <c r="Q163" s="39"/>
    </row>
    <row r="164" spans="1:17">
      <c r="A164" s="40" t="s">
        <v>108</v>
      </c>
      <c r="B164" s="39" t="s">
        <v>109</v>
      </c>
      <c r="C164" s="39" t="s">
        <v>34</v>
      </c>
      <c r="D164" s="39" t="s">
        <v>116</v>
      </c>
      <c r="E164" s="39" t="str">
        <f>+'Cuota Artesanal'!C$10</f>
        <v>II Región</v>
      </c>
      <c r="F164" s="39" t="s">
        <v>111</v>
      </c>
      <c r="G164" s="39" t="s">
        <v>112</v>
      </c>
      <c r="H164" s="78">
        <f>'Cuota Artesanal'!E10</f>
        <v>1460</v>
      </c>
      <c r="I164" s="78">
        <f>'Cuota Artesanal'!F10</f>
        <v>0</v>
      </c>
      <c r="J164" s="78">
        <f>'Cuota Artesanal'!G10</f>
        <v>1460</v>
      </c>
      <c r="K164" s="78">
        <f>'Cuota Artesanal'!H10</f>
        <v>17.797000000000001</v>
      </c>
      <c r="L164" s="78">
        <f>'Cuota Artesanal'!I10</f>
        <v>1442.203</v>
      </c>
      <c r="M164" s="221">
        <f>'Cuota Artesanal'!J10</f>
        <v>1.2189726027397261E-2</v>
      </c>
      <c r="N164" s="82" t="str">
        <f>'Cuota Artesanal'!Q10</f>
        <v>-</v>
      </c>
      <c r="O164" s="83">
        <f>Resumen!$B$3</f>
        <v>44096</v>
      </c>
      <c r="P164" s="39">
        <f t="shared" si="4"/>
        <v>2020</v>
      </c>
      <c r="Q164" s="39"/>
    </row>
    <row r="165" spans="1:17">
      <c r="A165" s="40" t="s">
        <v>108</v>
      </c>
      <c r="B165" s="39" t="s">
        <v>109</v>
      </c>
      <c r="C165" s="39" t="s">
        <v>34</v>
      </c>
      <c r="D165" s="39" t="s">
        <v>116</v>
      </c>
      <c r="E165" s="39" t="str">
        <f>+'Cuota Artesanal'!C$10</f>
        <v>II Región</v>
      </c>
      <c r="F165" s="39" t="s">
        <v>113</v>
      </c>
      <c r="G165" s="39" t="s">
        <v>114</v>
      </c>
      <c r="H165" s="78">
        <f>'Cuota Artesanal'!E11</f>
        <v>77</v>
      </c>
      <c r="I165" s="78">
        <f>'Cuota Artesanal'!F11</f>
        <v>0</v>
      </c>
      <c r="J165" s="78">
        <f>'Cuota Artesanal'!G11</f>
        <v>1519.203</v>
      </c>
      <c r="K165" s="78">
        <f>'Cuota Artesanal'!H11</f>
        <v>0</v>
      </c>
      <c r="L165" s="78">
        <f>'Cuota Artesanal'!I11</f>
        <v>1519.203</v>
      </c>
      <c r="M165" s="221">
        <f>'Cuota Artesanal'!J11</f>
        <v>0</v>
      </c>
      <c r="N165" s="82" t="str">
        <f>'Cuota Artesanal'!Q11</f>
        <v>-</v>
      </c>
      <c r="O165" s="83">
        <f>Resumen!$B$3</f>
        <v>44096</v>
      </c>
      <c r="P165" s="39">
        <f t="shared" si="4"/>
        <v>2020</v>
      </c>
      <c r="Q165" s="39"/>
    </row>
    <row r="166" spans="1:17">
      <c r="A166" s="40" t="s">
        <v>108</v>
      </c>
      <c r="B166" s="39" t="s">
        <v>109</v>
      </c>
      <c r="C166" s="39" t="s">
        <v>34</v>
      </c>
      <c r="D166" s="39" t="s">
        <v>116</v>
      </c>
      <c r="E166" s="39" t="str">
        <f>+'Cuota Artesanal'!C$10</f>
        <v>II Región</v>
      </c>
      <c r="F166" s="39" t="s">
        <v>111</v>
      </c>
      <c r="G166" s="39" t="s">
        <v>114</v>
      </c>
      <c r="H166" s="78">
        <f>+'Cuota Artesanal'!K10</f>
        <v>1537</v>
      </c>
      <c r="I166" s="78">
        <f>'Cuota Artesanal'!L10</f>
        <v>0</v>
      </c>
      <c r="J166" s="78">
        <f>'Cuota Artesanal'!M10</f>
        <v>1537</v>
      </c>
      <c r="K166" s="78">
        <f>'Cuota Artesanal'!N10</f>
        <v>17.797000000000001</v>
      </c>
      <c r="L166" s="78">
        <f>'Cuota Artesanal'!O10</f>
        <v>1519.203</v>
      </c>
      <c r="M166" s="221">
        <f>'Cuota Artesanal'!P10</f>
        <v>1.1579050097592714E-2</v>
      </c>
      <c r="N166" s="82" t="s">
        <v>135</v>
      </c>
      <c r="O166" s="83">
        <f>Resumen!$B$3</f>
        <v>44096</v>
      </c>
      <c r="P166" s="39">
        <f t="shared" si="4"/>
        <v>2020</v>
      </c>
      <c r="Q166" s="39"/>
    </row>
    <row r="167" spans="1:17">
      <c r="A167" s="40" t="s">
        <v>118</v>
      </c>
      <c r="B167" s="39" t="s">
        <v>109</v>
      </c>
      <c r="C167" s="39" t="s">
        <v>35</v>
      </c>
      <c r="D167" s="39" t="s">
        <v>116</v>
      </c>
      <c r="E167" s="39" t="str">
        <f>+'Cuota Artesanal'!C$15</f>
        <v>III Región</v>
      </c>
      <c r="F167" s="39" t="s">
        <v>111</v>
      </c>
      <c r="G167" s="39" t="s">
        <v>112</v>
      </c>
      <c r="H167" s="78">
        <f>+'Cuota Artesanal'!E15</f>
        <v>3886.6590000000001</v>
      </c>
      <c r="I167" s="78">
        <f>'Cuota Artesanal'!F15</f>
        <v>2195</v>
      </c>
      <c r="J167" s="78">
        <f>'Cuota Artesanal'!G15</f>
        <v>6081.6589999999997</v>
      </c>
      <c r="K167" s="78">
        <f>'Cuota Artesanal'!H15</f>
        <v>5793.3379999999997</v>
      </c>
      <c r="L167" s="78">
        <f>'Cuota Artesanal'!I15</f>
        <v>288.32099999999991</v>
      </c>
      <c r="M167" s="221">
        <f>'Cuota Artesanal'!J15</f>
        <v>0.95259171880567461</v>
      </c>
      <c r="N167" s="82" t="str">
        <f>'Cuota Artesanal'!Q15</f>
        <v>-</v>
      </c>
      <c r="O167" s="83">
        <f>Resumen!$B$3</f>
        <v>44096</v>
      </c>
      <c r="P167" s="39">
        <f t="shared" si="4"/>
        <v>2020</v>
      </c>
      <c r="Q167" s="39"/>
    </row>
    <row r="168" spans="1:17">
      <c r="A168" s="40" t="s">
        <v>118</v>
      </c>
      <c r="B168" s="39" t="s">
        <v>109</v>
      </c>
      <c r="C168" s="39" t="s">
        <v>35</v>
      </c>
      <c r="D168" s="39" t="s">
        <v>116</v>
      </c>
      <c r="E168" s="39" t="str">
        <f>+'Cuota Artesanal'!C$15</f>
        <v>III Región</v>
      </c>
      <c r="F168" s="39" t="s">
        <v>113</v>
      </c>
      <c r="G168" s="39" t="s">
        <v>114</v>
      </c>
      <c r="H168" s="78">
        <f>'Cuota Artesanal'!E16</f>
        <v>204.56100000000001</v>
      </c>
      <c r="I168" s="78">
        <f>'Cuota Artesanal'!F16</f>
        <v>0</v>
      </c>
      <c r="J168" s="78">
        <f>'Cuota Artesanal'!G16</f>
        <v>492.88199999999995</v>
      </c>
      <c r="K168" s="78">
        <f>'Cuota Artesanal'!H16</f>
        <v>0</v>
      </c>
      <c r="L168" s="78">
        <f>'Cuota Artesanal'!I16</f>
        <v>492.88199999999995</v>
      </c>
      <c r="M168" s="221">
        <f>'Cuota Artesanal'!J16</f>
        <v>0</v>
      </c>
      <c r="N168" s="82" t="str">
        <f>'Cuota Artesanal'!Q16</f>
        <v>-</v>
      </c>
      <c r="O168" s="83">
        <f>Resumen!$B$3</f>
        <v>44096</v>
      </c>
      <c r="P168" s="39">
        <f t="shared" si="4"/>
        <v>2020</v>
      </c>
      <c r="Q168" s="39"/>
    </row>
    <row r="169" spans="1:17">
      <c r="A169" s="40" t="s">
        <v>118</v>
      </c>
      <c r="B169" s="39" t="s">
        <v>109</v>
      </c>
      <c r="C169" s="39" t="s">
        <v>35</v>
      </c>
      <c r="D169" s="39" t="s">
        <v>116</v>
      </c>
      <c r="E169" s="39" t="str">
        <f>+'Cuota Artesanal'!C$15</f>
        <v>III Región</v>
      </c>
      <c r="F169" s="39" t="s">
        <v>111</v>
      </c>
      <c r="G169" s="39" t="s">
        <v>114</v>
      </c>
      <c r="H169" s="78">
        <f>'Cuota Artesanal'!K15</f>
        <v>4091.2200000000003</v>
      </c>
      <c r="I169" s="78">
        <f>'Cuota Artesanal'!L15</f>
        <v>2195</v>
      </c>
      <c r="J169" s="78">
        <f>'Cuota Artesanal'!M15</f>
        <v>6286.22</v>
      </c>
      <c r="K169" s="78">
        <f>'Cuota Artesanal'!N15</f>
        <v>5793.3379999999997</v>
      </c>
      <c r="L169" s="78">
        <f>'Cuota Artesanal'!O15</f>
        <v>492.88200000000052</v>
      </c>
      <c r="M169" s="221">
        <f>'Cuota Artesanal'!P15</f>
        <v>0.92159326272386255</v>
      </c>
      <c r="N169" s="82" t="s">
        <v>135</v>
      </c>
      <c r="O169" s="83">
        <f>Resumen!$B$3</f>
        <v>44096</v>
      </c>
      <c r="P169" s="39">
        <f t="shared" si="4"/>
        <v>2020</v>
      </c>
      <c r="Q169" s="39"/>
    </row>
    <row r="170" spans="1:17">
      <c r="A170" s="40" t="s">
        <v>118</v>
      </c>
      <c r="B170" s="39" t="s">
        <v>109</v>
      </c>
      <c r="C170" s="39" t="s">
        <v>124</v>
      </c>
      <c r="D170" s="39" t="s">
        <v>136</v>
      </c>
      <c r="E170" s="39" t="str">
        <f>+'Cuota Artesanal'!C$18</f>
        <v xml:space="preserve"> AG. PAR Y BUZOS DE COQUIMBO AG 55-04</v>
      </c>
      <c r="F170" s="39" t="s">
        <v>111</v>
      </c>
      <c r="G170" s="39" t="s">
        <v>112</v>
      </c>
      <c r="H170" s="78">
        <f>+'Cuota Artesanal'!E18</f>
        <v>1257.5909999999999</v>
      </c>
      <c r="I170" s="78">
        <f>'Cuota Artesanal'!F18</f>
        <v>-805.87300000000005</v>
      </c>
      <c r="J170" s="78">
        <f>'Cuota Artesanal'!G18</f>
        <v>451.71799999999985</v>
      </c>
      <c r="K170" s="78">
        <f>'Cuota Artesanal'!H18</f>
        <v>183.54</v>
      </c>
      <c r="L170" s="78">
        <f>'Cuota Artesanal'!I18</f>
        <v>268.17799999999988</v>
      </c>
      <c r="M170" s="221">
        <f>'Cuota Artesanal'!J18</f>
        <v>0.40631544459153734</v>
      </c>
      <c r="N170" s="82" t="str">
        <f>'Cuota Artesanal'!Q18</f>
        <v>-</v>
      </c>
      <c r="O170" s="83">
        <f>Resumen!$B$3</f>
        <v>44096</v>
      </c>
      <c r="P170" s="39">
        <f t="shared" si="4"/>
        <v>2020</v>
      </c>
      <c r="Q170" s="39"/>
    </row>
    <row r="171" spans="1:17">
      <c r="A171" s="40" t="s">
        <v>118</v>
      </c>
      <c r="B171" s="39" t="s">
        <v>109</v>
      </c>
      <c r="C171" s="39" t="s">
        <v>124</v>
      </c>
      <c r="D171" s="39" t="s">
        <v>136</v>
      </c>
      <c r="E171" s="39" t="str">
        <f>+'Cuota Artesanal'!C$18</f>
        <v xml:space="preserve"> AG. PAR Y BUZOS DE COQUIMBO AG 55-04</v>
      </c>
      <c r="F171" s="39" t="s">
        <v>113</v>
      </c>
      <c r="G171" s="39" t="s">
        <v>114</v>
      </c>
      <c r="H171" s="78">
        <f>'Cuota Artesanal'!E19</f>
        <v>66.188999999999993</v>
      </c>
      <c r="I171" s="78">
        <f>'Cuota Artesanal'!F19</f>
        <v>0</v>
      </c>
      <c r="J171" s="78">
        <f>'Cuota Artesanal'!G19</f>
        <v>334.36699999999985</v>
      </c>
      <c r="K171" s="78">
        <f>'Cuota Artesanal'!H19</f>
        <v>0</v>
      </c>
      <c r="L171" s="78">
        <f>'Cuota Artesanal'!I19</f>
        <v>334.36699999999985</v>
      </c>
      <c r="M171" s="221">
        <f>'Cuota Artesanal'!J19</f>
        <v>0</v>
      </c>
      <c r="N171" s="82">
        <f>'Cuota Artesanal'!Q19</f>
        <v>44063</v>
      </c>
      <c r="O171" s="83">
        <f>Resumen!$B$3</f>
        <v>44096</v>
      </c>
      <c r="P171" s="39">
        <f t="shared" si="4"/>
        <v>2020</v>
      </c>
      <c r="Q171" s="39"/>
    </row>
    <row r="172" spans="1:17">
      <c r="A172" s="40" t="s">
        <v>118</v>
      </c>
      <c r="B172" s="39" t="s">
        <v>109</v>
      </c>
      <c r="C172" s="39" t="s">
        <v>124</v>
      </c>
      <c r="D172" s="39" t="s">
        <v>136</v>
      </c>
      <c r="E172" s="39" t="str">
        <f>+'Cuota Artesanal'!C$18</f>
        <v xml:space="preserve"> AG. PAR Y BUZOS DE COQUIMBO AG 55-04</v>
      </c>
      <c r="F172" s="39" t="s">
        <v>111</v>
      </c>
      <c r="G172" s="39" t="s">
        <v>114</v>
      </c>
      <c r="H172" s="78">
        <f>'Cuota Artesanal'!K18</f>
        <v>1323.78</v>
      </c>
      <c r="I172" s="78">
        <f>'Cuota Artesanal'!L18</f>
        <v>-805.87300000000005</v>
      </c>
      <c r="J172" s="78">
        <f>'Cuota Artesanal'!M18</f>
        <v>517.90699999999993</v>
      </c>
      <c r="K172" s="78">
        <f>'Cuota Artesanal'!N18</f>
        <v>183.54</v>
      </c>
      <c r="L172" s="78">
        <f>'Cuota Artesanal'!O18</f>
        <v>334.36699999999996</v>
      </c>
      <c r="M172" s="221">
        <f>'Cuota Artesanal'!P18</f>
        <v>0.35438794996012801</v>
      </c>
      <c r="N172" s="82" t="s">
        <v>135</v>
      </c>
      <c r="O172" s="83">
        <f>Resumen!$B$3</f>
        <v>44096</v>
      </c>
      <c r="P172" s="39">
        <f t="shared" si="4"/>
        <v>2020</v>
      </c>
      <c r="Q172" s="39"/>
    </row>
    <row r="173" spans="1:17">
      <c r="A173" s="40" t="s">
        <v>118</v>
      </c>
      <c r="B173" s="39" t="s">
        <v>109</v>
      </c>
      <c r="C173" s="39" t="s">
        <v>124</v>
      </c>
      <c r="D173" s="39" t="s">
        <v>136</v>
      </c>
      <c r="E173" s="39" t="str">
        <f>+'Cuota Artesanal'!C$20</f>
        <v>CERCOPESCA. ROL 4276</v>
      </c>
      <c r="F173" s="39" t="s">
        <v>111</v>
      </c>
      <c r="G173" s="39" t="s">
        <v>112</v>
      </c>
      <c r="H173" s="78">
        <f>'Cuota Artesanal'!E20</f>
        <v>6156.5389999999998</v>
      </c>
      <c r="I173" s="78">
        <f>'Cuota Artesanal'!F20</f>
        <v>1486.973</v>
      </c>
      <c r="J173" s="78">
        <f>'Cuota Artesanal'!G20</f>
        <v>7643.5119999999997</v>
      </c>
      <c r="K173" s="78">
        <f>'Cuota Artesanal'!H20</f>
        <v>6904.07</v>
      </c>
      <c r="L173" s="78">
        <f>'Cuota Artesanal'!I20</f>
        <v>739.44200000000001</v>
      </c>
      <c r="M173" s="221">
        <f>'Cuota Artesanal'!J20</f>
        <v>0.90325886843639414</v>
      </c>
      <c r="N173" s="82" t="str">
        <f>'Cuota Artesanal'!Q20</f>
        <v>-</v>
      </c>
      <c r="O173" s="83">
        <f>Resumen!$B$3</f>
        <v>44096</v>
      </c>
      <c r="P173" s="39">
        <f t="shared" si="4"/>
        <v>2020</v>
      </c>
      <c r="Q173" s="39"/>
    </row>
    <row r="174" spans="1:17">
      <c r="A174" s="40" t="s">
        <v>118</v>
      </c>
      <c r="B174" s="39" t="s">
        <v>109</v>
      </c>
      <c r="C174" s="39" t="s">
        <v>124</v>
      </c>
      <c r="D174" s="39" t="s">
        <v>136</v>
      </c>
      <c r="E174" s="39" t="str">
        <f>+'Cuota Artesanal'!C$20</f>
        <v>CERCOPESCA. ROL 4276</v>
      </c>
      <c r="F174" s="39" t="s">
        <v>113</v>
      </c>
      <c r="G174" s="39" t="s">
        <v>114</v>
      </c>
      <c r="H174" s="78">
        <f>'Cuota Artesanal'!E21</f>
        <v>324.02800000000002</v>
      </c>
      <c r="I174" s="78">
        <f>'Cuota Artesanal'!F21</f>
        <v>0</v>
      </c>
      <c r="J174" s="78">
        <f>'Cuota Artesanal'!G21</f>
        <v>1063.47</v>
      </c>
      <c r="K174" s="78">
        <f>'Cuota Artesanal'!H21</f>
        <v>0</v>
      </c>
      <c r="L174" s="78">
        <f>'Cuota Artesanal'!I21</f>
        <v>1063.47</v>
      </c>
      <c r="M174" s="221">
        <f>'Cuota Artesanal'!J21</f>
        <v>0</v>
      </c>
      <c r="N174" s="82" t="str">
        <f>'Cuota Artesanal'!Q21</f>
        <v>-</v>
      </c>
      <c r="O174" s="83">
        <f>Resumen!$B$3</f>
        <v>44096</v>
      </c>
      <c r="P174" s="39">
        <f t="shared" si="4"/>
        <v>2020</v>
      </c>
      <c r="Q174" s="39"/>
    </row>
    <row r="175" spans="1:17">
      <c r="A175" s="40" t="s">
        <v>118</v>
      </c>
      <c r="B175" s="39" t="s">
        <v>109</v>
      </c>
      <c r="C175" s="39" t="s">
        <v>124</v>
      </c>
      <c r="D175" s="39" t="s">
        <v>136</v>
      </c>
      <c r="E175" s="39" t="str">
        <f>+'Cuota Artesanal'!C$20</f>
        <v>CERCOPESCA. ROL 4276</v>
      </c>
      <c r="F175" s="39" t="s">
        <v>111</v>
      </c>
      <c r="G175" s="39" t="s">
        <v>114</v>
      </c>
      <c r="H175" s="78">
        <f>'Cuota Artesanal'!K20</f>
        <v>6480.567</v>
      </c>
      <c r="I175" s="78">
        <f>'Cuota Artesanal'!L20</f>
        <v>1486.973</v>
      </c>
      <c r="J175" s="78">
        <f>'Cuota Artesanal'!M20</f>
        <v>7967.54</v>
      </c>
      <c r="K175" s="78">
        <f>'Cuota Artesanal'!N20</f>
        <v>6904.07</v>
      </c>
      <c r="L175" s="78">
        <f>'Cuota Artesanal'!O20</f>
        <v>1063.4700000000003</v>
      </c>
      <c r="M175" s="221">
        <f>'Cuota Artesanal'!P20</f>
        <v>0.86652467386420395</v>
      </c>
      <c r="N175" s="82" t="s">
        <v>135</v>
      </c>
      <c r="O175" s="83">
        <f>Resumen!$B$3</f>
        <v>44096</v>
      </c>
      <c r="P175" s="39">
        <f t="shared" si="4"/>
        <v>2020</v>
      </c>
      <c r="Q175" s="39"/>
    </row>
    <row r="176" spans="1:17">
      <c r="A176" s="40" t="s">
        <v>118</v>
      </c>
      <c r="B176" s="39" t="s">
        <v>109</v>
      </c>
      <c r="C176" s="39" t="s">
        <v>124</v>
      </c>
      <c r="D176" s="39" t="s">
        <v>131</v>
      </c>
      <c r="E176" s="39" t="str">
        <f>+'Cuota Artesanal'!C$22</f>
        <v xml:space="preserve"> BOLSON RESIDUAL</v>
      </c>
      <c r="F176" s="39" t="s">
        <v>111</v>
      </c>
      <c r="G176" s="39" t="s">
        <v>112</v>
      </c>
      <c r="H176" s="78">
        <f>'Cuota Artesanal'!E22</f>
        <v>1609.107</v>
      </c>
      <c r="I176" s="78">
        <f>'Cuota Artesanal'!F22</f>
        <v>0</v>
      </c>
      <c r="J176" s="78">
        <f>'Cuota Artesanal'!G22</f>
        <v>1609.107</v>
      </c>
      <c r="K176" s="78">
        <f>'Cuota Artesanal'!H22</f>
        <v>831.77</v>
      </c>
      <c r="L176" s="78">
        <f>'Cuota Artesanal'!I22</f>
        <v>777.33699999999999</v>
      </c>
      <c r="M176" s="221">
        <f>'Cuota Artesanal'!J22</f>
        <v>0.51691403989914908</v>
      </c>
      <c r="N176" s="82" t="str">
        <f>'Cuota Artesanal'!Q22</f>
        <v>-</v>
      </c>
      <c r="O176" s="83">
        <f>Resumen!$B$3</f>
        <v>44096</v>
      </c>
      <c r="P176" s="39">
        <f t="shared" si="4"/>
        <v>2020</v>
      </c>
      <c r="Q176" s="39"/>
    </row>
    <row r="177" spans="1:17">
      <c r="A177" s="40" t="s">
        <v>118</v>
      </c>
      <c r="B177" s="39" t="s">
        <v>109</v>
      </c>
      <c r="C177" s="39" t="s">
        <v>124</v>
      </c>
      <c r="D177" s="39" t="s">
        <v>131</v>
      </c>
      <c r="E177" s="39" t="str">
        <f>+'Cuota Artesanal'!C$22</f>
        <v xml:space="preserve"> BOLSON RESIDUAL</v>
      </c>
      <c r="F177" s="39" t="s">
        <v>113</v>
      </c>
      <c r="G177" s="39" t="s">
        <v>114</v>
      </c>
      <c r="H177" s="78">
        <f>'Cuota Artesanal'!E23</f>
        <v>84.69</v>
      </c>
      <c r="I177" s="78">
        <f>'Cuota Artesanal'!F23</f>
        <v>0</v>
      </c>
      <c r="J177" s="78">
        <f>'Cuota Artesanal'!G23</f>
        <v>862.02700000000004</v>
      </c>
      <c r="K177" s="78">
        <f>'Cuota Artesanal'!H23</f>
        <v>0</v>
      </c>
      <c r="L177" s="78">
        <f>'Cuota Artesanal'!I23</f>
        <v>862.02700000000004</v>
      </c>
      <c r="M177" s="221">
        <f>'Cuota Artesanal'!J23</f>
        <v>0</v>
      </c>
      <c r="N177" s="82" t="str">
        <f>'Cuota Artesanal'!Q23</f>
        <v>-</v>
      </c>
      <c r="O177" s="83">
        <f>Resumen!$B$3</f>
        <v>44096</v>
      </c>
      <c r="P177" s="39">
        <f t="shared" ref="P177:P240" si="6">YEAR(O177)</f>
        <v>2020</v>
      </c>
      <c r="Q177" s="39"/>
    </row>
    <row r="178" spans="1:17">
      <c r="A178" s="40" t="s">
        <v>118</v>
      </c>
      <c r="B178" s="39" t="s">
        <v>109</v>
      </c>
      <c r="C178" s="39" t="s">
        <v>124</v>
      </c>
      <c r="D178" s="39" t="s">
        <v>131</v>
      </c>
      <c r="E178" s="39" t="str">
        <f>+'Cuota Artesanal'!C$22</f>
        <v xml:space="preserve"> BOLSON RESIDUAL</v>
      </c>
      <c r="F178" s="39" t="s">
        <v>111</v>
      </c>
      <c r="G178" s="39" t="s">
        <v>114</v>
      </c>
      <c r="H178" s="78">
        <f>'Cuota Artesanal'!K22</f>
        <v>1693.797</v>
      </c>
      <c r="I178" s="78">
        <f>'Cuota Artesanal'!L22</f>
        <v>0</v>
      </c>
      <c r="J178" s="78">
        <f>'Cuota Artesanal'!M22</f>
        <v>1693.797</v>
      </c>
      <c r="K178" s="78">
        <f>'Cuota Artesanal'!N22</f>
        <v>831.77</v>
      </c>
      <c r="L178" s="78">
        <f>'Cuota Artesanal'!O22</f>
        <v>862.02700000000004</v>
      </c>
      <c r="M178" s="221">
        <f>'Cuota Artesanal'!P22</f>
        <v>0.49106829212709668</v>
      </c>
      <c r="N178" s="82" t="s">
        <v>135</v>
      </c>
      <c r="O178" s="83">
        <f>Resumen!$B$3</f>
        <v>44096</v>
      </c>
      <c r="P178" s="39">
        <f t="shared" si="6"/>
        <v>2020</v>
      </c>
      <c r="Q178" s="39"/>
    </row>
    <row r="179" spans="1:17">
      <c r="A179" s="40" t="s">
        <v>121</v>
      </c>
      <c r="B179" s="39" t="s">
        <v>109</v>
      </c>
      <c r="C179" s="39" t="s">
        <v>125</v>
      </c>
      <c r="D179" s="39" t="s">
        <v>136</v>
      </c>
      <c r="E179" s="39" t="str">
        <f>+'Cuota Artesanal'!C$25</f>
        <v>AG DEL PUERTO DE SAN ANTONIO. RAG 2510</v>
      </c>
      <c r="F179" s="39" t="s">
        <v>111</v>
      </c>
      <c r="G179" s="39" t="s">
        <v>112</v>
      </c>
      <c r="H179" s="78">
        <f>'Cuota Artesanal'!E25</f>
        <v>3602.5450000000001</v>
      </c>
      <c r="I179" s="78">
        <f>'Cuota Artesanal'!F25</f>
        <v>-3380</v>
      </c>
      <c r="J179" s="78">
        <f>'Cuota Artesanal'!G25</f>
        <v>222.54500000000007</v>
      </c>
      <c r="K179" s="78">
        <f>'Cuota Artesanal'!H25</f>
        <v>58.891000000000005</v>
      </c>
      <c r="L179" s="78">
        <f>'Cuota Artesanal'!I25</f>
        <v>163.65400000000005</v>
      </c>
      <c r="M179" s="221">
        <f>'Cuota Artesanal'!J25</f>
        <v>0.26462513199577609</v>
      </c>
      <c r="N179" s="226" t="str">
        <f>'Cuota Artesanal'!Q25</f>
        <v>-</v>
      </c>
      <c r="O179" s="83">
        <f>Resumen!$B$3</f>
        <v>44096</v>
      </c>
      <c r="P179" s="39">
        <f t="shared" si="6"/>
        <v>2020</v>
      </c>
      <c r="Q179" s="39"/>
    </row>
    <row r="180" spans="1:17">
      <c r="A180" s="40" t="s">
        <v>121</v>
      </c>
      <c r="B180" s="39" t="s">
        <v>109</v>
      </c>
      <c r="C180" s="39" t="s">
        <v>125</v>
      </c>
      <c r="D180" s="39" t="s">
        <v>136</v>
      </c>
      <c r="E180" s="39" t="str">
        <f>+'Cuota Artesanal'!C$25</f>
        <v>AG DEL PUERTO DE SAN ANTONIO. RAG 2510</v>
      </c>
      <c r="F180" s="39" t="s">
        <v>113</v>
      </c>
      <c r="G180" s="39" t="s">
        <v>114</v>
      </c>
      <c r="H180" s="78">
        <f>'Cuota Artesanal'!E26</f>
        <v>63.292000000000002</v>
      </c>
      <c r="I180" s="78">
        <f>'Cuota Artesanal'!F26</f>
        <v>0</v>
      </c>
      <c r="J180" s="78">
        <f>'Cuota Artesanal'!G26</f>
        <v>226.94600000000005</v>
      </c>
      <c r="K180" s="78">
        <f>'Cuota Artesanal'!H26</f>
        <v>0</v>
      </c>
      <c r="L180" s="78">
        <f>'Cuota Artesanal'!I26</f>
        <v>226.94600000000005</v>
      </c>
      <c r="M180" s="221">
        <f>'Cuota Artesanal'!J26</f>
        <v>0</v>
      </c>
      <c r="N180" s="226" t="str">
        <f>'Cuota Artesanal'!Q26</f>
        <v>-</v>
      </c>
      <c r="O180" s="83">
        <f>Resumen!$B$3</f>
        <v>44096</v>
      </c>
      <c r="P180" s="39">
        <f t="shared" si="6"/>
        <v>2020</v>
      </c>
      <c r="Q180" s="39"/>
    </row>
    <row r="181" spans="1:17">
      <c r="A181" s="40" t="s">
        <v>121</v>
      </c>
      <c r="B181" s="39" t="s">
        <v>109</v>
      </c>
      <c r="C181" s="39" t="s">
        <v>125</v>
      </c>
      <c r="D181" s="39" t="s">
        <v>136</v>
      </c>
      <c r="E181" s="39" t="str">
        <f>+'Cuota Artesanal'!C$25</f>
        <v>AG DEL PUERTO DE SAN ANTONIO. RAG 2510</v>
      </c>
      <c r="F181" s="39" t="s">
        <v>111</v>
      </c>
      <c r="G181" s="39" t="s">
        <v>114</v>
      </c>
      <c r="H181" s="78">
        <f>'Cuota Artesanal'!K25</f>
        <v>3665.837</v>
      </c>
      <c r="I181" s="78">
        <f>'Cuota Artesanal'!L25</f>
        <v>-3380</v>
      </c>
      <c r="J181" s="78">
        <f>'Cuota Artesanal'!M25</f>
        <v>285.83699999999999</v>
      </c>
      <c r="K181" s="78">
        <f>'Cuota Artesanal'!N25</f>
        <v>58.891000000000005</v>
      </c>
      <c r="L181" s="78">
        <f>'Cuota Artesanal'!O25</f>
        <v>226.94599999999997</v>
      </c>
      <c r="M181" s="221">
        <f>'Cuota Artesanal'!P25</f>
        <v>0.2060300101106575</v>
      </c>
      <c r="N181" s="82" t="s">
        <v>135</v>
      </c>
      <c r="O181" s="83">
        <f>Resumen!$B$3</f>
        <v>44096</v>
      </c>
      <c r="P181" s="39">
        <f t="shared" si="6"/>
        <v>2020</v>
      </c>
      <c r="Q181" s="39"/>
    </row>
    <row r="182" spans="1:17">
      <c r="A182" s="40" t="s">
        <v>121</v>
      </c>
      <c r="B182" s="39" t="s">
        <v>109</v>
      </c>
      <c r="C182" s="39" t="s">
        <v>125</v>
      </c>
      <c r="D182" s="39" t="s">
        <v>136</v>
      </c>
      <c r="E182" s="39" t="str">
        <f>+'Cuota Artesanal'!C$27</f>
        <v>AG AGRAPES A.G 4399</v>
      </c>
      <c r="F182" s="39" t="s">
        <v>111</v>
      </c>
      <c r="G182" s="39" t="s">
        <v>112</v>
      </c>
      <c r="H182" s="78">
        <f>'Cuota Artesanal'!E27</f>
        <v>58.246000000000002</v>
      </c>
      <c r="I182" s="78">
        <f>'Cuota Artesanal'!F27</f>
        <v>-61</v>
      </c>
      <c r="J182" s="78">
        <f>'Cuota Artesanal'!G27</f>
        <v>-2.7539999999999978</v>
      </c>
      <c r="K182" s="78">
        <f>'Cuota Artesanal'!H27</f>
        <v>0</v>
      </c>
      <c r="L182" s="78">
        <f>'Cuota Artesanal'!I27</f>
        <v>-2.7539999999999978</v>
      </c>
      <c r="M182" s="221">
        <f>'Cuota Artesanal'!J27</f>
        <v>0</v>
      </c>
      <c r="N182" s="82">
        <f>+'Cuota Artesanal'!Q27</f>
        <v>43936</v>
      </c>
      <c r="O182" s="83">
        <f>Resumen!$B$3</f>
        <v>44096</v>
      </c>
      <c r="P182" s="39">
        <f t="shared" si="6"/>
        <v>2020</v>
      </c>
      <c r="Q182" s="39"/>
    </row>
    <row r="183" spans="1:17">
      <c r="A183" s="40" t="s">
        <v>121</v>
      </c>
      <c r="B183" s="39" t="s">
        <v>109</v>
      </c>
      <c r="C183" s="39" t="s">
        <v>125</v>
      </c>
      <c r="D183" s="39" t="s">
        <v>136</v>
      </c>
      <c r="E183" s="39" t="str">
        <f>+'Cuota Artesanal'!C$27</f>
        <v>AG AGRAPES A.G 4399</v>
      </c>
      <c r="F183" s="39" t="s">
        <v>113</v>
      </c>
      <c r="G183" s="39" t="s">
        <v>114</v>
      </c>
      <c r="H183" s="78">
        <f>'Cuota Artesanal'!E28</f>
        <v>3.0659999999999998</v>
      </c>
      <c r="I183" s="78">
        <f>'Cuota Artesanal'!F28</f>
        <v>0</v>
      </c>
      <c r="J183" s="78">
        <f>'Cuota Artesanal'!G28</f>
        <v>0.31200000000000205</v>
      </c>
      <c r="K183" s="78">
        <f>'Cuota Artesanal'!H28</f>
        <v>0</v>
      </c>
      <c r="L183" s="78">
        <f>'Cuota Artesanal'!I28</f>
        <v>0.31200000000000205</v>
      </c>
      <c r="M183" s="221">
        <f>'Cuota Artesanal'!J28</f>
        <v>0</v>
      </c>
      <c r="N183" s="82" t="str">
        <f>+'Cuota Artesanal'!Q28</f>
        <v>-</v>
      </c>
      <c r="O183" s="83">
        <f>Resumen!$B$3</f>
        <v>44096</v>
      </c>
      <c r="P183" s="39">
        <f t="shared" si="6"/>
        <v>2020</v>
      </c>
      <c r="Q183" s="39"/>
    </row>
    <row r="184" spans="1:17">
      <c r="A184" s="40" t="s">
        <v>121</v>
      </c>
      <c r="B184" s="39" t="s">
        <v>109</v>
      </c>
      <c r="C184" s="39" t="s">
        <v>125</v>
      </c>
      <c r="D184" s="39" t="s">
        <v>136</v>
      </c>
      <c r="E184" s="39" t="str">
        <f>+'Cuota Artesanal'!C$27</f>
        <v>AG AGRAPES A.G 4399</v>
      </c>
      <c r="F184" s="39" t="s">
        <v>111</v>
      </c>
      <c r="G184" s="39" t="s">
        <v>114</v>
      </c>
      <c r="H184" s="78">
        <f>'Cuota Artesanal'!K27</f>
        <v>61.312000000000005</v>
      </c>
      <c r="I184" s="78">
        <f>'Cuota Artesanal'!M27</f>
        <v>0.31200000000000472</v>
      </c>
      <c r="J184" s="78">
        <f>'Cuota Artesanal'!M27</f>
        <v>0.31200000000000472</v>
      </c>
      <c r="K184" s="78">
        <f>'Cuota Artesanal'!N27</f>
        <v>0</v>
      </c>
      <c r="L184" s="78">
        <f>'Cuota Artesanal'!O27</f>
        <v>0.31200000000000472</v>
      </c>
      <c r="M184" s="221">
        <f>'Cuota Artesanal'!P27</f>
        <v>0</v>
      </c>
      <c r="N184" s="82" t="s">
        <v>135</v>
      </c>
      <c r="O184" s="83">
        <f>Resumen!$B$3</f>
        <v>44096</v>
      </c>
      <c r="P184" s="39">
        <f t="shared" si="6"/>
        <v>2020</v>
      </c>
      <c r="Q184" s="39"/>
    </row>
    <row r="185" spans="1:17">
      <c r="A185" s="40" t="s">
        <v>121</v>
      </c>
      <c r="B185" s="39" t="s">
        <v>109</v>
      </c>
      <c r="C185" s="39" t="s">
        <v>125</v>
      </c>
      <c r="D185" s="39" t="s">
        <v>136</v>
      </c>
      <c r="E185" s="39" t="str">
        <f>+'Cuota Artesanal'!C$29</f>
        <v>STI MUELLE SUD AMERICANA. RSU 5010462</v>
      </c>
      <c r="F185" s="39" t="s">
        <v>111</v>
      </c>
      <c r="G185" s="39" t="s">
        <v>112</v>
      </c>
      <c r="H185" s="78">
        <f>+'Cuota Artesanal'!E29</f>
        <v>70.626999999999995</v>
      </c>
      <c r="I185" s="78">
        <f>+'Cuota Artesanal'!F29</f>
        <v>0</v>
      </c>
      <c r="J185" s="78">
        <f>+'Cuota Artesanal'!G29</f>
        <v>70.626999999999995</v>
      </c>
      <c r="K185" s="78">
        <f>+'Cuota Artesanal'!H29</f>
        <v>12.435</v>
      </c>
      <c r="L185" s="78">
        <f>+'Cuota Artesanal'!I29</f>
        <v>58.191999999999993</v>
      </c>
      <c r="M185" s="221">
        <f>+'Cuota Artesanal'!J29</f>
        <v>0.17606581052571965</v>
      </c>
      <c r="N185" s="82" t="str">
        <f>+'Cuota Artesanal'!Q29</f>
        <v>-</v>
      </c>
      <c r="O185" s="83">
        <f>Resumen!$B$3</f>
        <v>44096</v>
      </c>
      <c r="P185" s="39">
        <f t="shared" si="6"/>
        <v>2020</v>
      </c>
      <c r="Q185" s="39"/>
    </row>
    <row r="186" spans="1:17">
      <c r="A186" s="40" t="s">
        <v>121</v>
      </c>
      <c r="B186" s="39" t="s">
        <v>109</v>
      </c>
      <c r="C186" s="39" t="s">
        <v>125</v>
      </c>
      <c r="D186" s="39" t="s">
        <v>136</v>
      </c>
      <c r="E186" s="39" t="str">
        <f>+'Cuota Artesanal'!C$29</f>
        <v>STI MUELLE SUD AMERICANA. RSU 5010462</v>
      </c>
      <c r="F186" s="39" t="s">
        <v>113</v>
      </c>
      <c r="G186" s="39" t="s">
        <v>114</v>
      </c>
      <c r="H186" s="78">
        <f>+'Cuota Artesanal'!E30</f>
        <v>3.7170000000000001</v>
      </c>
      <c r="I186" s="78">
        <f>+'Cuota Artesanal'!F30</f>
        <v>0</v>
      </c>
      <c r="J186" s="78">
        <f>+'Cuota Artesanal'!G30</f>
        <v>61.908999999999992</v>
      </c>
      <c r="K186" s="78">
        <f>+'Cuota Artesanal'!H30</f>
        <v>0</v>
      </c>
      <c r="L186" s="78">
        <f>+'Cuota Artesanal'!I30</f>
        <v>61.908999999999992</v>
      </c>
      <c r="M186" s="221">
        <f>+'Cuota Artesanal'!J30</f>
        <v>0</v>
      </c>
      <c r="N186" s="82" t="str">
        <f>'Cuota Artesanal'!Q30</f>
        <v>-</v>
      </c>
      <c r="O186" s="83">
        <f>Resumen!$B$3</f>
        <v>44096</v>
      </c>
      <c r="P186" s="39">
        <f t="shared" si="6"/>
        <v>2020</v>
      </c>
      <c r="Q186" s="39"/>
    </row>
    <row r="187" spans="1:17">
      <c r="A187" s="40" t="s">
        <v>121</v>
      </c>
      <c r="B187" s="39" t="s">
        <v>109</v>
      </c>
      <c r="C187" s="39" t="s">
        <v>125</v>
      </c>
      <c r="D187" s="39" t="s">
        <v>136</v>
      </c>
      <c r="E187" s="39" t="str">
        <f>+'Cuota Artesanal'!C$29</f>
        <v>STI MUELLE SUD AMERICANA. RSU 5010462</v>
      </c>
      <c r="F187" s="39" t="s">
        <v>111</v>
      </c>
      <c r="G187" s="39" t="s">
        <v>114</v>
      </c>
      <c r="H187" s="78">
        <f>'Cuota Artesanal'!K29</f>
        <v>74.343999999999994</v>
      </c>
      <c r="I187" s="78">
        <f>'Cuota Artesanal'!L29</f>
        <v>0</v>
      </c>
      <c r="J187" s="78">
        <f>'Cuota Artesanal'!M29</f>
        <v>74.343999999999994</v>
      </c>
      <c r="K187" s="78">
        <f>'Cuota Artesanal'!N29</f>
        <v>12.435</v>
      </c>
      <c r="L187" s="78">
        <f>'Cuota Artesanal'!O29</f>
        <v>61.908999999999992</v>
      </c>
      <c r="M187" s="221">
        <f>'Cuota Artesanal'!P29</f>
        <v>0.16726299365113528</v>
      </c>
      <c r="N187" s="151" t="s">
        <v>135</v>
      </c>
      <c r="O187" s="83">
        <f>Resumen!$B$3</f>
        <v>44096</v>
      </c>
      <c r="P187" s="39">
        <f t="shared" si="6"/>
        <v>2020</v>
      </c>
      <c r="Q187" s="39"/>
    </row>
    <row r="188" spans="1:17">
      <c r="A188" s="40" t="s">
        <v>121</v>
      </c>
      <c r="B188" s="39" t="s">
        <v>109</v>
      </c>
      <c r="C188" s="39" t="s">
        <v>125</v>
      </c>
      <c r="D188" s="39" t="s">
        <v>136</v>
      </c>
      <c r="E188" s="39" t="str">
        <f>+'Cuota Artesanal'!C$31</f>
        <v>STI CALETA EMBARCADERO DE QUINTERO. RSU 05.06.0125</v>
      </c>
      <c r="F188" s="39" t="s">
        <v>111</v>
      </c>
      <c r="G188" s="39" t="s">
        <v>112</v>
      </c>
      <c r="H188" s="78">
        <f>+'Cuota Artesanal'!E31</f>
        <v>86.988</v>
      </c>
      <c r="I188" s="78">
        <f>+'Cuota Artesanal'!F31</f>
        <v>0</v>
      </c>
      <c r="J188" s="78">
        <f>+'Cuota Artesanal'!G31</f>
        <v>86.988</v>
      </c>
      <c r="K188" s="78">
        <f>+'Cuota Artesanal'!H31</f>
        <v>0</v>
      </c>
      <c r="L188" s="78">
        <f>+'Cuota Artesanal'!I31</f>
        <v>86.988</v>
      </c>
      <c r="M188" s="221">
        <f>+'Cuota Artesanal'!J31</f>
        <v>0</v>
      </c>
      <c r="N188" s="82" t="str">
        <f>+'Cuota Artesanal'!Q31</f>
        <v>-</v>
      </c>
      <c r="O188" s="83">
        <f>Resumen!$B$3</f>
        <v>44096</v>
      </c>
      <c r="P188" s="39">
        <f t="shared" si="6"/>
        <v>2020</v>
      </c>
      <c r="Q188" s="39"/>
    </row>
    <row r="189" spans="1:17">
      <c r="A189" s="40" t="s">
        <v>121</v>
      </c>
      <c r="B189" s="39" t="s">
        <v>109</v>
      </c>
      <c r="C189" s="39" t="s">
        <v>125</v>
      </c>
      <c r="D189" s="39" t="s">
        <v>136</v>
      </c>
      <c r="E189" s="39" t="str">
        <f>+'Cuota Artesanal'!C$31</f>
        <v>STI CALETA EMBARCADERO DE QUINTERO. RSU 05.06.0125</v>
      </c>
      <c r="F189" s="39" t="s">
        <v>113</v>
      </c>
      <c r="G189" s="39" t="s">
        <v>114</v>
      </c>
      <c r="H189" s="78">
        <f>+'Cuota Artesanal'!E32</f>
        <v>4.5780000000000003</v>
      </c>
      <c r="I189" s="78">
        <f>+'Cuota Artesanal'!F32</f>
        <v>0</v>
      </c>
      <c r="J189" s="78">
        <f>+'Cuota Artesanal'!G32</f>
        <v>91.566000000000003</v>
      </c>
      <c r="K189" s="78">
        <f>+'Cuota Artesanal'!H32</f>
        <v>0</v>
      </c>
      <c r="L189" s="78">
        <f>+'Cuota Artesanal'!I32</f>
        <v>91.566000000000003</v>
      </c>
      <c r="M189" s="221">
        <f>+'Cuota Artesanal'!J32</f>
        <v>0</v>
      </c>
      <c r="N189" s="82" t="str">
        <f>+'Cuota Artesanal'!Q32</f>
        <v>-</v>
      </c>
      <c r="O189" s="83">
        <f>Resumen!$B$3</f>
        <v>44096</v>
      </c>
      <c r="P189" s="39">
        <f t="shared" si="6"/>
        <v>2020</v>
      </c>
      <c r="Q189" s="39"/>
    </row>
    <row r="190" spans="1:17">
      <c r="A190" s="40" t="s">
        <v>121</v>
      </c>
      <c r="B190" s="39" t="s">
        <v>109</v>
      </c>
      <c r="C190" s="39" t="s">
        <v>125</v>
      </c>
      <c r="D190" s="39" t="s">
        <v>136</v>
      </c>
      <c r="E190" s="39" t="str">
        <f>+'Cuota Artesanal'!C$31</f>
        <v>STI CALETA EMBARCADERO DE QUINTERO. RSU 05.06.0125</v>
      </c>
      <c r="F190" s="39" t="s">
        <v>111</v>
      </c>
      <c r="G190" s="39" t="s">
        <v>114</v>
      </c>
      <c r="H190" s="78">
        <f>+'Cuota Artesanal'!K31</f>
        <v>91.566000000000003</v>
      </c>
      <c r="I190" s="78">
        <f>+'Cuota Artesanal'!L31</f>
        <v>0</v>
      </c>
      <c r="J190" s="78">
        <f>+'Cuota Artesanal'!M31</f>
        <v>91.566000000000003</v>
      </c>
      <c r="K190" s="78">
        <f>+'Cuota Artesanal'!N31</f>
        <v>0</v>
      </c>
      <c r="L190" s="78">
        <f>+'Cuota Artesanal'!O31</f>
        <v>91.566000000000003</v>
      </c>
      <c r="M190" s="221">
        <f>+'Cuota Artesanal'!P31</f>
        <v>0</v>
      </c>
      <c r="N190" s="151" t="s">
        <v>135</v>
      </c>
      <c r="O190" s="83">
        <f>Resumen!$B$3</f>
        <v>44096</v>
      </c>
      <c r="P190" s="39">
        <f t="shared" si="6"/>
        <v>2020</v>
      </c>
      <c r="Q190" s="39"/>
    </row>
    <row r="191" spans="1:17">
      <c r="A191" s="40" t="s">
        <v>121</v>
      </c>
      <c r="B191" s="39" t="s">
        <v>109</v>
      </c>
      <c r="C191" s="39" t="s">
        <v>125</v>
      </c>
      <c r="D191" s="39" t="s">
        <v>131</v>
      </c>
      <c r="E191" s="39" t="s">
        <v>131</v>
      </c>
      <c r="F191" s="39" t="s">
        <v>111</v>
      </c>
      <c r="G191" s="39" t="s">
        <v>112</v>
      </c>
      <c r="H191" s="78">
        <f>'Cuota Artesanal'!E33</f>
        <v>320.52600000000001</v>
      </c>
      <c r="I191" s="78">
        <f>'Cuota Artesanal'!F33</f>
        <v>0</v>
      </c>
      <c r="J191" s="78">
        <f>'Cuota Artesanal'!G33</f>
        <v>320.52600000000001</v>
      </c>
      <c r="K191" s="78">
        <f>'Cuota Artesanal'!H33</f>
        <v>245.67599999999999</v>
      </c>
      <c r="L191" s="78">
        <f>'Cuota Artesanal'!I33</f>
        <v>74.850000000000023</v>
      </c>
      <c r="M191" s="221">
        <f>'Cuota Artesanal'!J33</f>
        <v>0.76647760244098762</v>
      </c>
      <c r="N191" s="82" t="str">
        <f>'Cuota Artesanal'!Q33</f>
        <v>-</v>
      </c>
      <c r="O191" s="83">
        <f>Resumen!$B$3</f>
        <v>44096</v>
      </c>
      <c r="P191" s="39">
        <f t="shared" si="6"/>
        <v>2020</v>
      </c>
      <c r="Q191" s="39"/>
    </row>
    <row r="192" spans="1:17">
      <c r="A192" s="40" t="s">
        <v>121</v>
      </c>
      <c r="B192" s="39" t="s">
        <v>109</v>
      </c>
      <c r="C192" s="39" t="s">
        <v>125</v>
      </c>
      <c r="D192" s="39" t="s">
        <v>131</v>
      </c>
      <c r="E192" s="39" t="s">
        <v>131</v>
      </c>
      <c r="F192" s="39" t="s">
        <v>113</v>
      </c>
      <c r="G192" s="39" t="s">
        <v>114</v>
      </c>
      <c r="H192" s="78">
        <f>'Cuota Artesanal'!E34</f>
        <v>16.87</v>
      </c>
      <c r="I192" s="78">
        <f>'Cuota Artesanal'!F34</f>
        <v>0</v>
      </c>
      <c r="J192" s="78">
        <f>'Cuota Artesanal'!G34</f>
        <v>91.720000000000027</v>
      </c>
      <c r="K192" s="78">
        <f>'Cuota Artesanal'!H34</f>
        <v>0</v>
      </c>
      <c r="L192" s="78">
        <f>'Cuota Artesanal'!I34</f>
        <v>91.720000000000027</v>
      </c>
      <c r="M192" s="221">
        <f>'Cuota Artesanal'!J34</f>
        <v>0</v>
      </c>
      <c r="N192" s="82" t="str">
        <f>'Cuota Artesanal'!Q34</f>
        <v>-</v>
      </c>
      <c r="O192" s="83">
        <f>Resumen!$B$3</f>
        <v>44096</v>
      </c>
      <c r="P192" s="39">
        <f t="shared" si="6"/>
        <v>2020</v>
      </c>
      <c r="Q192" s="39"/>
    </row>
    <row r="193" spans="1:17">
      <c r="A193" s="40" t="s">
        <v>121</v>
      </c>
      <c r="B193" s="39" t="s">
        <v>109</v>
      </c>
      <c r="C193" s="39" t="s">
        <v>125</v>
      </c>
      <c r="D193" s="39" t="s">
        <v>131</v>
      </c>
      <c r="E193" s="39" t="s">
        <v>131</v>
      </c>
      <c r="F193" s="39" t="s">
        <v>111</v>
      </c>
      <c r="G193" s="39" t="s">
        <v>114</v>
      </c>
      <c r="H193" s="78">
        <f>'Cuota Artesanal'!K33</f>
        <v>337.39600000000002</v>
      </c>
      <c r="I193" s="78">
        <f>'Cuota Artesanal'!L33</f>
        <v>0</v>
      </c>
      <c r="J193" s="78">
        <f>'Cuota Artesanal'!M33</f>
        <v>337.39600000000002</v>
      </c>
      <c r="K193" s="78">
        <f>'Cuota Artesanal'!N33</f>
        <v>245.67599999999999</v>
      </c>
      <c r="L193" s="78">
        <f>'Cuota Artesanal'!O33</f>
        <v>91.720000000000027</v>
      </c>
      <c r="M193" s="221">
        <f>'Cuota Artesanal'!P33</f>
        <v>0.72815326796998181</v>
      </c>
      <c r="N193" s="82" t="s">
        <v>135</v>
      </c>
      <c r="O193" s="83">
        <f>Resumen!$B$3</f>
        <v>44096</v>
      </c>
      <c r="P193" s="39">
        <f t="shared" si="6"/>
        <v>2020</v>
      </c>
      <c r="Q193" s="39"/>
    </row>
    <row r="194" spans="1:17">
      <c r="A194" s="40" t="s">
        <v>121</v>
      </c>
      <c r="B194" s="39" t="s">
        <v>109</v>
      </c>
      <c r="C194" s="39" t="s">
        <v>126</v>
      </c>
      <c r="D194" s="39" t="s">
        <v>116</v>
      </c>
      <c r="E194" s="39" t="s">
        <v>127</v>
      </c>
      <c r="F194" s="39" t="s">
        <v>111</v>
      </c>
      <c r="G194" s="39" t="s">
        <v>112</v>
      </c>
      <c r="H194" s="78">
        <f>'Cuota Artesanal'!E36</f>
        <v>8.7330000000000005</v>
      </c>
      <c r="I194" s="78">
        <f>'Cuota Artesanal'!F36</f>
        <v>0</v>
      </c>
      <c r="J194" s="78">
        <f>'Cuota Artesanal'!G36</f>
        <v>8.7330000000000005</v>
      </c>
      <c r="K194" s="78">
        <f>'Cuota Artesanal'!H36</f>
        <v>6.0739999999999998</v>
      </c>
      <c r="L194" s="78">
        <f>'Cuota Artesanal'!I36</f>
        <v>2.6590000000000007</v>
      </c>
      <c r="M194" s="221">
        <f>'Cuota Artesanal'!J36</f>
        <v>0.69552272987518604</v>
      </c>
      <c r="N194" s="82" t="str">
        <f>'Cuota Artesanal'!Q36</f>
        <v>-</v>
      </c>
      <c r="O194" s="83">
        <f>Resumen!$B$3</f>
        <v>44096</v>
      </c>
      <c r="P194" s="39">
        <f t="shared" si="6"/>
        <v>2020</v>
      </c>
      <c r="Q194" s="39"/>
    </row>
    <row r="195" spans="1:17">
      <c r="A195" s="40" t="s">
        <v>121</v>
      </c>
      <c r="B195" s="39" t="s">
        <v>109</v>
      </c>
      <c r="C195" s="39" t="s">
        <v>126</v>
      </c>
      <c r="D195" s="39" t="s">
        <v>116</v>
      </c>
      <c r="E195" s="39" t="s">
        <v>127</v>
      </c>
      <c r="F195" s="39" t="s">
        <v>113</v>
      </c>
      <c r="G195" s="39" t="s">
        <v>114</v>
      </c>
      <c r="H195" s="78">
        <f>'Cuota Artesanal'!E37</f>
        <v>0.46</v>
      </c>
      <c r="I195" s="78">
        <f>'Cuota Artesanal'!F37</f>
        <v>0</v>
      </c>
      <c r="J195" s="78">
        <f>'Cuota Artesanal'!G37</f>
        <v>3.1190000000000007</v>
      </c>
      <c r="K195" s="78">
        <f>'Cuota Artesanal'!H37</f>
        <v>0</v>
      </c>
      <c r="L195" s="78">
        <f>'Cuota Artesanal'!I37</f>
        <v>3.1190000000000007</v>
      </c>
      <c r="M195" s="221">
        <f>'Cuota Artesanal'!J37</f>
        <v>0</v>
      </c>
      <c r="N195" s="82" t="str">
        <f>'Cuota Artesanal'!Q37</f>
        <v>-</v>
      </c>
      <c r="O195" s="83">
        <f>Resumen!$B$3</f>
        <v>44096</v>
      </c>
      <c r="P195" s="39">
        <f t="shared" si="6"/>
        <v>2020</v>
      </c>
      <c r="Q195" s="39"/>
    </row>
    <row r="196" spans="1:17">
      <c r="A196" s="40" t="s">
        <v>121</v>
      </c>
      <c r="B196" s="39" t="s">
        <v>109</v>
      </c>
      <c r="C196" s="39" t="s">
        <v>126</v>
      </c>
      <c r="D196" s="39" t="s">
        <v>116</v>
      </c>
      <c r="E196" s="39" t="s">
        <v>127</v>
      </c>
      <c r="F196" s="39" t="s">
        <v>111</v>
      </c>
      <c r="G196" s="39" t="s">
        <v>114</v>
      </c>
      <c r="H196" s="78">
        <f>'Cuota Artesanal'!K36</f>
        <v>9.1930000000000014</v>
      </c>
      <c r="I196" s="78">
        <f>'Cuota Artesanal'!L36</f>
        <v>0</v>
      </c>
      <c r="J196" s="78">
        <f>'Cuota Artesanal'!M36</f>
        <v>9.1930000000000014</v>
      </c>
      <c r="K196" s="78">
        <f>'Cuota Artesanal'!N36</f>
        <v>6.0739999999999998</v>
      </c>
      <c r="L196" s="78">
        <f>'Cuota Artesanal'!O36</f>
        <v>3.1190000000000015</v>
      </c>
      <c r="M196" s="221">
        <f>'Cuota Artesanal'!P36</f>
        <v>0.66072011312955503</v>
      </c>
      <c r="N196" s="82" t="s">
        <v>135</v>
      </c>
      <c r="O196" s="83">
        <f>Resumen!$B$3</f>
        <v>44096</v>
      </c>
      <c r="P196" s="39">
        <f t="shared" si="6"/>
        <v>2020</v>
      </c>
      <c r="Q196" s="39"/>
    </row>
    <row r="197" spans="1:17">
      <c r="A197" s="40" t="s">
        <v>121</v>
      </c>
      <c r="B197" s="39" t="s">
        <v>109</v>
      </c>
      <c r="C197" s="39" t="s">
        <v>83</v>
      </c>
      <c r="D197" s="39" t="s">
        <v>116</v>
      </c>
      <c r="E197" s="39" t="s">
        <v>128</v>
      </c>
      <c r="F197" s="39" t="s">
        <v>111</v>
      </c>
      <c r="G197" s="39" t="s">
        <v>112</v>
      </c>
      <c r="H197" s="78">
        <f>'Cuota Artesanal'!E39</f>
        <v>139.6</v>
      </c>
      <c r="I197" s="78">
        <f>'Cuota Artesanal'!F39</f>
        <v>0</v>
      </c>
      <c r="J197" s="78">
        <f>'Cuota Artesanal'!G39</f>
        <v>139.6</v>
      </c>
      <c r="K197" s="78">
        <f>'Cuota Artesanal'!H39</f>
        <v>107.878</v>
      </c>
      <c r="L197" s="78">
        <f>'Cuota Artesanal'!I39</f>
        <v>31.721999999999994</v>
      </c>
      <c r="M197" s="221">
        <f>'Cuota Artesanal'!J39</f>
        <v>0.77276504297994275</v>
      </c>
      <c r="N197" s="82" t="str">
        <f>'Cuota Artesanal'!Q39</f>
        <v>-</v>
      </c>
      <c r="O197" s="83">
        <f>Resumen!$B$3</f>
        <v>44096</v>
      </c>
      <c r="P197" s="39">
        <f t="shared" si="6"/>
        <v>2020</v>
      </c>
      <c r="Q197" s="39"/>
    </row>
    <row r="198" spans="1:17">
      <c r="A198" s="40" t="s">
        <v>121</v>
      </c>
      <c r="B198" s="39" t="s">
        <v>109</v>
      </c>
      <c r="C198" s="39" t="s">
        <v>83</v>
      </c>
      <c r="D198" s="39" t="s">
        <v>116</v>
      </c>
      <c r="E198" s="39" t="s">
        <v>128</v>
      </c>
      <c r="F198" s="39" t="s">
        <v>113</v>
      </c>
      <c r="G198" s="39" t="s">
        <v>114</v>
      </c>
      <c r="H198" s="78">
        <f>'Cuota Artesanal'!E40</f>
        <v>7.3470000000000004</v>
      </c>
      <c r="I198" s="78">
        <f>'Cuota Artesanal'!F40</f>
        <v>0</v>
      </c>
      <c r="J198" s="78">
        <f>'Cuota Artesanal'!G40</f>
        <v>39.068999999999996</v>
      </c>
      <c r="K198" s="78">
        <f>'Cuota Artesanal'!H40</f>
        <v>0</v>
      </c>
      <c r="L198" s="78">
        <f>'Cuota Artesanal'!I40</f>
        <v>39.068999999999996</v>
      </c>
      <c r="M198" s="221">
        <f>'Cuota Artesanal'!J40</f>
        <v>0</v>
      </c>
      <c r="N198" s="82" t="str">
        <f>'Cuota Artesanal'!Q40</f>
        <v>-</v>
      </c>
      <c r="O198" s="83">
        <f>Resumen!$B$3</f>
        <v>44096</v>
      </c>
      <c r="P198" s="39">
        <f t="shared" si="6"/>
        <v>2020</v>
      </c>
      <c r="Q198" s="39"/>
    </row>
    <row r="199" spans="1:17">
      <c r="A199" s="40" t="s">
        <v>121</v>
      </c>
      <c r="B199" s="39" t="s">
        <v>109</v>
      </c>
      <c r="C199" s="39" t="s">
        <v>83</v>
      </c>
      <c r="D199" s="39" t="s">
        <v>116</v>
      </c>
      <c r="E199" s="39" t="s">
        <v>248</v>
      </c>
      <c r="F199" s="39" t="s">
        <v>111</v>
      </c>
      <c r="G199" s="39" t="s">
        <v>114</v>
      </c>
      <c r="H199" s="78">
        <f>'Cuota Artesanal'!K39</f>
        <v>146.947</v>
      </c>
      <c r="I199" s="78">
        <f>'Cuota Artesanal'!L39</f>
        <v>0</v>
      </c>
      <c r="J199" s="78">
        <f>'Cuota Artesanal'!M39</f>
        <v>146.947</v>
      </c>
      <c r="K199" s="78">
        <f>'Cuota Artesanal'!N39</f>
        <v>107.878</v>
      </c>
      <c r="L199" s="78">
        <f>'Cuota Artesanal'!O39</f>
        <v>39.069000000000003</v>
      </c>
      <c r="M199" s="221">
        <f>'Cuota Artesanal'!P39</f>
        <v>0.73412863141132512</v>
      </c>
      <c r="N199" s="82" t="s">
        <v>135</v>
      </c>
      <c r="O199" s="83">
        <f>Resumen!$B$3</f>
        <v>44096</v>
      </c>
      <c r="P199" s="39">
        <f t="shared" si="6"/>
        <v>2020</v>
      </c>
      <c r="Q199" s="39"/>
    </row>
    <row r="200" spans="1:17">
      <c r="A200" s="40" t="s">
        <v>121</v>
      </c>
      <c r="B200" s="39" t="s">
        <v>109</v>
      </c>
      <c r="C200" s="39" t="s">
        <v>84</v>
      </c>
      <c r="D200" s="39" t="s">
        <v>116</v>
      </c>
      <c r="E200" s="39" t="s">
        <v>248</v>
      </c>
      <c r="F200" s="39" t="s">
        <v>111</v>
      </c>
      <c r="G200" s="39" t="s">
        <v>112</v>
      </c>
      <c r="H200" s="78">
        <f>'Cuota Artesanal'!E42</f>
        <v>9096.15</v>
      </c>
      <c r="I200" s="78">
        <f>'Cuota Artesanal'!F42</f>
        <v>0</v>
      </c>
      <c r="J200" s="78">
        <f>'Cuota Artesanal'!G42</f>
        <v>9096.15</v>
      </c>
      <c r="K200" s="78">
        <f>'Cuota Artesanal'!H42</f>
        <v>10586.37</v>
      </c>
      <c r="L200" s="78">
        <f>'Cuota Artesanal'!I42</f>
        <v>-1490.2200000000012</v>
      </c>
      <c r="M200" s="221">
        <f>'Cuota Artesanal'!J42</f>
        <v>1.1638297521478869</v>
      </c>
      <c r="N200" s="82">
        <f>'Cuota Artesanal'!Q42</f>
        <v>43837</v>
      </c>
      <c r="O200" s="83">
        <f>Resumen!$B$3</f>
        <v>44096</v>
      </c>
      <c r="P200" s="39">
        <f t="shared" si="6"/>
        <v>2020</v>
      </c>
      <c r="Q200" s="39"/>
    </row>
    <row r="201" spans="1:17">
      <c r="A201" s="40" t="s">
        <v>121</v>
      </c>
      <c r="B201" s="39" t="s">
        <v>109</v>
      </c>
      <c r="C201" s="39" t="s">
        <v>84</v>
      </c>
      <c r="D201" s="39" t="s">
        <v>116</v>
      </c>
      <c r="E201" s="39" t="s">
        <v>248</v>
      </c>
      <c r="F201" s="39" t="s">
        <v>113</v>
      </c>
      <c r="G201" s="39" t="s">
        <v>114</v>
      </c>
      <c r="H201" s="78">
        <f>'Cuota Artesanal'!E43</f>
        <v>478.745</v>
      </c>
      <c r="I201" s="78">
        <f>'Cuota Artesanal'!F43</f>
        <v>0</v>
      </c>
      <c r="J201" s="78">
        <f>'Cuota Artesanal'!G43</f>
        <v>-1011.4750000000012</v>
      </c>
      <c r="K201" s="78">
        <f>'Cuota Artesanal'!H43</f>
        <v>0</v>
      </c>
      <c r="L201" s="78">
        <f>'Cuota Artesanal'!I43</f>
        <v>-1011.4750000000012</v>
      </c>
      <c r="M201" s="221">
        <f>'Cuota Artesanal'!J43</f>
        <v>0</v>
      </c>
      <c r="N201" s="82" t="str">
        <f>'Cuota Artesanal'!Q43</f>
        <v>-</v>
      </c>
      <c r="O201" s="83">
        <f>Resumen!$B$3</f>
        <v>44096</v>
      </c>
      <c r="P201" s="39">
        <f t="shared" si="6"/>
        <v>2020</v>
      </c>
      <c r="Q201" s="39"/>
    </row>
    <row r="202" spans="1:17">
      <c r="A202" s="40" t="s">
        <v>121</v>
      </c>
      <c r="B202" s="39" t="s">
        <v>109</v>
      </c>
      <c r="C202" s="39" t="s">
        <v>84</v>
      </c>
      <c r="D202" s="39" t="s">
        <v>116</v>
      </c>
      <c r="E202" s="39" t="s">
        <v>248</v>
      </c>
      <c r="F202" s="39" t="s">
        <v>111</v>
      </c>
      <c r="G202" s="39" t="s">
        <v>114</v>
      </c>
      <c r="H202" s="78">
        <f>'Cuota Artesanal'!K42</f>
        <v>9574.8950000000004</v>
      </c>
      <c r="I202" s="78">
        <f>'Cuota Artesanal'!L42</f>
        <v>0</v>
      </c>
      <c r="J202" s="78">
        <f>'Cuota Artesanal'!M42</f>
        <v>9574.8950000000004</v>
      </c>
      <c r="K202" s="78">
        <f>'Cuota Artesanal'!N42</f>
        <v>10586.37</v>
      </c>
      <c r="L202" s="78">
        <f>'Cuota Artesanal'!O42</f>
        <v>-1011.4750000000004</v>
      </c>
      <c r="M202" s="221">
        <f>'Cuota Artesanal'!P42</f>
        <v>1.1056382341529594</v>
      </c>
      <c r="N202" s="82" t="s">
        <v>135</v>
      </c>
      <c r="O202" s="83">
        <f>Resumen!$B$3</f>
        <v>44096</v>
      </c>
      <c r="P202" s="39">
        <f t="shared" si="6"/>
        <v>2020</v>
      </c>
      <c r="Q202" s="39"/>
    </row>
    <row r="203" spans="1:17">
      <c r="A203" s="40" t="s">
        <v>121</v>
      </c>
      <c r="B203" s="39" t="s">
        <v>109</v>
      </c>
      <c r="C203" s="39" t="s">
        <v>43</v>
      </c>
      <c r="D203" s="39" t="s">
        <v>116</v>
      </c>
      <c r="E203" s="39" t="s">
        <v>129</v>
      </c>
      <c r="F203" s="39" t="s">
        <v>111</v>
      </c>
      <c r="G203" s="39" t="s">
        <v>112</v>
      </c>
      <c r="H203" s="78">
        <f>'Cuota Artesanal'!E45</f>
        <v>45.61</v>
      </c>
      <c r="I203" s="78">
        <f>'Cuota Artesanal'!F45</f>
        <v>0</v>
      </c>
      <c r="J203" s="78">
        <f>'Cuota Artesanal'!G45</f>
        <v>45.61</v>
      </c>
      <c r="K203" s="78">
        <f>'Cuota Artesanal'!H45</f>
        <v>5.4610000000000003</v>
      </c>
      <c r="L203" s="78">
        <f>'Cuota Artesanal'!I45</f>
        <v>40.149000000000001</v>
      </c>
      <c r="M203" s="221">
        <f>'Cuota Artesanal'!J45</f>
        <v>0.11973251479938611</v>
      </c>
      <c r="N203" s="82" t="str">
        <f>'Cuota Artesanal'!Q45</f>
        <v>-</v>
      </c>
      <c r="O203" s="83">
        <f>Resumen!$B$3</f>
        <v>44096</v>
      </c>
      <c r="P203" s="39">
        <f t="shared" si="6"/>
        <v>2020</v>
      </c>
      <c r="Q203" s="39"/>
    </row>
    <row r="204" spans="1:17">
      <c r="A204" s="40" t="s">
        <v>121</v>
      </c>
      <c r="B204" s="39" t="s">
        <v>109</v>
      </c>
      <c r="C204" s="39" t="s">
        <v>43</v>
      </c>
      <c r="D204" s="39" t="s">
        <v>116</v>
      </c>
      <c r="E204" s="39" t="s">
        <v>129</v>
      </c>
      <c r="F204" s="39" t="s">
        <v>113</v>
      </c>
      <c r="G204" s="39" t="s">
        <v>114</v>
      </c>
      <c r="H204" s="78">
        <f>'Cuota Artesanal'!E46</f>
        <v>2.4009999999999998</v>
      </c>
      <c r="I204" s="78">
        <f>'Cuota Artesanal'!F46</f>
        <v>0</v>
      </c>
      <c r="J204" s="78">
        <f>'Cuota Artesanal'!G46</f>
        <v>42.55</v>
      </c>
      <c r="K204" s="78">
        <f>'Cuota Artesanal'!H46</f>
        <v>0</v>
      </c>
      <c r="L204" s="78">
        <f>'Cuota Artesanal'!I46</f>
        <v>42.55</v>
      </c>
      <c r="M204" s="221">
        <f>'Cuota Artesanal'!J46</f>
        <v>0</v>
      </c>
      <c r="N204" s="82" t="str">
        <f>'Cuota Artesanal'!Q46</f>
        <v>-</v>
      </c>
      <c r="O204" s="83">
        <f>Resumen!$B$3</f>
        <v>44096</v>
      </c>
      <c r="P204" s="39">
        <f t="shared" si="6"/>
        <v>2020</v>
      </c>
      <c r="Q204" s="39"/>
    </row>
    <row r="205" spans="1:17">
      <c r="A205" s="40" t="s">
        <v>121</v>
      </c>
      <c r="B205" s="39" t="s">
        <v>109</v>
      </c>
      <c r="C205" s="39" t="s">
        <v>43</v>
      </c>
      <c r="D205" s="39" t="s">
        <v>116</v>
      </c>
      <c r="E205" s="39" t="s">
        <v>129</v>
      </c>
      <c r="F205" s="39" t="s">
        <v>111</v>
      </c>
      <c r="G205" s="39" t="s">
        <v>114</v>
      </c>
      <c r="H205" s="78">
        <f>'Cuota Artesanal'!M45</f>
        <v>48.010999999999996</v>
      </c>
      <c r="I205" s="78">
        <f>'Cuota Artesanal'!L45</f>
        <v>0</v>
      </c>
      <c r="J205" s="78">
        <f>'Cuota Artesanal'!M45</f>
        <v>48.010999999999996</v>
      </c>
      <c r="K205" s="78">
        <f>'Cuota Artesanal'!N45</f>
        <v>5.4610000000000003</v>
      </c>
      <c r="L205" s="78">
        <f>'Cuota Artesanal'!O45</f>
        <v>42.55</v>
      </c>
      <c r="M205" s="221">
        <f>'Cuota Artesanal'!P45</f>
        <v>0.11374476682426946</v>
      </c>
      <c r="N205" s="82" t="s">
        <v>135</v>
      </c>
      <c r="O205" s="83">
        <f>Resumen!$B$3</f>
        <v>44096</v>
      </c>
      <c r="P205" s="39">
        <f t="shared" si="6"/>
        <v>2020</v>
      </c>
      <c r="Q205" s="39"/>
    </row>
    <row r="206" spans="1:17">
      <c r="A206" s="39" t="s">
        <v>122</v>
      </c>
      <c r="B206" s="39" t="s">
        <v>109</v>
      </c>
      <c r="C206" s="39" t="s">
        <v>44</v>
      </c>
      <c r="D206" s="39" t="s">
        <v>116</v>
      </c>
      <c r="E206" s="39" t="s">
        <v>130</v>
      </c>
      <c r="F206" s="39" t="s">
        <v>111</v>
      </c>
      <c r="G206" s="39" t="s">
        <v>112</v>
      </c>
      <c r="H206" s="78">
        <f>'Cuota Artesanal'!E48</f>
        <v>1063.8489999999999</v>
      </c>
      <c r="I206" s="78">
        <f>'Cuota Artesanal'!F48</f>
        <v>0</v>
      </c>
      <c r="J206" s="78">
        <f>'Cuota Artesanal'!G48</f>
        <v>1063.8489999999999</v>
      </c>
      <c r="K206" s="78">
        <f>'Cuota Artesanal'!H48</f>
        <v>1084.462</v>
      </c>
      <c r="L206" s="78">
        <f>'Cuota Artesanal'!I48</f>
        <v>-20.613000000000056</v>
      </c>
      <c r="M206" s="221">
        <f>'Cuota Artesanal'!J48</f>
        <v>1.0193758700717865</v>
      </c>
      <c r="N206" s="82">
        <f>'Cuota Artesanal'!Q48</f>
        <v>43880</v>
      </c>
      <c r="O206" s="83">
        <f>Resumen!$B$3</f>
        <v>44096</v>
      </c>
      <c r="P206" s="39">
        <f t="shared" si="6"/>
        <v>2020</v>
      </c>
      <c r="Q206" s="39"/>
    </row>
    <row r="207" spans="1:17">
      <c r="A207" s="39" t="s">
        <v>122</v>
      </c>
      <c r="B207" s="39" t="s">
        <v>109</v>
      </c>
      <c r="C207" s="39" t="s">
        <v>44</v>
      </c>
      <c r="D207" s="39" t="s">
        <v>116</v>
      </c>
      <c r="E207" s="39" t="s">
        <v>130</v>
      </c>
      <c r="F207" s="39" t="s">
        <v>113</v>
      </c>
      <c r="G207" s="39" t="s">
        <v>114</v>
      </c>
      <c r="H207" s="78">
        <f>'Cuota Artesanal'!E49</f>
        <v>55.991999999999997</v>
      </c>
      <c r="I207" s="78">
        <f>'Cuota Artesanal'!F49</f>
        <v>0</v>
      </c>
      <c r="J207" s="78">
        <f>'Cuota Artesanal'!G49</f>
        <v>35.378999999999941</v>
      </c>
      <c r="K207" s="78">
        <f>'Cuota Artesanal'!H49</f>
        <v>0</v>
      </c>
      <c r="L207" s="78">
        <f>'Cuota Artesanal'!I49</f>
        <v>35.378999999999941</v>
      </c>
      <c r="M207" s="221">
        <f>'Cuota Artesanal'!J49</f>
        <v>0</v>
      </c>
      <c r="N207" s="82">
        <f>'Cuota Artesanal'!Q49</f>
        <v>43880</v>
      </c>
      <c r="O207" s="83">
        <f>Resumen!$B$3</f>
        <v>44096</v>
      </c>
      <c r="P207" s="39">
        <f t="shared" si="6"/>
        <v>2020</v>
      </c>
      <c r="Q207" s="39"/>
    </row>
    <row r="208" spans="1:17">
      <c r="A208" s="39" t="s">
        <v>122</v>
      </c>
      <c r="B208" s="39" t="s">
        <v>109</v>
      </c>
      <c r="C208" s="39" t="s">
        <v>44</v>
      </c>
      <c r="D208" s="39" t="s">
        <v>116</v>
      </c>
      <c r="E208" s="39" t="s">
        <v>130</v>
      </c>
      <c r="F208" s="39" t="s">
        <v>111</v>
      </c>
      <c r="G208" s="39" t="s">
        <v>114</v>
      </c>
      <c r="H208" s="78">
        <f>'Cuota Artesanal'!K48</f>
        <v>1119.8409999999999</v>
      </c>
      <c r="I208" s="78">
        <f>'Cuota Artesanal'!L48</f>
        <v>0</v>
      </c>
      <c r="J208" s="78">
        <f>'Cuota Artesanal'!M48</f>
        <v>1119.8409999999999</v>
      </c>
      <c r="K208" s="78">
        <f>'Cuota Artesanal'!N48</f>
        <v>1084.462</v>
      </c>
      <c r="L208" s="78">
        <f>'Cuota Artesanal'!O48</f>
        <v>35.378999999999905</v>
      </c>
      <c r="M208" s="221">
        <f>'Cuota Artesanal'!P48</f>
        <v>0.96840712208251001</v>
      </c>
      <c r="N208" s="82" t="s">
        <v>135</v>
      </c>
      <c r="O208" s="83">
        <f>Resumen!$B$3</f>
        <v>44096</v>
      </c>
      <c r="P208" s="39">
        <f t="shared" si="6"/>
        <v>2020</v>
      </c>
      <c r="Q208" s="39"/>
    </row>
    <row r="209" spans="1:17">
      <c r="A209" s="39" t="s">
        <v>122</v>
      </c>
      <c r="B209" s="39" t="s">
        <v>109</v>
      </c>
      <c r="C209" s="39" t="s">
        <v>71</v>
      </c>
      <c r="D209" s="39" t="s">
        <v>136</v>
      </c>
      <c r="E209" s="39" t="str">
        <f>+'Cuota Artesanal'!C51</f>
        <v>ARMAR AG. RAG 320-10</v>
      </c>
      <c r="F209" s="39" t="s">
        <v>111</v>
      </c>
      <c r="G209" s="39" t="s">
        <v>112</v>
      </c>
      <c r="H209" s="78">
        <f>'Cuota Artesanal'!E51</f>
        <v>108.949</v>
      </c>
      <c r="I209" s="78">
        <f>'Cuota Artesanal'!F51</f>
        <v>-110</v>
      </c>
      <c r="J209" s="78">
        <f>'Cuota Artesanal'!G51</f>
        <v>-1.0510000000000019</v>
      </c>
      <c r="K209" s="78">
        <f>'Cuota Artesanal'!H51</f>
        <v>0</v>
      </c>
      <c r="L209" s="78">
        <f>'Cuota Artesanal'!I51</f>
        <v>-1.0510000000000019</v>
      </c>
      <c r="M209" s="221">
        <f>'Cuota Artesanal'!J51</f>
        <v>0</v>
      </c>
      <c r="N209" s="82">
        <f>'Cuota Artesanal'!Q51</f>
        <v>43895</v>
      </c>
      <c r="O209" s="83">
        <f>Resumen!$B$3</f>
        <v>44096</v>
      </c>
      <c r="P209" s="39">
        <f t="shared" si="6"/>
        <v>2020</v>
      </c>
      <c r="Q209" s="39"/>
    </row>
    <row r="210" spans="1:17">
      <c r="A210" s="39" t="s">
        <v>122</v>
      </c>
      <c r="B210" s="39" t="s">
        <v>109</v>
      </c>
      <c r="C210" s="39" t="s">
        <v>71</v>
      </c>
      <c r="D210" s="39" t="s">
        <v>136</v>
      </c>
      <c r="E210" s="39" t="str">
        <f>+'Cuota Artesanal'!C51</f>
        <v>ARMAR AG. RAG 320-10</v>
      </c>
      <c r="F210" s="39" t="s">
        <v>113</v>
      </c>
      <c r="G210" s="39" t="s">
        <v>114</v>
      </c>
      <c r="H210" s="78">
        <f>'Cuota Artesanal'!E52</f>
        <v>5.734</v>
      </c>
      <c r="I210" s="78">
        <f>'Cuota Artesanal'!F52</f>
        <v>0</v>
      </c>
      <c r="J210" s="78">
        <f>'Cuota Artesanal'!G52</f>
        <v>4.6829999999999981</v>
      </c>
      <c r="K210" s="78">
        <f>'Cuota Artesanal'!H52</f>
        <v>0</v>
      </c>
      <c r="L210" s="78">
        <f>'Cuota Artesanal'!I52</f>
        <v>4.6829999999999981</v>
      </c>
      <c r="M210" s="221">
        <f>'Cuota Artesanal'!J52</f>
        <v>0</v>
      </c>
      <c r="N210" s="82" t="str">
        <f>'Cuota Artesanal'!Q52</f>
        <v>-</v>
      </c>
      <c r="O210" s="83">
        <f>Resumen!$B$3</f>
        <v>44096</v>
      </c>
      <c r="P210" s="39">
        <f t="shared" si="6"/>
        <v>2020</v>
      </c>
      <c r="Q210" s="39"/>
    </row>
    <row r="211" spans="1:17">
      <c r="A211" s="39" t="s">
        <v>122</v>
      </c>
      <c r="B211" s="39" t="s">
        <v>109</v>
      </c>
      <c r="C211" s="39" t="s">
        <v>71</v>
      </c>
      <c r="D211" s="39" t="s">
        <v>136</v>
      </c>
      <c r="E211" s="39" t="str">
        <f>+'Cuota Artesanal'!C51</f>
        <v>ARMAR AG. RAG 320-10</v>
      </c>
      <c r="F211" s="39" t="s">
        <v>111</v>
      </c>
      <c r="G211" s="39" t="s">
        <v>114</v>
      </c>
      <c r="H211" s="78">
        <f>'Cuota Artesanal'!K51</f>
        <v>114.68299999999999</v>
      </c>
      <c r="I211" s="78">
        <f>'Cuota Artesanal'!L51</f>
        <v>-110</v>
      </c>
      <c r="J211" s="78">
        <f>'Cuota Artesanal'!M51</f>
        <v>4.6829999999999927</v>
      </c>
      <c r="K211" s="78">
        <f>'Cuota Artesanal'!N51</f>
        <v>0</v>
      </c>
      <c r="L211" s="78">
        <f>'Cuota Artesanal'!O51</f>
        <v>4.6829999999999927</v>
      </c>
      <c r="M211" s="221">
        <f>'Cuota Artesanal'!P51</f>
        <v>0</v>
      </c>
      <c r="N211" s="82" t="s">
        <v>135</v>
      </c>
      <c r="O211" s="83">
        <f>Resumen!$B$3</f>
        <v>44096</v>
      </c>
      <c r="P211" s="39">
        <f t="shared" si="6"/>
        <v>2020</v>
      </c>
      <c r="Q211" s="39"/>
    </row>
    <row r="212" spans="1:17">
      <c r="A212" s="39" t="s">
        <v>122</v>
      </c>
      <c r="B212" s="39" t="s">
        <v>109</v>
      </c>
      <c r="C212" s="39" t="s">
        <v>71</v>
      </c>
      <c r="D212" s="39" t="s">
        <v>136</v>
      </c>
      <c r="E212" s="39" t="str">
        <f>+'Cuota Artesanal'!C53</f>
        <v>ASOGFER AG. RAG 310-10</v>
      </c>
      <c r="F212" s="39" t="s">
        <v>111</v>
      </c>
      <c r="G212" s="39" t="s">
        <v>112</v>
      </c>
      <c r="H212" s="78">
        <f>'Cuota Artesanal'!E53</f>
        <v>514.71600000000001</v>
      </c>
      <c r="I212" s="78">
        <f>'Cuota Artesanal'!F53</f>
        <v>-530</v>
      </c>
      <c r="J212" s="78">
        <f>'Cuota Artesanal'!G53</f>
        <v>-15.283999999999992</v>
      </c>
      <c r="K212" s="78">
        <f>'Cuota Artesanal'!H53</f>
        <v>0</v>
      </c>
      <c r="L212" s="78">
        <f>'Cuota Artesanal'!I53</f>
        <v>-15.283999999999992</v>
      </c>
      <c r="M212" s="221">
        <f>'Cuota Artesanal'!J53</f>
        <v>0</v>
      </c>
      <c r="N212" s="82">
        <f>'Cuota Artesanal'!Q53</f>
        <v>43916</v>
      </c>
      <c r="O212" s="83">
        <f>Resumen!$B$3</f>
        <v>44096</v>
      </c>
      <c r="P212" s="39">
        <f t="shared" si="6"/>
        <v>2020</v>
      </c>
      <c r="Q212" s="39"/>
    </row>
    <row r="213" spans="1:17">
      <c r="A213" s="39" t="s">
        <v>122</v>
      </c>
      <c r="B213" s="39" t="s">
        <v>109</v>
      </c>
      <c r="C213" s="39" t="s">
        <v>71</v>
      </c>
      <c r="D213" s="39" t="s">
        <v>136</v>
      </c>
      <c r="E213" s="39" t="str">
        <f>+'Cuota Artesanal'!C53</f>
        <v>ASOGFER AG. RAG 310-10</v>
      </c>
      <c r="F213" s="39" t="s">
        <v>113</v>
      </c>
      <c r="G213" s="39" t="s">
        <v>114</v>
      </c>
      <c r="H213" s="78">
        <f>'Cuota Artesanal'!E54</f>
        <v>27.09</v>
      </c>
      <c r="I213" s="78">
        <f>'Cuota Artesanal'!F54</f>
        <v>0</v>
      </c>
      <c r="J213" s="78">
        <f>'Cuota Artesanal'!G54</f>
        <v>11.806000000000008</v>
      </c>
      <c r="K213" s="78">
        <f>'Cuota Artesanal'!H54</f>
        <v>0</v>
      </c>
      <c r="L213" s="78">
        <f>'Cuota Artesanal'!I54</f>
        <v>11.806000000000008</v>
      </c>
      <c r="M213" s="221">
        <f>'Cuota Artesanal'!J54</f>
        <v>0</v>
      </c>
      <c r="N213" s="82" t="str">
        <f>'Cuota Artesanal'!Q54</f>
        <v>-</v>
      </c>
      <c r="O213" s="83">
        <f>Resumen!$B$3</f>
        <v>44096</v>
      </c>
      <c r="P213" s="39">
        <f t="shared" si="6"/>
        <v>2020</v>
      </c>
      <c r="Q213" s="39"/>
    </row>
    <row r="214" spans="1:17">
      <c r="A214" s="39" t="s">
        <v>122</v>
      </c>
      <c r="B214" s="39" t="s">
        <v>109</v>
      </c>
      <c r="C214" s="39" t="s">
        <v>71</v>
      </c>
      <c r="D214" s="39" t="s">
        <v>136</v>
      </c>
      <c r="E214" s="39" t="str">
        <f>+'Cuota Artesanal'!C53</f>
        <v>ASOGFER AG. RAG 310-10</v>
      </c>
      <c r="F214" s="39" t="s">
        <v>111</v>
      </c>
      <c r="G214" s="39" t="s">
        <v>114</v>
      </c>
      <c r="H214" s="78">
        <f>'Cuota Artesanal'!K53</f>
        <v>541.80600000000004</v>
      </c>
      <c r="I214" s="78">
        <f>'Cuota Artesanal'!L53</f>
        <v>-530</v>
      </c>
      <c r="J214" s="78">
        <f>'Cuota Artesanal'!M53</f>
        <v>11.80600000000004</v>
      </c>
      <c r="K214" s="78">
        <f>'Cuota Artesanal'!N53</f>
        <v>0</v>
      </c>
      <c r="L214" s="78">
        <f>'Cuota Artesanal'!O53</f>
        <v>11.80600000000004</v>
      </c>
      <c r="M214" s="221">
        <f>'Cuota Artesanal'!P53</f>
        <v>0</v>
      </c>
      <c r="N214" s="82" t="s">
        <v>135</v>
      </c>
      <c r="O214" s="83">
        <f>Resumen!$B$3</f>
        <v>44096</v>
      </c>
      <c r="P214" s="39">
        <f t="shared" si="6"/>
        <v>2020</v>
      </c>
      <c r="Q214" s="39"/>
    </row>
    <row r="215" spans="1:17">
      <c r="A215" s="39" t="s">
        <v>122</v>
      </c>
      <c r="B215" s="39" t="s">
        <v>109</v>
      </c>
      <c r="C215" s="39" t="s">
        <v>71</v>
      </c>
      <c r="D215" s="39" t="s">
        <v>136</v>
      </c>
      <c r="E215" s="39" t="str">
        <f>+'Cuota Artesanal'!C55</f>
        <v>AGARMAR.  RAG 156-10</v>
      </c>
      <c r="F215" s="39" t="s">
        <v>111</v>
      </c>
      <c r="G215" s="39" t="s">
        <v>112</v>
      </c>
      <c r="H215" s="78">
        <f>'Cuota Artesanal'!E55</f>
        <v>3142.1990000000001</v>
      </c>
      <c r="I215" s="78">
        <f>'Cuota Artesanal'!F55</f>
        <v>-3110</v>
      </c>
      <c r="J215" s="78">
        <f>'Cuota Artesanal'!G55</f>
        <v>32.199000000000069</v>
      </c>
      <c r="K215" s="78">
        <f>'Cuota Artesanal'!H55</f>
        <v>0</v>
      </c>
      <c r="L215" s="78">
        <f>'Cuota Artesanal'!I55</f>
        <v>32.199000000000069</v>
      </c>
      <c r="M215" s="221">
        <f>'Cuota Artesanal'!J55</f>
        <v>0</v>
      </c>
      <c r="N215" s="82">
        <f>'Cuota Artesanal'!Q55</f>
        <v>43895</v>
      </c>
      <c r="O215" s="83">
        <f>Resumen!$B$3</f>
        <v>44096</v>
      </c>
      <c r="P215" s="39">
        <f t="shared" si="6"/>
        <v>2020</v>
      </c>
      <c r="Q215" s="39"/>
    </row>
    <row r="216" spans="1:17">
      <c r="A216" s="39" t="s">
        <v>122</v>
      </c>
      <c r="B216" s="39" t="s">
        <v>109</v>
      </c>
      <c r="C216" s="39" t="s">
        <v>71</v>
      </c>
      <c r="D216" s="39" t="s">
        <v>136</v>
      </c>
      <c r="E216" s="39" t="str">
        <f>+'Cuota Artesanal'!C55</f>
        <v>AGARMAR.  RAG 156-10</v>
      </c>
      <c r="F216" s="39" t="s">
        <v>113</v>
      </c>
      <c r="G216" s="39" t="s">
        <v>114</v>
      </c>
      <c r="H216" s="78">
        <f>'Cuota Artesanal'!E56</f>
        <v>165.37899999999999</v>
      </c>
      <c r="I216" s="78">
        <f>'Cuota Artesanal'!F56</f>
        <v>0</v>
      </c>
      <c r="J216" s="78">
        <f>'Cuota Artesanal'!G56</f>
        <v>197.57800000000006</v>
      </c>
      <c r="K216" s="78">
        <f>'Cuota Artesanal'!H56</f>
        <v>0</v>
      </c>
      <c r="L216" s="78">
        <f>'Cuota Artesanal'!I56</f>
        <v>197.57800000000006</v>
      </c>
      <c r="M216" s="221">
        <f>'Cuota Artesanal'!J56</f>
        <v>0</v>
      </c>
      <c r="N216" s="82" t="str">
        <f>'Cuota Artesanal'!Q56</f>
        <v>-</v>
      </c>
      <c r="O216" s="83">
        <f>Resumen!$B$3</f>
        <v>44096</v>
      </c>
      <c r="P216" s="39">
        <f t="shared" si="6"/>
        <v>2020</v>
      </c>
      <c r="Q216" s="39"/>
    </row>
    <row r="217" spans="1:17">
      <c r="A217" s="39" t="s">
        <v>122</v>
      </c>
      <c r="B217" s="39" t="s">
        <v>109</v>
      </c>
      <c r="C217" s="39" t="s">
        <v>71</v>
      </c>
      <c r="D217" s="39" t="s">
        <v>136</v>
      </c>
      <c r="E217" s="39" t="str">
        <f>+'Cuota Artesanal'!C55</f>
        <v>AGARMAR.  RAG 156-10</v>
      </c>
      <c r="F217" s="39" t="s">
        <v>111</v>
      </c>
      <c r="G217" s="39" t="s">
        <v>114</v>
      </c>
      <c r="H217" s="78">
        <f>'Cuota Artesanal'!K55</f>
        <v>3307.578</v>
      </c>
      <c r="I217" s="78">
        <f>'Cuota Artesanal'!L55</f>
        <v>-3110</v>
      </c>
      <c r="J217" s="78">
        <f>'Cuota Artesanal'!M55</f>
        <v>197.57799999999997</v>
      </c>
      <c r="K217" s="78">
        <f>'Cuota Artesanal'!N55</f>
        <v>0</v>
      </c>
      <c r="L217" s="78">
        <f>'Cuota Artesanal'!O55</f>
        <v>197.57799999999997</v>
      </c>
      <c r="M217" s="221">
        <f>'Cuota Artesanal'!P55</f>
        <v>0</v>
      </c>
      <c r="N217" s="82" t="s">
        <v>135</v>
      </c>
      <c r="O217" s="83">
        <f>Resumen!$B$3</f>
        <v>44096</v>
      </c>
      <c r="P217" s="39">
        <f t="shared" si="6"/>
        <v>2020</v>
      </c>
      <c r="Q217" s="39"/>
    </row>
    <row r="218" spans="1:17">
      <c r="A218" s="39" t="s">
        <v>122</v>
      </c>
      <c r="B218" s="39" t="s">
        <v>109</v>
      </c>
      <c r="C218" s="39" t="s">
        <v>71</v>
      </c>
      <c r="D218" s="39" t="s">
        <v>136</v>
      </c>
      <c r="E218" s="39" t="str">
        <f>+'Cuota Artesanal'!C57</f>
        <v>PESCA AUSTRAL. RAG 326-10</v>
      </c>
      <c r="F218" s="39" t="s">
        <v>111</v>
      </c>
      <c r="G218" s="39" t="s">
        <v>112</v>
      </c>
      <c r="H218" s="78">
        <f>'Cuota Artesanal'!E57</f>
        <v>525.07299999999998</v>
      </c>
      <c r="I218" s="78">
        <f>'Cuota Artesanal'!F57</f>
        <v>-540</v>
      </c>
      <c r="J218" s="78">
        <f>'Cuota Artesanal'!G57</f>
        <v>-14.927000000000021</v>
      </c>
      <c r="K218" s="78">
        <f>'Cuota Artesanal'!H57</f>
        <v>0</v>
      </c>
      <c r="L218" s="78">
        <f>'Cuota Artesanal'!I57</f>
        <v>-14.927000000000021</v>
      </c>
      <c r="M218" s="221">
        <f>'Cuota Artesanal'!J57</f>
        <v>0</v>
      </c>
      <c r="N218" s="82">
        <f>'Cuota Artesanal'!Q57</f>
        <v>43895</v>
      </c>
      <c r="O218" s="83">
        <f>Resumen!$B$3</f>
        <v>44096</v>
      </c>
      <c r="P218" s="39">
        <f t="shared" si="6"/>
        <v>2020</v>
      </c>
      <c r="Q218" s="39"/>
    </row>
    <row r="219" spans="1:17">
      <c r="A219" s="39" t="s">
        <v>122</v>
      </c>
      <c r="B219" s="39" t="s">
        <v>109</v>
      </c>
      <c r="C219" s="39" t="s">
        <v>71</v>
      </c>
      <c r="D219" s="39" t="s">
        <v>136</v>
      </c>
      <c r="E219" s="39" t="str">
        <f>+'Cuota Artesanal'!C57</f>
        <v>PESCA AUSTRAL. RAG 326-10</v>
      </c>
      <c r="F219" s="39" t="s">
        <v>113</v>
      </c>
      <c r="G219" s="39" t="s">
        <v>114</v>
      </c>
      <c r="H219" s="78">
        <f>'Cuota Artesanal'!E58</f>
        <v>27.635999999999999</v>
      </c>
      <c r="I219" s="78">
        <f>'Cuota Artesanal'!F58</f>
        <v>0</v>
      </c>
      <c r="J219" s="78">
        <f>'Cuota Artesanal'!G58</f>
        <v>12.708999999999978</v>
      </c>
      <c r="K219" s="78">
        <f>'Cuota Artesanal'!H58</f>
        <v>0</v>
      </c>
      <c r="L219" s="78">
        <f>'Cuota Artesanal'!I58</f>
        <v>12.708999999999978</v>
      </c>
      <c r="M219" s="221">
        <f>'Cuota Artesanal'!J58</f>
        <v>0</v>
      </c>
      <c r="N219" s="82" t="str">
        <f>'Cuota Artesanal'!Q58</f>
        <v>-</v>
      </c>
      <c r="O219" s="83">
        <f>Resumen!$B$3</f>
        <v>44096</v>
      </c>
      <c r="P219" s="39">
        <f t="shared" si="6"/>
        <v>2020</v>
      </c>
      <c r="Q219" s="39"/>
    </row>
    <row r="220" spans="1:17">
      <c r="A220" s="39" t="s">
        <v>122</v>
      </c>
      <c r="B220" s="39" t="s">
        <v>109</v>
      </c>
      <c r="C220" s="39" t="s">
        <v>71</v>
      </c>
      <c r="D220" s="39" t="s">
        <v>136</v>
      </c>
      <c r="E220" s="39" t="str">
        <f>+'Cuota Artesanal'!C57</f>
        <v>PESCA AUSTRAL. RAG 326-10</v>
      </c>
      <c r="F220" s="39" t="s">
        <v>111</v>
      </c>
      <c r="G220" s="39" t="s">
        <v>114</v>
      </c>
      <c r="H220" s="78">
        <f>'Cuota Artesanal'!K57</f>
        <v>552.70899999999995</v>
      </c>
      <c r="I220" s="78">
        <f>'Cuota Artesanal'!L57</f>
        <v>-540</v>
      </c>
      <c r="J220" s="78">
        <f>'Cuota Artesanal'!M57</f>
        <v>12.708999999999946</v>
      </c>
      <c r="K220" s="78">
        <f>'Cuota Artesanal'!N57</f>
        <v>0</v>
      </c>
      <c r="L220" s="78">
        <f>'Cuota Artesanal'!O57</f>
        <v>12.708999999999946</v>
      </c>
      <c r="M220" s="221">
        <f>'Cuota Artesanal'!P57</f>
        <v>0.97700598325701238</v>
      </c>
      <c r="N220" s="82" t="s">
        <v>135</v>
      </c>
      <c r="O220" s="83">
        <f>Resumen!$B$3</f>
        <v>44096</v>
      </c>
      <c r="P220" s="39">
        <f t="shared" si="6"/>
        <v>2020</v>
      </c>
      <c r="Q220" s="39"/>
    </row>
    <row r="221" spans="1:17">
      <c r="A221" s="39" t="s">
        <v>122</v>
      </c>
      <c r="B221" s="39" t="s">
        <v>109</v>
      </c>
      <c r="C221" s="39" t="s">
        <v>71</v>
      </c>
      <c r="D221" s="39" t="s">
        <v>136</v>
      </c>
      <c r="E221" s="39" t="str">
        <f>+'Cuota Artesanal'!C59</f>
        <v>ASOGPESCA ANCUD. AG 4266</v>
      </c>
      <c r="F221" s="39" t="s">
        <v>111</v>
      </c>
      <c r="G221" s="39" t="s">
        <v>112</v>
      </c>
      <c r="H221" s="78">
        <f>'Cuota Artesanal'!E59</f>
        <v>1664.87</v>
      </c>
      <c r="I221" s="78">
        <f>'Cuota Artesanal'!F59</f>
        <v>-1700</v>
      </c>
      <c r="J221" s="78">
        <f>'Cuota Artesanal'!G59</f>
        <v>-35.130000000000109</v>
      </c>
      <c r="K221" s="78">
        <f>'Cuota Artesanal'!H59</f>
        <v>0</v>
      </c>
      <c r="L221" s="78">
        <f>'Cuota Artesanal'!I59</f>
        <v>-35.130000000000109</v>
      </c>
      <c r="M221" s="221">
        <f>'Cuota Artesanal'!J59</f>
        <v>0</v>
      </c>
      <c r="N221" s="82">
        <f>'Cuota Artesanal'!Q59</f>
        <v>43895</v>
      </c>
      <c r="O221" s="83">
        <f>Resumen!$B$3</f>
        <v>44096</v>
      </c>
      <c r="P221" s="39">
        <f t="shared" si="6"/>
        <v>2020</v>
      </c>
      <c r="Q221" s="39"/>
    </row>
    <row r="222" spans="1:17">
      <c r="A222" s="39" t="s">
        <v>122</v>
      </c>
      <c r="B222" s="39" t="s">
        <v>109</v>
      </c>
      <c r="C222" s="39" t="s">
        <v>71</v>
      </c>
      <c r="D222" s="39" t="s">
        <v>136</v>
      </c>
      <c r="E222" s="39" t="str">
        <f>+'Cuota Artesanal'!C59</f>
        <v>ASOGPESCA ANCUD. AG 4266</v>
      </c>
      <c r="F222" s="39" t="s">
        <v>113</v>
      </c>
      <c r="G222" s="39" t="s">
        <v>114</v>
      </c>
      <c r="H222" s="78">
        <f>'Cuota Artesanal'!E60</f>
        <v>87.625</v>
      </c>
      <c r="I222" s="78">
        <f>'Cuota Artesanal'!F60</f>
        <v>0</v>
      </c>
      <c r="J222" s="78">
        <f>'Cuota Artesanal'!G60</f>
        <v>52.494999999999891</v>
      </c>
      <c r="K222" s="78">
        <f>'Cuota Artesanal'!H60</f>
        <v>0</v>
      </c>
      <c r="L222" s="78">
        <f>'Cuota Artesanal'!I60</f>
        <v>52.494999999999891</v>
      </c>
      <c r="M222" s="221">
        <f>'Cuota Artesanal'!J60</f>
        <v>0</v>
      </c>
      <c r="N222" s="82" t="str">
        <f>'Cuota Artesanal'!Q60</f>
        <v>-</v>
      </c>
      <c r="O222" s="83">
        <f>Resumen!$B$3</f>
        <v>44096</v>
      </c>
      <c r="P222" s="39">
        <f t="shared" si="6"/>
        <v>2020</v>
      </c>
      <c r="Q222" s="39"/>
    </row>
    <row r="223" spans="1:17">
      <c r="A223" s="39" t="s">
        <v>122</v>
      </c>
      <c r="B223" s="39" t="s">
        <v>109</v>
      </c>
      <c r="C223" s="39" t="s">
        <v>71</v>
      </c>
      <c r="D223" s="39" t="s">
        <v>136</v>
      </c>
      <c r="E223" s="39" t="str">
        <f>+'Cuota Artesanal'!C59</f>
        <v>ASOGPESCA ANCUD. AG 4266</v>
      </c>
      <c r="F223" s="39" t="s">
        <v>111</v>
      </c>
      <c r="G223" s="39" t="s">
        <v>114</v>
      </c>
      <c r="H223" s="78">
        <f>'Cuota Artesanal'!K59</f>
        <v>1752.4949999999999</v>
      </c>
      <c r="I223" s="78">
        <f>'Cuota Artesanal'!L59</f>
        <v>-1700</v>
      </c>
      <c r="J223" s="78">
        <f>'Cuota Artesanal'!M59</f>
        <v>52.494999999999891</v>
      </c>
      <c r="K223" s="78">
        <f>'Cuota Artesanal'!N59</f>
        <v>0</v>
      </c>
      <c r="L223" s="78">
        <f>'Cuota Artesanal'!O59</f>
        <v>52.494999999999891</v>
      </c>
      <c r="M223" s="221">
        <f>'Cuota Artesanal'!P59</f>
        <v>0</v>
      </c>
      <c r="N223" s="82" t="s">
        <v>135</v>
      </c>
      <c r="O223" s="83">
        <f>Resumen!$B$3</f>
        <v>44096</v>
      </c>
      <c r="P223" s="39">
        <f t="shared" si="6"/>
        <v>2020</v>
      </c>
      <c r="Q223" s="39"/>
    </row>
    <row r="224" spans="1:17">
      <c r="A224" s="39" t="s">
        <v>122</v>
      </c>
      <c r="B224" s="39" t="s">
        <v>109</v>
      </c>
      <c r="C224" s="39" t="s">
        <v>71</v>
      </c>
      <c r="D224" s="39" t="s">
        <v>136</v>
      </c>
      <c r="E224" s="39" t="str">
        <f>+'Cuota Artesanal'!C61</f>
        <v>STI PECERCAL RSU 10.01.0948</v>
      </c>
      <c r="F224" s="39" t="s">
        <v>111</v>
      </c>
      <c r="G224" s="39" t="s">
        <v>112</v>
      </c>
      <c r="H224" s="78">
        <f>'Cuota Artesanal'!E61</f>
        <v>791.16</v>
      </c>
      <c r="I224" s="78">
        <f>'Cuota Artesanal'!F61</f>
        <v>-821.71</v>
      </c>
      <c r="J224" s="78">
        <f>'Cuota Artesanal'!G61</f>
        <v>-30.550000000000068</v>
      </c>
      <c r="K224" s="78">
        <f>'Cuota Artesanal'!H61</f>
        <v>0</v>
      </c>
      <c r="L224" s="78">
        <f>'Cuota Artesanal'!I61</f>
        <v>-30.550000000000068</v>
      </c>
      <c r="M224" s="221">
        <f>'Cuota Artesanal'!J61</f>
        <v>0</v>
      </c>
      <c r="N224" s="82">
        <f>'Cuota Artesanal'!Q61</f>
        <v>43895</v>
      </c>
      <c r="O224" s="83">
        <f>Resumen!$B$3</f>
        <v>44096</v>
      </c>
      <c r="P224" s="39">
        <f t="shared" si="6"/>
        <v>2020</v>
      </c>
      <c r="Q224" s="39"/>
    </row>
    <row r="225" spans="1:17">
      <c r="A225" s="39" t="s">
        <v>122</v>
      </c>
      <c r="B225" s="39" t="s">
        <v>109</v>
      </c>
      <c r="C225" s="39" t="s">
        <v>71</v>
      </c>
      <c r="D225" s="39" t="s">
        <v>136</v>
      </c>
      <c r="E225" s="39" t="str">
        <f>+'Cuota Artesanal'!C61</f>
        <v>STI PECERCAL RSU 10.01.0948</v>
      </c>
      <c r="F225" s="39" t="s">
        <v>113</v>
      </c>
      <c r="G225" s="39" t="s">
        <v>114</v>
      </c>
      <c r="H225" s="78">
        <f>'Cuota Artesanal'!E62</f>
        <v>41.639000000000003</v>
      </c>
      <c r="I225" s="78">
        <f>'Cuota Artesanal'!F62</f>
        <v>0</v>
      </c>
      <c r="J225" s="78">
        <f>'Cuota Artesanal'!G62</f>
        <v>11.088999999999935</v>
      </c>
      <c r="K225" s="78">
        <f>'Cuota Artesanal'!H62</f>
        <v>0</v>
      </c>
      <c r="L225" s="78">
        <f>'Cuota Artesanal'!I62</f>
        <v>11.088999999999935</v>
      </c>
      <c r="M225" s="221">
        <f>'Cuota Artesanal'!J62</f>
        <v>0</v>
      </c>
      <c r="N225" s="82" t="str">
        <f>'Cuota Artesanal'!Q62</f>
        <v>-</v>
      </c>
      <c r="O225" s="83">
        <f>Resumen!$B$3</f>
        <v>44096</v>
      </c>
      <c r="P225" s="39">
        <f t="shared" si="6"/>
        <v>2020</v>
      </c>
      <c r="Q225" s="39"/>
    </row>
    <row r="226" spans="1:17">
      <c r="A226" s="39" t="s">
        <v>122</v>
      </c>
      <c r="B226" s="39" t="s">
        <v>109</v>
      </c>
      <c r="C226" s="39" t="s">
        <v>71</v>
      </c>
      <c r="D226" s="39" t="s">
        <v>136</v>
      </c>
      <c r="E226" s="39" t="str">
        <f>+'Cuota Artesanal'!C61</f>
        <v>STI PECERCAL RSU 10.01.0948</v>
      </c>
      <c r="F226" s="39" t="s">
        <v>111</v>
      </c>
      <c r="G226" s="39" t="s">
        <v>114</v>
      </c>
      <c r="H226" s="78">
        <f>'Cuota Artesanal'!K61</f>
        <v>832.79899999999998</v>
      </c>
      <c r="I226" s="78">
        <f>'Cuota Artesanal'!L61</f>
        <v>-821.71</v>
      </c>
      <c r="J226" s="78">
        <f>'Cuota Artesanal'!M61</f>
        <v>11.088999999999942</v>
      </c>
      <c r="K226" s="78">
        <f>'Cuota Artesanal'!N61</f>
        <v>0</v>
      </c>
      <c r="L226" s="78">
        <f>'Cuota Artesanal'!O61</f>
        <v>11.088999999999942</v>
      </c>
      <c r="M226" s="221">
        <f>'Cuota Artesanal'!P61</f>
        <v>0</v>
      </c>
      <c r="N226" s="82" t="s">
        <v>135</v>
      </c>
      <c r="O226" s="83">
        <f>Resumen!$B$3</f>
        <v>44096</v>
      </c>
      <c r="P226" s="39">
        <f t="shared" si="6"/>
        <v>2020</v>
      </c>
      <c r="Q226" s="39"/>
    </row>
    <row r="227" spans="1:17">
      <c r="A227" s="39" t="s">
        <v>122</v>
      </c>
      <c r="B227" s="39" t="s">
        <v>109</v>
      </c>
      <c r="C227" s="39" t="s">
        <v>71</v>
      </c>
      <c r="D227" s="39" t="s">
        <v>136</v>
      </c>
      <c r="E227" s="39" t="str">
        <f>+'Cuota Artesanal'!C63</f>
        <v>STI PROVEEDORES MARITIMOS DE QUILLAIPE 10.01.0835</v>
      </c>
      <c r="F227" s="39" t="s">
        <v>111</v>
      </c>
      <c r="G227" s="39" t="s">
        <v>112</v>
      </c>
      <c r="H227" s="78">
        <f>'Cuota Artesanal'!E63</f>
        <v>106.148</v>
      </c>
      <c r="I227" s="78">
        <f>'Cuota Artesanal'!F63</f>
        <v>-104</v>
      </c>
      <c r="J227" s="78">
        <f>'Cuota Artesanal'!G63</f>
        <v>2.1479999999999961</v>
      </c>
      <c r="K227" s="78">
        <f>'Cuota Artesanal'!H63</f>
        <v>0</v>
      </c>
      <c r="L227" s="78">
        <f>'Cuota Artesanal'!I63</f>
        <v>2.1479999999999961</v>
      </c>
      <c r="M227" s="221">
        <f>'Cuota Artesanal'!J63</f>
        <v>0</v>
      </c>
      <c r="N227" s="82" t="str">
        <f>'Cuota Artesanal'!Q63</f>
        <v>-</v>
      </c>
      <c r="O227" s="83">
        <f>Resumen!$B$3</f>
        <v>44096</v>
      </c>
      <c r="P227" s="39">
        <f t="shared" si="6"/>
        <v>2020</v>
      </c>
      <c r="Q227" s="39"/>
    </row>
    <row r="228" spans="1:17">
      <c r="A228" s="39" t="s">
        <v>122</v>
      </c>
      <c r="B228" s="39" t="s">
        <v>109</v>
      </c>
      <c r="C228" s="39" t="s">
        <v>71</v>
      </c>
      <c r="D228" s="39" t="s">
        <v>136</v>
      </c>
      <c r="E228" s="39" t="str">
        <f>+'Cuota Artesanal'!C63</f>
        <v>STI PROVEEDORES MARITIMOS DE QUILLAIPE 10.01.0835</v>
      </c>
      <c r="F228" s="39" t="s">
        <v>113</v>
      </c>
      <c r="G228" s="39" t="s">
        <v>114</v>
      </c>
      <c r="H228" s="78">
        <f>'Cuota Artesanal'!E64</f>
        <v>5.5869999999999997</v>
      </c>
      <c r="I228" s="78">
        <f>'Cuota Artesanal'!F64</f>
        <v>0</v>
      </c>
      <c r="J228" s="78">
        <f>'Cuota Artesanal'!G64</f>
        <v>7.7349999999999959</v>
      </c>
      <c r="K228" s="78">
        <f>'Cuota Artesanal'!H64</f>
        <v>0</v>
      </c>
      <c r="L228" s="78">
        <f>'Cuota Artesanal'!I64</f>
        <v>7.7349999999999959</v>
      </c>
      <c r="M228" s="221">
        <f>'Cuota Artesanal'!J64</f>
        <v>0</v>
      </c>
      <c r="N228" s="82" t="str">
        <f>'Cuota Artesanal'!Q64</f>
        <v>-</v>
      </c>
      <c r="O228" s="83">
        <f>Resumen!$B$3</f>
        <v>44096</v>
      </c>
      <c r="P228" s="39">
        <f t="shared" si="6"/>
        <v>2020</v>
      </c>
      <c r="Q228" s="39"/>
    </row>
    <row r="229" spans="1:17">
      <c r="A229" s="39" t="s">
        <v>122</v>
      </c>
      <c r="B229" s="39" t="s">
        <v>109</v>
      </c>
      <c r="C229" s="39" t="s">
        <v>71</v>
      </c>
      <c r="D229" s="39" t="s">
        <v>136</v>
      </c>
      <c r="E229" s="39" t="str">
        <f>+'Cuota Artesanal'!C63</f>
        <v>STI PROVEEDORES MARITIMOS DE QUILLAIPE 10.01.0835</v>
      </c>
      <c r="F229" s="39" t="s">
        <v>111</v>
      </c>
      <c r="G229" s="39" t="s">
        <v>114</v>
      </c>
      <c r="H229" s="78">
        <f>'Cuota Artesanal'!K63</f>
        <v>111.735</v>
      </c>
      <c r="I229" s="78">
        <f>'Cuota Artesanal'!L63</f>
        <v>-104</v>
      </c>
      <c r="J229" s="78">
        <f>'Cuota Artesanal'!M63</f>
        <v>7.7349999999999994</v>
      </c>
      <c r="K229" s="78">
        <f>'Cuota Artesanal'!N63</f>
        <v>0</v>
      </c>
      <c r="L229" s="78">
        <f>'Cuota Artesanal'!O63</f>
        <v>7.7349999999999994</v>
      </c>
      <c r="M229" s="221">
        <f>'Cuota Artesanal'!P63</f>
        <v>0</v>
      </c>
      <c r="N229" s="82" t="s">
        <v>135</v>
      </c>
      <c r="O229" s="83">
        <f>Resumen!$B$3</f>
        <v>44096</v>
      </c>
      <c r="P229" s="39">
        <f t="shared" si="6"/>
        <v>2020</v>
      </c>
      <c r="Q229" s="39"/>
    </row>
    <row r="230" spans="1:17">
      <c r="A230" s="39" t="s">
        <v>122</v>
      </c>
      <c r="B230" s="39" t="s">
        <v>109</v>
      </c>
      <c r="C230" s="39" t="s">
        <v>71</v>
      </c>
      <c r="D230" s="39" t="s">
        <v>131</v>
      </c>
      <c r="E230" s="39" t="str">
        <f>+'Cuota Artesanal'!C65</f>
        <v xml:space="preserve"> BOLSON RESIDUAL</v>
      </c>
      <c r="F230" s="39" t="s">
        <v>111</v>
      </c>
      <c r="G230" s="39" t="s">
        <v>112</v>
      </c>
      <c r="H230" s="78">
        <f>'Cuota Artesanal'!E65</f>
        <v>264.56099999999998</v>
      </c>
      <c r="I230" s="78">
        <f>'Cuota Artesanal'!F65</f>
        <v>0</v>
      </c>
      <c r="J230" s="78">
        <f>'Cuota Artesanal'!G65</f>
        <v>264.56099999999998</v>
      </c>
      <c r="K230" s="78">
        <f>'Cuota Artesanal'!H65</f>
        <v>0.06</v>
      </c>
      <c r="L230" s="78">
        <f>'Cuota Artesanal'!I65</f>
        <v>264.50099999999998</v>
      </c>
      <c r="M230" s="221">
        <f>'Cuota Artesanal'!J65</f>
        <v>2.2679079682946468E-4</v>
      </c>
      <c r="N230" s="82" t="str">
        <f>'Cuota Artesanal'!Q65</f>
        <v>-</v>
      </c>
      <c r="O230" s="83">
        <f>Resumen!$B$3</f>
        <v>44096</v>
      </c>
      <c r="P230" s="39">
        <f t="shared" si="6"/>
        <v>2020</v>
      </c>
      <c r="Q230" s="39"/>
    </row>
    <row r="231" spans="1:17">
      <c r="A231" s="39" t="s">
        <v>122</v>
      </c>
      <c r="B231" s="39" t="s">
        <v>109</v>
      </c>
      <c r="C231" s="39" t="s">
        <v>71</v>
      </c>
      <c r="D231" s="39" t="s">
        <v>131</v>
      </c>
      <c r="E231" s="39" t="str">
        <f>+'Cuota Artesanal'!C65</f>
        <v xml:space="preserve"> BOLSON RESIDUAL</v>
      </c>
      <c r="F231" s="39" t="s">
        <v>113</v>
      </c>
      <c r="G231" s="39" t="s">
        <v>114</v>
      </c>
      <c r="H231" s="78">
        <f>'Cuota Artesanal'!E66</f>
        <v>13.933</v>
      </c>
      <c r="I231" s="78">
        <f>'Cuota Artesanal'!F66</f>
        <v>0</v>
      </c>
      <c r="J231" s="78">
        <f>'Cuota Artesanal'!G66</f>
        <v>278.43399999999997</v>
      </c>
      <c r="K231" s="78">
        <f>'Cuota Artesanal'!H66</f>
        <v>0</v>
      </c>
      <c r="L231" s="78">
        <f>'Cuota Artesanal'!I66</f>
        <v>278.43399999999997</v>
      </c>
      <c r="M231" s="221">
        <f>'Cuota Artesanal'!J66</f>
        <v>0</v>
      </c>
      <c r="N231" s="82" t="str">
        <f>'Cuota Artesanal'!Q66</f>
        <v>-</v>
      </c>
      <c r="O231" s="83">
        <f>Resumen!$B$3</f>
        <v>44096</v>
      </c>
      <c r="P231" s="39">
        <f t="shared" si="6"/>
        <v>2020</v>
      </c>
      <c r="Q231" s="39"/>
    </row>
    <row r="232" spans="1:17">
      <c r="A232" s="39" t="s">
        <v>122</v>
      </c>
      <c r="B232" s="39" t="s">
        <v>109</v>
      </c>
      <c r="C232" s="39" t="s">
        <v>71</v>
      </c>
      <c r="D232" s="39" t="s">
        <v>131</v>
      </c>
      <c r="E232" s="39" t="str">
        <f>+'Cuota Artesanal'!C65</f>
        <v xml:space="preserve"> BOLSON RESIDUAL</v>
      </c>
      <c r="F232" s="39" t="s">
        <v>111</v>
      </c>
      <c r="G232" s="39" t="s">
        <v>114</v>
      </c>
      <c r="H232" s="78">
        <f>'Cuota Artesanal'!K65</f>
        <v>278.49399999999997</v>
      </c>
      <c r="I232" s="78">
        <f>'Cuota Artesanal'!L65</f>
        <v>0</v>
      </c>
      <c r="J232" s="78">
        <f>'Cuota Artesanal'!M65</f>
        <v>278.49399999999997</v>
      </c>
      <c r="K232" s="78">
        <f>'Cuota Artesanal'!N65</f>
        <v>0.06</v>
      </c>
      <c r="L232" s="78">
        <f>'Cuota Artesanal'!O65</f>
        <v>278.43399999999997</v>
      </c>
      <c r="M232" s="221">
        <f>'Cuota Artesanal'!P65</f>
        <v>2.1544449790659764E-4</v>
      </c>
      <c r="N232" s="82" t="s">
        <v>135</v>
      </c>
      <c r="O232" s="83">
        <f>Resumen!$B$3</f>
        <v>44096</v>
      </c>
      <c r="P232" s="39">
        <f t="shared" si="6"/>
        <v>2020</v>
      </c>
      <c r="Q232" s="39"/>
    </row>
    <row r="233" spans="1:17">
      <c r="A233" s="40" t="s">
        <v>108</v>
      </c>
      <c r="B233" s="39" t="s">
        <v>109</v>
      </c>
      <c r="C233" s="39" t="s">
        <v>59</v>
      </c>
      <c r="D233" s="227" t="s">
        <v>132</v>
      </c>
      <c r="E233" s="227" t="s">
        <v>133</v>
      </c>
      <c r="F233" s="39" t="s">
        <v>111</v>
      </c>
      <c r="G233" s="39" t="s">
        <v>114</v>
      </c>
      <c r="H233" s="78">
        <f>Resumen!D24</f>
        <v>61254.999942499991</v>
      </c>
      <c r="I233" s="78">
        <f>Resumen!E24</f>
        <v>-14054.74711</v>
      </c>
      <c r="J233" s="78">
        <f>Resumen!F24</f>
        <v>47200.252832499988</v>
      </c>
      <c r="K233" s="78">
        <f>Resumen!G24</f>
        <v>40475.896000000001</v>
      </c>
      <c r="L233" s="78">
        <f>Resumen!H24</f>
        <v>6724.3568324999869</v>
      </c>
      <c r="M233" s="221">
        <f>Resumen!I24</f>
        <v>0.85753557599865449</v>
      </c>
      <c r="N233" s="82" t="s">
        <v>135</v>
      </c>
      <c r="O233" s="83">
        <f>Resumen!$B$3</f>
        <v>44096</v>
      </c>
      <c r="P233" s="39">
        <f t="shared" si="6"/>
        <v>2020</v>
      </c>
      <c r="Q233" s="39"/>
    </row>
    <row r="234" spans="1:17">
      <c r="A234" s="40" t="s">
        <v>118</v>
      </c>
      <c r="B234" s="39" t="s">
        <v>109</v>
      </c>
      <c r="C234" s="39" t="s">
        <v>119</v>
      </c>
      <c r="D234" s="227" t="s">
        <v>132</v>
      </c>
      <c r="E234" s="227" t="s">
        <v>133</v>
      </c>
      <c r="F234" s="39" t="s">
        <v>111</v>
      </c>
      <c r="G234" s="39" t="s">
        <v>114</v>
      </c>
      <c r="H234" s="78">
        <f>Resumen!D25</f>
        <v>12927.001291500002</v>
      </c>
      <c r="I234" s="78">
        <f>Resumen!E25</f>
        <v>-8307.3780480000005</v>
      </c>
      <c r="J234" s="78">
        <f>Resumen!F25</f>
        <v>4619.623243500002</v>
      </c>
      <c r="K234" s="78">
        <f>Resumen!G25</f>
        <v>4219.9859999999999</v>
      </c>
      <c r="L234" s="78">
        <f>Resumen!H25</f>
        <v>399.63724350000211</v>
      </c>
      <c r="M234" s="221">
        <f>Resumen!I25</f>
        <v>0.91349137744894937</v>
      </c>
      <c r="N234" s="82" t="s">
        <v>135</v>
      </c>
      <c r="O234" s="83">
        <f>Resumen!$B$3</f>
        <v>44096</v>
      </c>
      <c r="P234" s="39">
        <f t="shared" si="6"/>
        <v>2020</v>
      </c>
      <c r="Q234" s="39"/>
    </row>
    <row r="235" spans="1:17">
      <c r="A235" s="40" t="s">
        <v>121</v>
      </c>
      <c r="B235" s="39" t="s">
        <v>109</v>
      </c>
      <c r="C235" s="39" t="s">
        <v>76</v>
      </c>
      <c r="D235" s="227" t="s">
        <v>132</v>
      </c>
      <c r="E235" s="227" t="s">
        <v>133</v>
      </c>
      <c r="F235" s="39" t="s">
        <v>111</v>
      </c>
      <c r="G235" s="39" t="s">
        <v>114</v>
      </c>
      <c r="H235" s="78">
        <f>Resumen!D26</f>
        <v>277298.02783979999</v>
      </c>
      <c r="I235" s="78">
        <f>Resumen!E26</f>
        <v>63685.264056</v>
      </c>
      <c r="J235" s="78">
        <f>Resumen!F26</f>
        <v>340983.29189579998</v>
      </c>
      <c r="K235" s="78">
        <f>Resumen!G26</f>
        <v>337196.28899999999</v>
      </c>
      <c r="L235" s="78">
        <f>Resumen!H26</f>
        <v>3787.0028957999893</v>
      </c>
      <c r="M235" s="221">
        <f>Resumen!I26</f>
        <v>0.98889387548948515</v>
      </c>
      <c r="N235" s="82" t="s">
        <v>135</v>
      </c>
      <c r="O235" s="83">
        <f>Resumen!$B$3</f>
        <v>44096</v>
      </c>
      <c r="P235" s="39">
        <f t="shared" si="6"/>
        <v>2020</v>
      </c>
      <c r="Q235" s="39"/>
    </row>
    <row r="236" spans="1:17">
      <c r="A236" s="40" t="s">
        <v>122</v>
      </c>
      <c r="B236" s="39" t="s">
        <v>109</v>
      </c>
      <c r="C236" s="39" t="s">
        <v>82</v>
      </c>
      <c r="D236" s="227" t="s">
        <v>132</v>
      </c>
      <c r="E236" s="227" t="s">
        <v>133</v>
      </c>
      <c r="F236" s="39" t="s">
        <v>111</v>
      </c>
      <c r="G236" s="39" t="s">
        <v>114</v>
      </c>
      <c r="H236" s="78">
        <f>Resumen!D27</f>
        <v>38615.996139400006</v>
      </c>
      <c r="I236" s="78">
        <f>Resumen!E27</f>
        <v>-29945.172897999997</v>
      </c>
      <c r="J236" s="78">
        <f>Resumen!F27</f>
        <v>8670.8232414000086</v>
      </c>
      <c r="K236" s="78">
        <f>Resumen!G27</f>
        <v>7911.38</v>
      </c>
      <c r="L236" s="78">
        <f>Resumen!H27</f>
        <v>759.44324140000845</v>
      </c>
      <c r="M236" s="221">
        <f>Resumen!I27</f>
        <v>0.91241394037720147</v>
      </c>
      <c r="N236" s="82" t="s">
        <v>135</v>
      </c>
      <c r="O236" s="83">
        <f>Resumen!$B$3</f>
        <v>44096</v>
      </c>
      <c r="P236" s="39">
        <f t="shared" si="6"/>
        <v>2020</v>
      </c>
      <c r="Q236" s="39"/>
    </row>
    <row r="237" spans="1:17">
      <c r="A237" s="40" t="s">
        <v>108</v>
      </c>
      <c r="B237" s="39" t="s">
        <v>109</v>
      </c>
      <c r="C237" s="39" t="s">
        <v>123</v>
      </c>
      <c r="D237" s="39" t="s">
        <v>116</v>
      </c>
      <c r="E237" s="228" t="s">
        <v>134</v>
      </c>
      <c r="F237" s="39" t="s">
        <v>111</v>
      </c>
      <c r="G237" s="39" t="s">
        <v>114</v>
      </c>
      <c r="H237" s="78">
        <f>Resumen!D6</f>
        <v>1537</v>
      </c>
      <c r="I237" s="78">
        <f>Resumen!E6</f>
        <v>0</v>
      </c>
      <c r="J237" s="78">
        <f>Resumen!F6</f>
        <v>1537</v>
      </c>
      <c r="K237" s="78">
        <f>Resumen!G6</f>
        <v>3.2000000000000001E-2</v>
      </c>
      <c r="L237" s="78">
        <f>Resumen!H6</f>
        <v>1536.9680000000001</v>
      </c>
      <c r="M237" s="221">
        <f>Resumen!I6</f>
        <v>2.0819778789850359E-5</v>
      </c>
      <c r="N237" s="82" t="s">
        <v>135</v>
      </c>
      <c r="O237" s="83">
        <f>Resumen!$B$3</f>
        <v>44096</v>
      </c>
      <c r="P237" s="39">
        <f t="shared" si="6"/>
        <v>2020</v>
      </c>
      <c r="Q237" s="39"/>
    </row>
    <row r="238" spans="1:17">
      <c r="A238" s="40" t="s">
        <v>108</v>
      </c>
      <c r="B238" s="39" t="s">
        <v>109</v>
      </c>
      <c r="C238" s="39" t="s">
        <v>34</v>
      </c>
      <c r="D238" s="39" t="s">
        <v>116</v>
      </c>
      <c r="E238" s="228" t="s">
        <v>134</v>
      </c>
      <c r="F238" s="39" t="s">
        <v>111</v>
      </c>
      <c r="G238" s="39" t="s">
        <v>114</v>
      </c>
      <c r="H238" s="78">
        <f>Resumen!D7</f>
        <v>1537</v>
      </c>
      <c r="I238" s="78">
        <f>Resumen!E7</f>
        <v>0</v>
      </c>
      <c r="J238" s="78">
        <f>Resumen!F7</f>
        <v>1537</v>
      </c>
      <c r="K238" s="78">
        <f>Resumen!G7</f>
        <v>17.797000000000001</v>
      </c>
      <c r="L238" s="78">
        <f>Resumen!H7</f>
        <v>1519.203</v>
      </c>
      <c r="M238" s="221">
        <f>Resumen!I7</f>
        <v>1.1579050097592714E-2</v>
      </c>
      <c r="N238" s="82" t="s">
        <v>135</v>
      </c>
      <c r="O238" s="83">
        <f>Resumen!$B$3</f>
        <v>44096</v>
      </c>
      <c r="P238" s="39">
        <f t="shared" si="6"/>
        <v>2020</v>
      </c>
      <c r="Q238" s="39"/>
    </row>
    <row r="239" spans="1:17">
      <c r="A239" s="40" t="s">
        <v>108</v>
      </c>
      <c r="B239" s="39" t="s">
        <v>109</v>
      </c>
      <c r="C239" s="218" t="s">
        <v>35</v>
      </c>
      <c r="D239" s="39" t="s">
        <v>116</v>
      </c>
      <c r="E239" s="228" t="s">
        <v>134</v>
      </c>
      <c r="F239" s="39" t="s">
        <v>111</v>
      </c>
      <c r="G239" s="39" t="s">
        <v>114</v>
      </c>
      <c r="H239" s="78">
        <f>+Resumen!D9</f>
        <v>4091.2200000000003</v>
      </c>
      <c r="I239" s="78">
        <f>+Resumen!E9</f>
        <v>2195</v>
      </c>
      <c r="J239" s="78">
        <f>+Resumen!F9</f>
        <v>6286.22</v>
      </c>
      <c r="K239" s="78">
        <f>+Resumen!G9</f>
        <v>5793.3379999999997</v>
      </c>
      <c r="L239" s="78">
        <f>+Resumen!H9</f>
        <v>492.88200000000052</v>
      </c>
      <c r="M239" s="221">
        <f>+Resumen!I9</f>
        <v>0.92159326272386255</v>
      </c>
      <c r="N239" s="82" t="s">
        <v>135</v>
      </c>
      <c r="O239" s="83">
        <f>Resumen!$B$3</f>
        <v>44096</v>
      </c>
      <c r="P239" s="39">
        <f t="shared" si="6"/>
        <v>2020</v>
      </c>
      <c r="Q239" s="39"/>
    </row>
    <row r="240" spans="1:17">
      <c r="A240" s="40" t="s">
        <v>118</v>
      </c>
      <c r="B240" s="39" t="s">
        <v>109</v>
      </c>
      <c r="C240" s="39" t="s">
        <v>124</v>
      </c>
      <c r="D240" s="39" t="s">
        <v>116</v>
      </c>
      <c r="E240" s="228" t="s">
        <v>134</v>
      </c>
      <c r="F240" s="39" t="s">
        <v>111</v>
      </c>
      <c r="G240" s="39" t="s">
        <v>114</v>
      </c>
      <c r="H240" s="78">
        <f>Resumen!D10</f>
        <v>9498.1440000000002</v>
      </c>
      <c r="I240" s="78">
        <f>Resumen!E10</f>
        <v>681.09999999999991</v>
      </c>
      <c r="J240" s="78">
        <f>Resumen!F10</f>
        <v>10179.244000000001</v>
      </c>
      <c r="K240" s="78">
        <f>Resumen!G10</f>
        <v>7919.3799999999992</v>
      </c>
      <c r="L240" s="78">
        <f>Resumen!H10</f>
        <v>2259.8640000000014</v>
      </c>
      <c r="M240" s="221">
        <f>Resumen!I10</f>
        <v>0.77799294328734026</v>
      </c>
      <c r="N240" s="82" t="s">
        <v>135</v>
      </c>
      <c r="O240" s="83">
        <f>Resumen!$B$3</f>
        <v>44096</v>
      </c>
      <c r="P240" s="39">
        <f t="shared" si="6"/>
        <v>2020</v>
      </c>
      <c r="Q240" s="39"/>
    </row>
    <row r="241" spans="1:17">
      <c r="A241" s="40" t="s">
        <v>121</v>
      </c>
      <c r="B241" s="39" t="s">
        <v>109</v>
      </c>
      <c r="C241" s="39" t="s">
        <v>125</v>
      </c>
      <c r="D241" s="39" t="s">
        <v>116</v>
      </c>
      <c r="E241" s="228" t="s">
        <v>134</v>
      </c>
      <c r="F241" s="39" t="s">
        <v>111</v>
      </c>
      <c r="G241" s="39" t="s">
        <v>114</v>
      </c>
      <c r="H241" s="78">
        <f>Resumen!D11</f>
        <v>4230.4549999999999</v>
      </c>
      <c r="I241" s="78">
        <f>Resumen!E11</f>
        <v>-3441</v>
      </c>
      <c r="J241" s="78">
        <f>Resumen!F11</f>
        <v>789.45499999999993</v>
      </c>
      <c r="K241" s="78">
        <f>Resumen!G11</f>
        <v>317.00200000000001</v>
      </c>
      <c r="L241" s="78">
        <f>Resumen!H11</f>
        <v>472.45299999999992</v>
      </c>
      <c r="M241" s="221">
        <f>Resumen!I11</f>
        <v>0.40154536990708783</v>
      </c>
      <c r="N241" s="82" t="s">
        <v>135</v>
      </c>
      <c r="O241" s="83">
        <f>Resumen!$B$3</f>
        <v>44096</v>
      </c>
      <c r="P241" s="39">
        <f t="shared" ref="P241:P247" si="7">YEAR(O241)</f>
        <v>2020</v>
      </c>
      <c r="Q241" s="39"/>
    </row>
    <row r="242" spans="1:17">
      <c r="A242" s="40" t="s">
        <v>121</v>
      </c>
      <c r="B242" s="39" t="s">
        <v>109</v>
      </c>
      <c r="C242" s="39" t="s">
        <v>126</v>
      </c>
      <c r="D242" s="39" t="s">
        <v>116</v>
      </c>
      <c r="E242" s="228" t="s">
        <v>134</v>
      </c>
      <c r="F242" s="39" t="s">
        <v>111</v>
      </c>
      <c r="G242" s="39" t="s">
        <v>114</v>
      </c>
      <c r="H242" s="78">
        <f>Resumen!D12</f>
        <v>9.1930000000000014</v>
      </c>
      <c r="I242" s="78">
        <f>Resumen!E12</f>
        <v>0</v>
      </c>
      <c r="J242" s="78">
        <f>Resumen!F12</f>
        <v>9.1930000000000014</v>
      </c>
      <c r="K242" s="78">
        <f>Resumen!G12</f>
        <v>6.0739999999999998</v>
      </c>
      <c r="L242" s="78">
        <f>Resumen!H12</f>
        <v>3.1190000000000015</v>
      </c>
      <c r="M242" s="221">
        <f>Resumen!I12</f>
        <v>0.66072011312955503</v>
      </c>
      <c r="N242" s="82" t="s">
        <v>135</v>
      </c>
      <c r="O242" s="83">
        <f>Resumen!$B$3</f>
        <v>44096</v>
      </c>
      <c r="P242" s="39">
        <f t="shared" si="7"/>
        <v>2020</v>
      </c>
      <c r="Q242" s="39"/>
    </row>
    <row r="243" spans="1:17">
      <c r="A243" s="40" t="s">
        <v>121</v>
      </c>
      <c r="B243" s="39" t="s">
        <v>109</v>
      </c>
      <c r="C243" s="39" t="s">
        <v>83</v>
      </c>
      <c r="D243" s="39" t="s">
        <v>116</v>
      </c>
      <c r="E243" s="228" t="s">
        <v>134</v>
      </c>
      <c r="F243" s="39" t="s">
        <v>111</v>
      </c>
      <c r="G243" s="39" t="s">
        <v>114</v>
      </c>
      <c r="H243" s="78">
        <f>Resumen!D13</f>
        <v>146.947</v>
      </c>
      <c r="I243" s="78">
        <f>Resumen!E13</f>
        <v>0</v>
      </c>
      <c r="J243" s="78">
        <f>Resumen!F13</f>
        <v>146.947</v>
      </c>
      <c r="K243" s="78">
        <f>Resumen!G13</f>
        <v>107.878</v>
      </c>
      <c r="L243" s="78">
        <f>Resumen!H13</f>
        <v>39.069000000000003</v>
      </c>
      <c r="M243" s="221">
        <f>Resumen!I13</f>
        <v>0.73412863141132512</v>
      </c>
      <c r="N243" s="82" t="s">
        <v>135</v>
      </c>
      <c r="O243" s="83">
        <f>Resumen!$B$3</f>
        <v>44096</v>
      </c>
      <c r="P243" s="39">
        <f t="shared" si="7"/>
        <v>2020</v>
      </c>
      <c r="Q243" s="39"/>
    </row>
    <row r="244" spans="1:17">
      <c r="A244" s="40" t="s">
        <v>121</v>
      </c>
      <c r="B244" s="39" t="s">
        <v>109</v>
      </c>
      <c r="C244" s="39" t="s">
        <v>84</v>
      </c>
      <c r="D244" s="39" t="s">
        <v>116</v>
      </c>
      <c r="E244" s="228" t="s">
        <v>134</v>
      </c>
      <c r="F244" s="39" t="s">
        <v>111</v>
      </c>
      <c r="G244" s="39" t="s">
        <v>114</v>
      </c>
      <c r="H244" s="78">
        <f>Resumen!D14</f>
        <v>9574.8950000000004</v>
      </c>
      <c r="I244" s="78">
        <f>Resumen!E14</f>
        <v>0</v>
      </c>
      <c r="J244" s="78">
        <f>Resumen!F14</f>
        <v>9574.8950000000004</v>
      </c>
      <c r="K244" s="78">
        <f>Resumen!G14</f>
        <v>10586.37</v>
      </c>
      <c r="L244" s="78">
        <f>Resumen!H14</f>
        <v>-1011.4750000000004</v>
      </c>
      <c r="M244" s="221">
        <f>Resumen!I14</f>
        <v>1.1056382341529594</v>
      </c>
      <c r="N244" s="82" t="s">
        <v>135</v>
      </c>
      <c r="O244" s="83">
        <f>Resumen!$B$3</f>
        <v>44096</v>
      </c>
      <c r="P244" s="39">
        <f t="shared" si="7"/>
        <v>2020</v>
      </c>
      <c r="Q244" s="39"/>
    </row>
    <row r="245" spans="1:17">
      <c r="A245" s="40" t="s">
        <v>121</v>
      </c>
      <c r="B245" s="39" t="s">
        <v>109</v>
      </c>
      <c r="C245" s="39" t="s">
        <v>43</v>
      </c>
      <c r="D245" s="39" t="s">
        <v>116</v>
      </c>
      <c r="E245" s="228" t="s">
        <v>134</v>
      </c>
      <c r="F245" s="39" t="s">
        <v>111</v>
      </c>
      <c r="G245" s="39" t="s">
        <v>114</v>
      </c>
      <c r="H245" s="78">
        <f>Resumen!D15</f>
        <v>48.010999999999996</v>
      </c>
      <c r="I245" s="78">
        <f>Resumen!E15</f>
        <v>0</v>
      </c>
      <c r="J245" s="78">
        <f>Resumen!F15</f>
        <v>48.010999999999996</v>
      </c>
      <c r="K245" s="78">
        <f>Resumen!G15</f>
        <v>5.4610000000000003</v>
      </c>
      <c r="L245" s="78">
        <f>Resumen!H15</f>
        <v>42.55</v>
      </c>
      <c r="M245" s="221">
        <f>Resumen!I15</f>
        <v>0.11374476682426946</v>
      </c>
      <c r="N245" s="82" t="s">
        <v>135</v>
      </c>
      <c r="O245" s="83">
        <f>Resumen!$B$3</f>
        <v>44096</v>
      </c>
      <c r="P245" s="39">
        <f t="shared" si="7"/>
        <v>2020</v>
      </c>
      <c r="Q245" s="39"/>
    </row>
    <row r="246" spans="1:17">
      <c r="A246" s="39" t="s">
        <v>122</v>
      </c>
      <c r="B246" s="39" t="s">
        <v>109</v>
      </c>
      <c r="C246" s="39" t="s">
        <v>44</v>
      </c>
      <c r="D246" s="39" t="s">
        <v>116</v>
      </c>
      <c r="E246" s="228" t="s">
        <v>134</v>
      </c>
      <c r="F246" s="39" t="s">
        <v>111</v>
      </c>
      <c r="G246" s="39" t="s">
        <v>114</v>
      </c>
      <c r="H246" s="78">
        <f>Resumen!D16</f>
        <v>1119.8409999999999</v>
      </c>
      <c r="I246" s="78">
        <f>Resumen!E16</f>
        <v>0</v>
      </c>
      <c r="J246" s="78">
        <f>Resumen!F16</f>
        <v>1119.8409999999999</v>
      </c>
      <c r="K246" s="78">
        <f>Resumen!G16</f>
        <v>1084.462</v>
      </c>
      <c r="L246" s="78">
        <f>Resumen!H16</f>
        <v>35.378999999999905</v>
      </c>
      <c r="M246" s="221">
        <f>Resumen!I16</f>
        <v>0.96840712208251001</v>
      </c>
      <c r="N246" s="82" t="s">
        <v>135</v>
      </c>
      <c r="O246" s="83">
        <f>Resumen!$B$3</f>
        <v>44096</v>
      </c>
      <c r="P246" s="39">
        <f t="shared" si="7"/>
        <v>2020</v>
      </c>
      <c r="Q246" s="39"/>
    </row>
    <row r="247" spans="1:17">
      <c r="A247" s="39" t="s">
        <v>122</v>
      </c>
      <c r="B247" s="39" t="s">
        <v>109</v>
      </c>
      <c r="C247" s="39" t="s">
        <v>71</v>
      </c>
      <c r="D247" s="39" t="s">
        <v>116</v>
      </c>
      <c r="E247" s="228" t="s">
        <v>134</v>
      </c>
      <c r="F247" s="39" t="s">
        <v>111</v>
      </c>
      <c r="G247" s="39" t="s">
        <v>114</v>
      </c>
      <c r="H247" s="78">
        <f>Resumen!D17</f>
        <v>7492.2990000000009</v>
      </c>
      <c r="I247" s="78">
        <f>Resumen!E17</f>
        <v>-6915.71</v>
      </c>
      <c r="J247" s="78">
        <f>Resumen!F17</f>
        <v>576.58900000000085</v>
      </c>
      <c r="K247" s="78">
        <f>Resumen!G17</f>
        <v>0.06</v>
      </c>
      <c r="L247" s="78">
        <f>Resumen!H17</f>
        <v>576.52900000000091</v>
      </c>
      <c r="M247" s="221">
        <f>Resumen!I17</f>
        <v>1.0406025782663198E-4</v>
      </c>
      <c r="N247" s="82" t="s">
        <v>135</v>
      </c>
      <c r="O247" s="83">
        <f>Resumen!$B$3</f>
        <v>44096</v>
      </c>
      <c r="P247" s="39">
        <f t="shared" si="7"/>
        <v>2020</v>
      </c>
      <c r="Q247" s="39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 OROP-PS</vt:lpstr>
      <vt:lpstr>Consumo Humano</vt:lpstr>
      <vt:lpstr>Cesiones Cuota Individual</vt:lpstr>
      <vt:lpstr>Pag. 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omar aviles zamora</cp:lastModifiedBy>
  <dcterms:created xsi:type="dcterms:W3CDTF">2018-02-08T15:15:02Z</dcterms:created>
  <dcterms:modified xsi:type="dcterms:W3CDTF">2020-09-24T15:45:48Z</dcterms:modified>
</cp:coreProperties>
</file>