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2.- Pelagicos\Jurel 2021\"/>
    </mc:Choice>
  </mc:AlternateContent>
  <bookViews>
    <workbookView xWindow="-105" yWindow="-105" windowWidth="23250" windowHeight="12570" tabRatio="817" activeTab="2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INDIVIDUALES" sheetId="5" r:id="rId6"/>
    <sheet name="Pag. Web" sheetId="6" r:id="rId7"/>
  </sheets>
  <definedNames>
    <definedName name="_xlnm._FilterDatabase" localSheetId="5" hidden="1">'CESIONES INDIVIDUALES'!$B$5:$H$15</definedName>
    <definedName name="_xlnm._FilterDatabase" localSheetId="1" hidden="1">'CUOTA ARTESANAL'!$B$5:$P$5</definedName>
    <definedName name="_xlnm._FilterDatabase" localSheetId="2" hidden="1">'CUOTA INDUSTRIAL'!$B$5:$Q$133</definedName>
    <definedName name="_xlnm._FilterDatabase" localSheetId="6" hidden="1">'Pag. Web'!$A$1:$Q$262</definedName>
  </definedNames>
  <calcPr calcId="162913"/>
</workbook>
</file>

<file path=xl/calcChain.xml><?xml version="1.0" encoding="utf-8"?>
<calcChain xmlns="http://schemas.openxmlformats.org/spreadsheetml/2006/main">
  <c r="F15" i="5" l="1"/>
  <c r="H15" i="5" s="1"/>
  <c r="E15" i="5"/>
  <c r="H12" i="5"/>
  <c r="H11" i="5"/>
  <c r="G12" i="5"/>
  <c r="G11" i="5"/>
  <c r="F69" i="2"/>
  <c r="G15" i="5" l="1"/>
  <c r="F42" i="2"/>
  <c r="F50" i="2"/>
  <c r="F6" i="2" l="1"/>
  <c r="F20" i="2"/>
  <c r="H7" i="5" l="1"/>
  <c r="H8" i="5"/>
  <c r="H9" i="5"/>
  <c r="H10" i="5"/>
  <c r="G7" i="5"/>
  <c r="G8" i="5"/>
  <c r="G9" i="5"/>
  <c r="G10" i="5"/>
  <c r="F24" i="1"/>
  <c r="O170" i="6" l="1"/>
  <c r="P170" i="6" s="1"/>
  <c r="O171" i="6"/>
  <c r="P171" i="6" s="1"/>
  <c r="O172" i="6"/>
  <c r="P172" i="6" s="1"/>
  <c r="H171" i="6"/>
  <c r="I171" i="6"/>
  <c r="K171" i="6"/>
  <c r="K170" i="6"/>
  <c r="H170" i="6"/>
  <c r="E172" i="6"/>
  <c r="E171" i="6"/>
  <c r="E170" i="6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H126" i="6"/>
  <c r="I126" i="6"/>
  <c r="K126" i="6"/>
  <c r="K125" i="6"/>
  <c r="H125" i="6"/>
  <c r="E127" i="6"/>
  <c r="E126" i="6"/>
  <c r="E125" i="6"/>
  <c r="H123" i="6"/>
  <c r="I123" i="6"/>
  <c r="K123" i="6"/>
  <c r="K122" i="6"/>
  <c r="H122" i="6"/>
  <c r="E124" i="6"/>
  <c r="E123" i="6"/>
  <c r="E122" i="6"/>
  <c r="O68" i="6"/>
  <c r="P68" i="6" s="1"/>
  <c r="O69" i="6"/>
  <c r="P69" i="6" s="1"/>
  <c r="O70" i="6"/>
  <c r="P70" i="6" s="1"/>
  <c r="H69" i="6"/>
  <c r="I69" i="6"/>
  <c r="K69" i="6"/>
  <c r="K68" i="6"/>
  <c r="H68" i="6"/>
  <c r="E70" i="6"/>
  <c r="E69" i="6"/>
  <c r="E68" i="6"/>
  <c r="O23" i="6"/>
  <c r="P23" i="6" s="1"/>
  <c r="O24" i="6"/>
  <c r="P24" i="6" s="1"/>
  <c r="O25" i="6"/>
  <c r="P25" i="6" s="1"/>
  <c r="H24" i="6"/>
  <c r="I24" i="6"/>
  <c r="K24" i="6"/>
  <c r="K23" i="6"/>
  <c r="H23" i="6"/>
  <c r="E25" i="6"/>
  <c r="E23" i="6"/>
  <c r="E24" i="6"/>
  <c r="F129" i="2" l="1"/>
  <c r="F131" i="2"/>
  <c r="I170" i="6" s="1"/>
  <c r="F71" i="2"/>
  <c r="F97" i="2"/>
  <c r="K97" i="2"/>
  <c r="H127" i="6" s="1"/>
  <c r="N97" i="2"/>
  <c r="K127" i="6" s="1"/>
  <c r="G97" i="2"/>
  <c r="H100" i="2"/>
  <c r="H99" i="2"/>
  <c r="F100" i="2"/>
  <c r="E100" i="2"/>
  <c r="E99" i="2"/>
  <c r="F93" i="2"/>
  <c r="F81" i="2"/>
  <c r="F85" i="2"/>
  <c r="H23" i="2"/>
  <c r="H22" i="2"/>
  <c r="N22" i="2" s="1"/>
  <c r="F23" i="2"/>
  <c r="E23" i="2"/>
  <c r="E22" i="2"/>
  <c r="K20" i="2"/>
  <c r="L20" i="2"/>
  <c r="I25" i="6" s="1"/>
  <c r="N20" i="2"/>
  <c r="K25" i="6" s="1"/>
  <c r="I23" i="6"/>
  <c r="M20" i="2" l="1"/>
  <c r="P20" i="2" s="1"/>
  <c r="M25" i="6" s="1"/>
  <c r="H25" i="6"/>
  <c r="J97" i="2"/>
  <c r="M125" i="6" s="1"/>
  <c r="J125" i="6"/>
  <c r="L97" i="2"/>
  <c r="I127" i="6" s="1"/>
  <c r="I125" i="6"/>
  <c r="G20" i="2"/>
  <c r="I97" i="2"/>
  <c r="O20" i="2" l="1"/>
  <c r="L25" i="6" s="1"/>
  <c r="J25" i="6"/>
  <c r="M97" i="2"/>
  <c r="J23" i="6"/>
  <c r="I20" i="2"/>
  <c r="J20" i="2"/>
  <c r="M23" i="6" s="1"/>
  <c r="G98" i="2"/>
  <c r="J126" i="6" s="1"/>
  <c r="L125" i="6"/>
  <c r="G21" i="2" l="1"/>
  <c r="L23" i="6"/>
  <c r="J98" i="2"/>
  <c r="M126" i="6" s="1"/>
  <c r="O97" i="2"/>
  <c r="L127" i="6" s="1"/>
  <c r="J127" i="6"/>
  <c r="P97" i="2"/>
  <c r="M127" i="6" s="1"/>
  <c r="I98" i="2"/>
  <c r="L126" i="6" s="1"/>
  <c r="J24" i="6" l="1"/>
  <c r="I21" i="2"/>
  <c r="L24" i="6" s="1"/>
  <c r="J21" i="2"/>
  <c r="M24" i="6" s="1"/>
  <c r="F77" i="2"/>
  <c r="F64" i="1"/>
  <c r="F123" i="2"/>
  <c r="F44" i="2"/>
  <c r="F117" i="2" l="1"/>
  <c r="F12" i="2"/>
  <c r="E20" i="1" l="1"/>
  <c r="E19" i="1"/>
  <c r="H35" i="4"/>
  <c r="J35" i="4" s="1"/>
  <c r="H53" i="4"/>
  <c r="I53" i="4" s="1"/>
  <c r="I35" i="4" l="1"/>
  <c r="J53" i="4"/>
  <c r="H48" i="4"/>
  <c r="I48" i="4" s="1"/>
  <c r="G45" i="3"/>
  <c r="I45" i="3" s="1"/>
  <c r="G38" i="3"/>
  <c r="I38" i="3" l="1"/>
  <c r="H23" i="3"/>
  <c r="J48" i="4"/>
  <c r="H45" i="3"/>
  <c r="E22" i="1"/>
  <c r="E21" i="1"/>
  <c r="F89" i="2"/>
  <c r="F127" i="2"/>
  <c r="F48" i="2"/>
  <c r="F18" i="2"/>
  <c r="F75" i="2" l="1"/>
  <c r="F121" i="2"/>
  <c r="H6" i="5"/>
  <c r="G6" i="5"/>
  <c r="F54" i="1"/>
  <c r="H11" i="4" l="1"/>
  <c r="I11" i="4" s="1"/>
  <c r="H24" i="4"/>
  <c r="I24" i="4" s="1"/>
  <c r="J11" i="4" l="1"/>
  <c r="J24" i="4"/>
  <c r="F26" i="1"/>
  <c r="H64" i="4"/>
  <c r="J64" i="4" s="1"/>
  <c r="F95" i="2"/>
  <c r="I122" i="6" s="1"/>
  <c r="F91" i="2"/>
  <c r="I64" i="4" l="1"/>
  <c r="F65" i="2"/>
  <c r="F107" i="2"/>
  <c r="H70" i="4"/>
  <c r="J70" i="4" s="1"/>
  <c r="H58" i="4"/>
  <c r="I58" i="4" s="1"/>
  <c r="J58" i="4" l="1"/>
  <c r="I70" i="4"/>
  <c r="K131" i="2"/>
  <c r="H172" i="6" s="1"/>
  <c r="N131" i="2"/>
  <c r="K172" i="6" s="1"/>
  <c r="H134" i="2"/>
  <c r="H133" i="2"/>
  <c r="F134" i="2"/>
  <c r="E134" i="2"/>
  <c r="E133" i="2"/>
  <c r="G131" i="2"/>
  <c r="J170" i="6" s="1"/>
  <c r="K95" i="2"/>
  <c r="H124" i="6" s="1"/>
  <c r="L95" i="2"/>
  <c r="I124" i="6" s="1"/>
  <c r="N95" i="2"/>
  <c r="K124" i="6" s="1"/>
  <c r="K54" i="2"/>
  <c r="H70" i="6" s="1"/>
  <c r="N54" i="2"/>
  <c r="K70" i="6" s="1"/>
  <c r="H57" i="2"/>
  <c r="H56" i="2"/>
  <c r="F57" i="2"/>
  <c r="E57" i="2"/>
  <c r="E56" i="2"/>
  <c r="G95" i="2"/>
  <c r="J122" i="6" s="1"/>
  <c r="F54" i="2"/>
  <c r="F63" i="2"/>
  <c r="F111" i="2"/>
  <c r="F32" i="2"/>
  <c r="G54" i="2" l="1"/>
  <c r="I68" i="6"/>
  <c r="I131" i="2"/>
  <c r="J131" i="2"/>
  <c r="M170" i="6" s="1"/>
  <c r="K56" i="2"/>
  <c r="M95" i="2"/>
  <c r="L131" i="2"/>
  <c r="L54" i="2"/>
  <c r="J95" i="2"/>
  <c r="M122" i="6" s="1"/>
  <c r="I95" i="2"/>
  <c r="I54" i="2"/>
  <c r="M131" i="2" l="1"/>
  <c r="I172" i="6"/>
  <c r="P95" i="2"/>
  <c r="M124" i="6" s="1"/>
  <c r="J124" i="6"/>
  <c r="G132" i="2"/>
  <c r="J171" i="6" s="1"/>
  <c r="L170" i="6"/>
  <c r="G55" i="2"/>
  <c r="J69" i="6" s="1"/>
  <c r="L68" i="6"/>
  <c r="G96" i="2"/>
  <c r="J123" i="6" s="1"/>
  <c r="L122" i="6"/>
  <c r="M54" i="2"/>
  <c r="I70" i="6"/>
  <c r="J54" i="2"/>
  <c r="M68" i="6" s="1"/>
  <c r="J68" i="6"/>
  <c r="P131" i="2"/>
  <c r="M172" i="6" s="1"/>
  <c r="O95" i="2"/>
  <c r="L124" i="6" s="1"/>
  <c r="I96" i="2"/>
  <c r="L123" i="6" s="1"/>
  <c r="J96" i="2"/>
  <c r="M123" i="6" s="1"/>
  <c r="J55" i="2" l="1"/>
  <c r="M69" i="6" s="1"/>
  <c r="I55" i="2"/>
  <c r="L69" i="6" s="1"/>
  <c r="J132" i="2"/>
  <c r="M171" i="6" s="1"/>
  <c r="P54" i="2"/>
  <c r="M70" i="6" s="1"/>
  <c r="J70" i="6"/>
  <c r="I132" i="2"/>
  <c r="L171" i="6" s="1"/>
  <c r="O54" i="2"/>
  <c r="L70" i="6" s="1"/>
  <c r="O131" i="2"/>
  <c r="L172" i="6" s="1"/>
  <c r="J172" i="6"/>
  <c r="G119" i="4"/>
  <c r="H43" i="4"/>
  <c r="J43" i="4" s="1"/>
  <c r="I43" i="4" l="1"/>
  <c r="F36" i="2" l="1"/>
  <c r="F52" i="2"/>
  <c r="F10" i="2" l="1"/>
  <c r="F113" i="2"/>
  <c r="G113" i="2" s="1"/>
  <c r="F67" i="2"/>
  <c r="F34" i="2"/>
  <c r="F61" i="2" l="1"/>
  <c r="F103" i="2"/>
  <c r="F26" i="2"/>
  <c r="O167" i="6"/>
  <c r="P167" i="6" s="1"/>
  <c r="O168" i="6"/>
  <c r="P168" i="6" s="1"/>
  <c r="O169" i="6"/>
  <c r="P169" i="6" s="1"/>
  <c r="I168" i="6"/>
  <c r="K168" i="6"/>
  <c r="H168" i="6"/>
  <c r="K167" i="6"/>
  <c r="H167" i="6"/>
  <c r="E168" i="6"/>
  <c r="E169" i="6"/>
  <c r="E167" i="6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I120" i="6"/>
  <c r="K120" i="6"/>
  <c r="H120" i="6"/>
  <c r="K119" i="6"/>
  <c r="H119" i="6"/>
  <c r="I117" i="6"/>
  <c r="K117" i="6"/>
  <c r="H117" i="6"/>
  <c r="I116" i="6"/>
  <c r="K116" i="6"/>
  <c r="H116" i="6"/>
  <c r="E120" i="6"/>
  <c r="E121" i="6"/>
  <c r="E119" i="6"/>
  <c r="E117" i="6"/>
  <c r="E118" i="6"/>
  <c r="E116" i="6"/>
  <c r="I66" i="6"/>
  <c r="K66" i="6"/>
  <c r="H66" i="6"/>
  <c r="K65" i="6"/>
  <c r="H65" i="6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I63" i="6"/>
  <c r="K63" i="6"/>
  <c r="H63" i="6"/>
  <c r="K62" i="6"/>
  <c r="H62" i="6"/>
  <c r="E66" i="6"/>
  <c r="E67" i="6"/>
  <c r="E65" i="6"/>
  <c r="E64" i="6"/>
  <c r="E63" i="6"/>
  <c r="E62" i="6"/>
  <c r="H38" i="4" l="1"/>
  <c r="J38" i="4" s="1"/>
  <c r="I38" i="4" l="1"/>
  <c r="I119" i="6"/>
  <c r="K93" i="2"/>
  <c r="H121" i="6" s="1"/>
  <c r="N93" i="2"/>
  <c r="K121" i="6" s="1"/>
  <c r="I65" i="6"/>
  <c r="G93" i="2" l="1"/>
  <c r="L93" i="2"/>
  <c r="I121" i="6" s="1"/>
  <c r="G52" i="2"/>
  <c r="K52" i="2"/>
  <c r="H67" i="6" s="1"/>
  <c r="L52" i="2"/>
  <c r="I67" i="6" s="1"/>
  <c r="N52" i="2"/>
  <c r="K67" i="6" s="1"/>
  <c r="G91" i="2"/>
  <c r="K91" i="2"/>
  <c r="H118" i="6" s="1"/>
  <c r="L91" i="2"/>
  <c r="I118" i="6" s="1"/>
  <c r="N91" i="2"/>
  <c r="K118" i="6" s="1"/>
  <c r="K50" i="2"/>
  <c r="H64" i="6" s="1"/>
  <c r="N50" i="2"/>
  <c r="K64" i="6" s="1"/>
  <c r="M93" i="2" l="1"/>
  <c r="P93" i="2" s="1"/>
  <c r="M121" i="6" s="1"/>
  <c r="I91" i="2"/>
  <c r="J116" i="6"/>
  <c r="O93" i="2"/>
  <c r="L121" i="6" s="1"/>
  <c r="J121" i="6"/>
  <c r="J65" i="6"/>
  <c r="I52" i="2"/>
  <c r="J52" i="2"/>
  <c r="M65" i="6" s="1"/>
  <c r="L50" i="2"/>
  <c r="I64" i="6" s="1"/>
  <c r="I62" i="6"/>
  <c r="J119" i="6"/>
  <c r="J93" i="2"/>
  <c r="M119" i="6" s="1"/>
  <c r="I93" i="2"/>
  <c r="M52" i="2"/>
  <c r="J91" i="2"/>
  <c r="M116" i="6" s="1"/>
  <c r="N56" i="2"/>
  <c r="M91" i="2"/>
  <c r="G50" i="2"/>
  <c r="J62" i="6" s="1"/>
  <c r="O91" i="2" l="1"/>
  <c r="L118" i="6" s="1"/>
  <c r="J118" i="6"/>
  <c r="M50" i="2"/>
  <c r="P50" i="2" s="1"/>
  <c r="M64" i="6" s="1"/>
  <c r="O52" i="2"/>
  <c r="L67" i="6" s="1"/>
  <c r="J67" i="6"/>
  <c r="G53" i="2"/>
  <c r="L65" i="6"/>
  <c r="L119" i="6"/>
  <c r="G94" i="2"/>
  <c r="G92" i="2"/>
  <c r="L116" i="6"/>
  <c r="P91" i="2"/>
  <c r="M118" i="6" s="1"/>
  <c r="M67" i="6"/>
  <c r="J50" i="2"/>
  <c r="M62" i="6" s="1"/>
  <c r="I50" i="2"/>
  <c r="I53" i="2" l="1"/>
  <c r="L66" i="6" s="1"/>
  <c r="J66" i="6"/>
  <c r="J53" i="2"/>
  <c r="M66" i="6" s="1"/>
  <c r="O50" i="2"/>
  <c r="L64" i="6" s="1"/>
  <c r="J64" i="6"/>
  <c r="J117" i="6"/>
  <c r="I92" i="2"/>
  <c r="L117" i="6" s="1"/>
  <c r="J92" i="2"/>
  <c r="M117" i="6" s="1"/>
  <c r="G51" i="2"/>
  <c r="J63" i="6" s="1"/>
  <c r="L62" i="6"/>
  <c r="I94" i="2"/>
  <c r="L120" i="6" s="1"/>
  <c r="J120" i="6"/>
  <c r="J94" i="2"/>
  <c r="M120" i="6" s="1"/>
  <c r="J51" i="2"/>
  <c r="M63" i="6" s="1"/>
  <c r="I51" i="2" l="1"/>
  <c r="L63" i="6" s="1"/>
  <c r="F20" i="3"/>
  <c r="G129" i="2" l="1"/>
  <c r="J167" i="6" s="1"/>
  <c r="I167" i="6"/>
  <c r="N133" i="2"/>
  <c r="K129" i="2"/>
  <c r="H169" i="6" s="1"/>
  <c r="L129" i="2"/>
  <c r="I169" i="6" s="1"/>
  <c r="N129" i="2"/>
  <c r="K169" i="6" s="1"/>
  <c r="F21" i="1"/>
  <c r="J129" i="2" l="1"/>
  <c r="M167" i="6" s="1"/>
  <c r="I129" i="2"/>
  <c r="G130" i="2" s="1"/>
  <c r="M129" i="2"/>
  <c r="E17" i="1"/>
  <c r="F99" i="2"/>
  <c r="F115" i="2"/>
  <c r="F133" i="2"/>
  <c r="F46" i="2"/>
  <c r="H32" i="4"/>
  <c r="I32" i="4" s="1"/>
  <c r="H19" i="4"/>
  <c r="I19" i="4" s="1"/>
  <c r="F30" i="1"/>
  <c r="F83" i="2"/>
  <c r="L167" i="6" l="1"/>
  <c r="J168" i="6"/>
  <c r="J130" i="2"/>
  <c r="M168" i="6" s="1"/>
  <c r="I130" i="2"/>
  <c r="L168" i="6" s="1"/>
  <c r="O129" i="2"/>
  <c r="L169" i="6" s="1"/>
  <c r="J169" i="6"/>
  <c r="P129" i="2"/>
  <c r="M169" i="6" s="1"/>
  <c r="J32" i="4"/>
  <c r="J19" i="4"/>
  <c r="F16" i="2"/>
  <c r="H29" i="4"/>
  <c r="J29" i="4" s="1"/>
  <c r="H14" i="4"/>
  <c r="J14" i="4" s="1"/>
  <c r="F14" i="2"/>
  <c r="H8" i="4"/>
  <c r="J8" i="4" l="1"/>
  <c r="H119" i="4"/>
  <c r="I29" i="4"/>
  <c r="I14" i="4"/>
  <c r="I8" i="4"/>
  <c r="F17" i="1"/>
  <c r="E14" i="1" l="1"/>
  <c r="F60" i="1" l="1"/>
  <c r="O197" i="6"/>
  <c r="P197" i="6" s="1"/>
  <c r="O198" i="6"/>
  <c r="P198" i="6" s="1"/>
  <c r="O199" i="6"/>
  <c r="P199" i="6" s="1"/>
  <c r="N198" i="6"/>
  <c r="N197" i="6"/>
  <c r="I197" i="6"/>
  <c r="K197" i="6"/>
  <c r="I198" i="6"/>
  <c r="K198" i="6"/>
  <c r="H198" i="6"/>
  <c r="H197" i="6"/>
  <c r="E199" i="6"/>
  <c r="E198" i="6"/>
  <c r="E197" i="6"/>
  <c r="O20" i="6"/>
  <c r="P20" i="6" s="1"/>
  <c r="O21" i="6"/>
  <c r="P21" i="6" s="1"/>
  <c r="O22" i="6"/>
  <c r="P22" i="6" s="1"/>
  <c r="I20" i="6"/>
  <c r="K20" i="6"/>
  <c r="I21" i="6"/>
  <c r="K21" i="6"/>
  <c r="H21" i="6"/>
  <c r="H20" i="6"/>
  <c r="E22" i="6"/>
  <c r="E21" i="6"/>
  <c r="E20" i="6"/>
  <c r="I17" i="6"/>
  <c r="K17" i="6"/>
  <c r="I18" i="6"/>
  <c r="K18" i="6"/>
  <c r="H18" i="6"/>
  <c r="H17" i="6"/>
  <c r="E19" i="6"/>
  <c r="E18" i="6"/>
  <c r="E17" i="6"/>
  <c r="I14" i="6"/>
  <c r="K14" i="6"/>
  <c r="I15" i="6"/>
  <c r="K15" i="6"/>
  <c r="H15" i="6"/>
  <c r="H14" i="6"/>
  <c r="E16" i="6"/>
  <c r="E15" i="6"/>
  <c r="E14" i="6"/>
  <c r="I11" i="6"/>
  <c r="K11" i="6"/>
  <c r="I12" i="6"/>
  <c r="K12" i="6"/>
  <c r="H12" i="6"/>
  <c r="H11" i="6"/>
  <c r="E13" i="6"/>
  <c r="E12" i="6"/>
  <c r="E11" i="6"/>
  <c r="I9" i="6"/>
  <c r="K9" i="6"/>
  <c r="I8" i="6"/>
  <c r="K8" i="6"/>
  <c r="O8" i="6"/>
  <c r="P8" i="6" s="1"/>
  <c r="O9" i="6"/>
  <c r="P9" i="6" s="1"/>
  <c r="H9" i="6"/>
  <c r="H8" i="6"/>
  <c r="E10" i="6"/>
  <c r="E9" i="6"/>
  <c r="E8" i="6"/>
  <c r="F56" i="1" l="1"/>
  <c r="F38" i="2" l="1"/>
  <c r="F56" i="2" s="1"/>
  <c r="G56" i="2" s="1"/>
  <c r="F62" i="1"/>
  <c r="L133" i="2"/>
  <c r="I56" i="2" l="1"/>
  <c r="J56" i="2"/>
  <c r="L56" i="2"/>
  <c r="M56" i="2" s="1"/>
  <c r="F52" i="1"/>
  <c r="H17" i="3"/>
  <c r="F58" i="1"/>
  <c r="F17" i="3" s="1"/>
  <c r="G57" i="2" l="1"/>
  <c r="O56" i="2"/>
  <c r="P56" i="2"/>
  <c r="E7" i="7"/>
  <c r="D7" i="7"/>
  <c r="F8" i="2" l="1"/>
  <c r="F22" i="2" s="1"/>
  <c r="L22" i="2" l="1"/>
  <c r="G22" i="2"/>
  <c r="I22" i="2" s="1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B3" i="1" l="1"/>
  <c r="K10" i="2" l="1"/>
  <c r="L10" i="2"/>
  <c r="I10" i="6" s="1"/>
  <c r="N10" i="2"/>
  <c r="K10" i="6" s="1"/>
  <c r="G10" i="2"/>
  <c r="K22" i="2" l="1"/>
  <c r="M22" i="2" s="1"/>
  <c r="O22" i="2" s="1"/>
  <c r="J10" i="2"/>
  <c r="M8" i="6" s="1"/>
  <c r="J8" i="6"/>
  <c r="M10" i="2"/>
  <c r="J10" i="6" s="1"/>
  <c r="H10" i="6"/>
  <c r="I10" i="2"/>
  <c r="K28" i="1"/>
  <c r="H199" i="6" s="1"/>
  <c r="L28" i="1"/>
  <c r="I199" i="6" s="1"/>
  <c r="N28" i="1"/>
  <c r="K199" i="6" s="1"/>
  <c r="G28" i="1"/>
  <c r="O10" i="2" l="1"/>
  <c r="L10" i="6" s="1"/>
  <c r="P10" i="2"/>
  <c r="M10" i="6" s="1"/>
  <c r="J28" i="1"/>
  <c r="M197" i="6" s="1"/>
  <c r="J197" i="6"/>
  <c r="G11" i="2"/>
  <c r="L8" i="6"/>
  <c r="P22" i="2"/>
  <c r="M28" i="1"/>
  <c r="J199" i="6" s="1"/>
  <c r="I28" i="1"/>
  <c r="F19" i="3"/>
  <c r="H19" i="3"/>
  <c r="E19" i="3"/>
  <c r="I11" i="2" l="1"/>
  <c r="L9" i="6" s="1"/>
  <c r="J9" i="6"/>
  <c r="J11" i="2"/>
  <c r="M9" i="6" s="1"/>
  <c r="P28" i="1"/>
  <c r="M199" i="6" s="1"/>
  <c r="G29" i="1"/>
  <c r="J198" i="6" s="1"/>
  <c r="L197" i="6"/>
  <c r="O28" i="1"/>
  <c r="L199" i="6" s="1"/>
  <c r="C3" i="7"/>
  <c r="I29" i="1" l="1"/>
  <c r="L198" i="6" s="1"/>
  <c r="J29" i="1"/>
  <c r="M198" i="6" s="1"/>
  <c r="G23" i="3"/>
  <c r="J23" i="3" s="1"/>
  <c r="J29" i="3"/>
  <c r="K123" i="2"/>
  <c r="G133" i="2" l="1"/>
  <c r="I133" i="2" s="1"/>
  <c r="G134" i="2" s="1"/>
  <c r="I134" i="2" s="1"/>
  <c r="I23" i="3"/>
  <c r="G99" i="2" l="1"/>
  <c r="I99" i="2" s="1"/>
  <c r="G100" i="2" s="1"/>
  <c r="I100" i="2" s="1"/>
  <c r="F26" i="3"/>
  <c r="H26" i="3"/>
  <c r="E25" i="3" l="1"/>
  <c r="K133" i="2"/>
  <c r="H25" i="3"/>
  <c r="K99" i="2"/>
  <c r="E27" i="3" s="1"/>
  <c r="L99" i="2"/>
  <c r="F27" i="3" s="1"/>
  <c r="F28" i="3"/>
  <c r="N99" i="2"/>
  <c r="H27" i="3" s="1"/>
  <c r="H28" i="3"/>
  <c r="G19" i="1"/>
  <c r="I19" i="1" s="1"/>
  <c r="G20" i="1" s="1"/>
  <c r="K19" i="1"/>
  <c r="L19" i="1"/>
  <c r="N19" i="1"/>
  <c r="G21" i="1"/>
  <c r="I21" i="1" s="1"/>
  <c r="G22" i="1" s="1"/>
  <c r="K21" i="1"/>
  <c r="L21" i="1"/>
  <c r="N21" i="1"/>
  <c r="N24" i="1"/>
  <c r="G26" i="1"/>
  <c r="I26" i="1" s="1"/>
  <c r="G27" i="1" s="1"/>
  <c r="K26" i="1"/>
  <c r="L26" i="1"/>
  <c r="N26" i="1"/>
  <c r="G30" i="1"/>
  <c r="I30" i="1" s="1"/>
  <c r="G31" i="1" s="1"/>
  <c r="K30" i="1"/>
  <c r="L30" i="1"/>
  <c r="N30" i="1"/>
  <c r="G32" i="1"/>
  <c r="J32" i="1" s="1"/>
  <c r="K32" i="1"/>
  <c r="L32" i="1"/>
  <c r="N32" i="1"/>
  <c r="G34" i="1"/>
  <c r="I34" i="1" s="1"/>
  <c r="G35" i="1" s="1"/>
  <c r="K34" i="1"/>
  <c r="L34" i="1"/>
  <c r="N34" i="1"/>
  <c r="G37" i="1"/>
  <c r="I37" i="1" s="1"/>
  <c r="G38" i="1" s="1"/>
  <c r="I38" i="1" s="1"/>
  <c r="K37" i="1"/>
  <c r="L37" i="1"/>
  <c r="L39" i="1" s="1"/>
  <c r="N37" i="1"/>
  <c r="G40" i="1"/>
  <c r="I40" i="1" s="1"/>
  <c r="G41" i="1" s="1"/>
  <c r="K40" i="1"/>
  <c r="L40" i="1"/>
  <c r="L42" i="1" s="1"/>
  <c r="N40" i="1"/>
  <c r="G43" i="1"/>
  <c r="I43" i="1" s="1"/>
  <c r="G44" i="1" s="1"/>
  <c r="K43" i="1"/>
  <c r="L43" i="1"/>
  <c r="L45" i="1" s="1"/>
  <c r="N43" i="1"/>
  <c r="G46" i="1"/>
  <c r="J46" i="1" s="1"/>
  <c r="K46" i="1"/>
  <c r="L46" i="1"/>
  <c r="L48" i="1" s="1"/>
  <c r="N46" i="1"/>
  <c r="G49" i="1"/>
  <c r="J49" i="1" s="1"/>
  <c r="K49" i="1"/>
  <c r="L49" i="1"/>
  <c r="L51" i="1" s="1"/>
  <c r="N49" i="1"/>
  <c r="G52" i="1"/>
  <c r="I52" i="1" s="1"/>
  <c r="G53" i="1" s="1"/>
  <c r="K52" i="1"/>
  <c r="L52" i="1"/>
  <c r="N52" i="1"/>
  <c r="G54" i="1"/>
  <c r="I54" i="1" s="1"/>
  <c r="G55" i="1" s="1"/>
  <c r="I55" i="1" s="1"/>
  <c r="K54" i="1"/>
  <c r="L54" i="1"/>
  <c r="N54" i="1"/>
  <c r="K56" i="1"/>
  <c r="N56" i="1"/>
  <c r="G58" i="1"/>
  <c r="J58" i="1" s="1"/>
  <c r="K58" i="1"/>
  <c r="L58" i="1"/>
  <c r="N58" i="1"/>
  <c r="K60" i="1"/>
  <c r="N60" i="1"/>
  <c r="G62" i="1"/>
  <c r="I62" i="1" s="1"/>
  <c r="K62" i="1"/>
  <c r="L62" i="1"/>
  <c r="N62" i="1"/>
  <c r="G64" i="1"/>
  <c r="I64" i="1" s="1"/>
  <c r="G65" i="1" s="1"/>
  <c r="I65" i="1" s="1"/>
  <c r="K64" i="1"/>
  <c r="L64" i="1"/>
  <c r="N64" i="1"/>
  <c r="G66" i="1"/>
  <c r="J66" i="1" s="1"/>
  <c r="K66" i="1"/>
  <c r="L66" i="1"/>
  <c r="N66" i="1"/>
  <c r="G69" i="1"/>
  <c r="I69" i="1" s="1"/>
  <c r="K69" i="1"/>
  <c r="L69" i="1"/>
  <c r="L70" i="1" s="1"/>
  <c r="N69" i="1"/>
  <c r="G71" i="1"/>
  <c r="K71" i="1"/>
  <c r="L71" i="1"/>
  <c r="N71" i="1"/>
  <c r="E28" i="3" l="1"/>
  <c r="M133" i="2"/>
  <c r="O133" i="2" s="1"/>
  <c r="M49" i="1"/>
  <c r="G63" i="1"/>
  <c r="I63" i="1" s="1"/>
  <c r="J22" i="2"/>
  <c r="G23" i="2"/>
  <c r="H11" i="3"/>
  <c r="J19" i="1"/>
  <c r="J62" i="1"/>
  <c r="I58" i="1"/>
  <c r="G59" i="1" s="1"/>
  <c r="I59" i="1" s="1"/>
  <c r="I71" i="1"/>
  <c r="I19" i="3" s="1"/>
  <c r="G19" i="3"/>
  <c r="I66" i="1"/>
  <c r="G67" i="1" s="1"/>
  <c r="I67" i="1" s="1"/>
  <c r="M62" i="1"/>
  <c r="O62" i="1" s="1"/>
  <c r="O49" i="1"/>
  <c r="G26" i="3"/>
  <c r="J26" i="3" s="1"/>
  <c r="E26" i="3"/>
  <c r="I25" i="3"/>
  <c r="F25" i="3"/>
  <c r="I49" i="1"/>
  <c r="G50" i="1" s="1"/>
  <c r="I50" i="1" s="1"/>
  <c r="I46" i="1"/>
  <c r="G47" i="1" s="1"/>
  <c r="I47" i="1" s="1"/>
  <c r="J69" i="1"/>
  <c r="M43" i="1"/>
  <c r="O43" i="1" s="1"/>
  <c r="M32" i="1"/>
  <c r="O32" i="1" s="1"/>
  <c r="M58" i="1"/>
  <c r="O58" i="1" s="1"/>
  <c r="M54" i="1"/>
  <c r="O54" i="1" s="1"/>
  <c r="I32" i="1"/>
  <c r="G33" i="1" s="1"/>
  <c r="I33" i="1" s="1"/>
  <c r="J133" i="2"/>
  <c r="M99" i="2"/>
  <c r="I57" i="2"/>
  <c r="J134" i="2"/>
  <c r="J99" i="2"/>
  <c r="J100" i="2"/>
  <c r="M34" i="1"/>
  <c r="P34" i="1" s="1"/>
  <c r="M66" i="1"/>
  <c r="P66" i="1" s="1"/>
  <c r="P58" i="1"/>
  <c r="M69" i="1"/>
  <c r="O69" i="1" s="1"/>
  <c r="M64" i="1"/>
  <c r="O64" i="1" s="1"/>
  <c r="J37" i="1"/>
  <c r="J27" i="1"/>
  <c r="I27" i="1"/>
  <c r="J31" i="1"/>
  <c r="I31" i="1"/>
  <c r="M46" i="1"/>
  <c r="O46" i="1" s="1"/>
  <c r="M37" i="1"/>
  <c r="O37" i="1" s="1"/>
  <c r="M19" i="1"/>
  <c r="O19" i="1" s="1"/>
  <c r="M71" i="1"/>
  <c r="P71" i="1" s="1"/>
  <c r="P49" i="1"/>
  <c r="M40" i="1"/>
  <c r="P40" i="1" s="1"/>
  <c r="J34" i="1"/>
  <c r="M30" i="1"/>
  <c r="O30" i="1" s="1"/>
  <c r="O34" i="1"/>
  <c r="J30" i="1"/>
  <c r="M26" i="1"/>
  <c r="O26" i="1" s="1"/>
  <c r="M21" i="1"/>
  <c r="O21" i="1" s="1"/>
  <c r="J26" i="1"/>
  <c r="J21" i="1"/>
  <c r="M52" i="1"/>
  <c r="P52" i="1" s="1"/>
  <c r="J64" i="1"/>
  <c r="J44" i="1"/>
  <c r="I44" i="1"/>
  <c r="I41" i="1"/>
  <c r="J41" i="1"/>
  <c r="I53" i="1"/>
  <c r="J53" i="1"/>
  <c r="I22" i="1"/>
  <c r="J22" i="1"/>
  <c r="J35" i="1"/>
  <c r="I35" i="1"/>
  <c r="I20" i="1"/>
  <c r="J20" i="1"/>
  <c r="J71" i="1"/>
  <c r="J19" i="3" s="1"/>
  <c r="J43" i="1"/>
  <c r="J65" i="1"/>
  <c r="J54" i="1"/>
  <c r="J52" i="1"/>
  <c r="J40" i="1"/>
  <c r="J38" i="1"/>
  <c r="P43" i="1" l="1"/>
  <c r="J59" i="1"/>
  <c r="I23" i="2"/>
  <c r="J23" i="2"/>
  <c r="O66" i="1"/>
  <c r="J50" i="1"/>
  <c r="P62" i="1"/>
  <c r="J47" i="1"/>
  <c r="P32" i="1"/>
  <c r="J67" i="1"/>
  <c r="P69" i="1"/>
  <c r="P64" i="1"/>
  <c r="I26" i="3"/>
  <c r="G25" i="3"/>
  <c r="J25" i="3" s="1"/>
  <c r="P99" i="2"/>
  <c r="G27" i="3"/>
  <c r="J27" i="3" s="1"/>
  <c r="I28" i="3"/>
  <c r="G28" i="3"/>
  <c r="J28" i="3" s="1"/>
  <c r="J33" i="1"/>
  <c r="P54" i="1"/>
  <c r="J57" i="2"/>
  <c r="P133" i="2"/>
  <c r="O99" i="2"/>
  <c r="I27" i="3" s="1"/>
  <c r="O40" i="1"/>
  <c r="P19" i="1"/>
  <c r="P21" i="1"/>
  <c r="O71" i="1"/>
  <c r="P46" i="1"/>
  <c r="O52" i="1"/>
  <c r="P26" i="1"/>
  <c r="P37" i="1"/>
  <c r="P30" i="1"/>
  <c r="H21" i="3" l="1"/>
  <c r="E119" i="4" l="1"/>
  <c r="J119" i="4" l="1"/>
  <c r="I119" i="4"/>
  <c r="H24" i="3"/>
  <c r="L60" i="1" l="1"/>
  <c r="M60" i="1" s="1"/>
  <c r="G60" i="1"/>
  <c r="L56" i="1" l="1"/>
  <c r="G56" i="1"/>
  <c r="I60" i="1"/>
  <c r="G61" i="1" s="1"/>
  <c r="J60" i="1"/>
  <c r="O60" i="1"/>
  <c r="P60" i="1"/>
  <c r="I61" i="1" l="1"/>
  <c r="J61" i="1"/>
  <c r="J56" i="1"/>
  <c r="I56" i="1"/>
  <c r="G57" i="1" s="1"/>
  <c r="M56" i="1"/>
  <c r="L24" i="1"/>
  <c r="L36" i="1" l="1"/>
  <c r="F11" i="3"/>
  <c r="I57" i="1"/>
  <c r="J57" i="1"/>
  <c r="O56" i="1"/>
  <c r="P56" i="1"/>
  <c r="B3" i="2" l="1"/>
  <c r="K24" i="1" l="1"/>
  <c r="G24" i="1"/>
  <c r="M24" i="1" l="1"/>
  <c r="G11" i="3" s="1"/>
  <c r="J11" i="3" s="1"/>
  <c r="E11" i="3"/>
  <c r="J24" i="1"/>
  <c r="I24" i="1"/>
  <c r="G25" i="1" s="1"/>
  <c r="O24" i="1"/>
  <c r="I11" i="3" s="1"/>
  <c r="P24" i="1" l="1"/>
  <c r="I25" i="1"/>
  <c r="J25" i="1"/>
  <c r="L117" i="2" l="1"/>
  <c r="I113" i="6" l="1"/>
  <c r="K113" i="6"/>
  <c r="I114" i="6"/>
  <c r="K114" i="6"/>
  <c r="H114" i="6"/>
  <c r="H113" i="6"/>
  <c r="I110" i="6"/>
  <c r="K110" i="6"/>
  <c r="I111" i="6"/>
  <c r="K111" i="6"/>
  <c r="H111" i="6"/>
  <c r="H110" i="6"/>
  <c r="I107" i="6"/>
  <c r="K107" i="6"/>
  <c r="I108" i="6"/>
  <c r="K108" i="6"/>
  <c r="H107" i="6"/>
  <c r="I104" i="6"/>
  <c r="K104" i="6"/>
  <c r="I105" i="6"/>
  <c r="K105" i="6"/>
  <c r="H104" i="6"/>
  <c r="I101" i="6"/>
  <c r="K101" i="6"/>
  <c r="I102" i="6"/>
  <c r="K102" i="6"/>
  <c r="H101" i="6"/>
  <c r="I98" i="6"/>
  <c r="K98" i="6"/>
  <c r="I99" i="6"/>
  <c r="K99" i="6"/>
  <c r="H99" i="6"/>
  <c r="H98" i="6"/>
  <c r="I95" i="6"/>
  <c r="K95" i="6"/>
  <c r="I96" i="6"/>
  <c r="K96" i="6"/>
  <c r="H95" i="6"/>
  <c r="K92" i="6"/>
  <c r="I93" i="6"/>
  <c r="K93" i="6"/>
  <c r="H93" i="6"/>
  <c r="H92" i="6"/>
  <c r="I89" i="6"/>
  <c r="K89" i="6"/>
  <c r="I90" i="6"/>
  <c r="K90" i="6"/>
  <c r="H89" i="6"/>
  <c r="I86" i="6"/>
  <c r="K86" i="6"/>
  <c r="I87" i="6"/>
  <c r="K87" i="6"/>
  <c r="H86" i="6"/>
  <c r="K83" i="6"/>
  <c r="I84" i="6"/>
  <c r="K84" i="6"/>
  <c r="H84" i="6"/>
  <c r="H83" i="6"/>
  <c r="K80" i="6"/>
  <c r="I81" i="6"/>
  <c r="K81" i="6"/>
  <c r="H80" i="6"/>
  <c r="K77" i="6"/>
  <c r="I78" i="6"/>
  <c r="K78" i="6"/>
  <c r="H77" i="6"/>
  <c r="I74" i="6"/>
  <c r="K74" i="6"/>
  <c r="I75" i="6"/>
  <c r="K75" i="6"/>
  <c r="H75" i="6"/>
  <c r="H74" i="6"/>
  <c r="I71" i="6"/>
  <c r="K71" i="6"/>
  <c r="I72" i="6"/>
  <c r="K72" i="6"/>
  <c r="H72" i="6"/>
  <c r="O149" i="6"/>
  <c r="P149" i="6" s="1"/>
  <c r="O150" i="6"/>
  <c r="P150" i="6" s="1"/>
  <c r="O151" i="6"/>
  <c r="P151" i="6" s="1"/>
  <c r="O29" i="6"/>
  <c r="P29" i="6" s="1"/>
  <c r="O30" i="6"/>
  <c r="P30" i="6" s="1"/>
  <c r="O31" i="6"/>
  <c r="P31" i="6" s="1"/>
  <c r="O113" i="6"/>
  <c r="P113" i="6" s="1"/>
  <c r="O114" i="6"/>
  <c r="P114" i="6" s="1"/>
  <c r="O115" i="6"/>
  <c r="P115" i="6" s="1"/>
  <c r="B3" i="5"/>
  <c r="B3" i="4"/>
  <c r="I164" i="6" l="1"/>
  <c r="K164" i="6"/>
  <c r="I165" i="6"/>
  <c r="K165" i="6"/>
  <c r="H165" i="6"/>
  <c r="H164" i="6"/>
  <c r="I161" i="6"/>
  <c r="K161" i="6"/>
  <c r="I162" i="6"/>
  <c r="K162" i="6"/>
  <c r="H162" i="6"/>
  <c r="H161" i="6"/>
  <c r="I158" i="6"/>
  <c r="K158" i="6"/>
  <c r="I159" i="6"/>
  <c r="K159" i="6"/>
  <c r="H159" i="6"/>
  <c r="H158" i="6"/>
  <c r="K155" i="6"/>
  <c r="I156" i="6"/>
  <c r="K156" i="6"/>
  <c r="H156" i="6"/>
  <c r="H155" i="6"/>
  <c r="I152" i="6"/>
  <c r="K152" i="6"/>
  <c r="I153" i="6"/>
  <c r="K153" i="6"/>
  <c r="H153" i="6"/>
  <c r="H152" i="6"/>
  <c r="I149" i="6"/>
  <c r="K149" i="6"/>
  <c r="I150" i="6"/>
  <c r="K150" i="6"/>
  <c r="H150" i="6"/>
  <c r="H149" i="6"/>
  <c r="K146" i="6"/>
  <c r="I147" i="6"/>
  <c r="K147" i="6"/>
  <c r="H147" i="6"/>
  <c r="H146" i="6"/>
  <c r="I143" i="6"/>
  <c r="K143" i="6"/>
  <c r="I144" i="6"/>
  <c r="K144" i="6"/>
  <c r="H144" i="6"/>
  <c r="H143" i="6"/>
  <c r="I140" i="6"/>
  <c r="K140" i="6"/>
  <c r="I141" i="6"/>
  <c r="K141" i="6"/>
  <c r="H141" i="6"/>
  <c r="H140" i="6"/>
  <c r="I137" i="6"/>
  <c r="K137" i="6"/>
  <c r="I138" i="6"/>
  <c r="K138" i="6"/>
  <c r="H138" i="6"/>
  <c r="H137" i="6"/>
  <c r="I134" i="6"/>
  <c r="K134" i="6"/>
  <c r="I135" i="6"/>
  <c r="K135" i="6"/>
  <c r="H135" i="6"/>
  <c r="H134" i="6"/>
  <c r="I131" i="6"/>
  <c r="K131" i="6"/>
  <c r="I132" i="6"/>
  <c r="K132" i="6"/>
  <c r="H132" i="6"/>
  <c r="H131" i="6"/>
  <c r="K128" i="6"/>
  <c r="I129" i="6"/>
  <c r="K129" i="6"/>
  <c r="H129" i="6"/>
  <c r="H128" i="6"/>
  <c r="I59" i="6"/>
  <c r="K59" i="6"/>
  <c r="I60" i="6"/>
  <c r="K60" i="6"/>
  <c r="H60" i="6"/>
  <c r="H59" i="6"/>
  <c r="I56" i="6"/>
  <c r="K56" i="6"/>
  <c r="I57" i="6"/>
  <c r="K57" i="6"/>
  <c r="H57" i="6"/>
  <c r="H56" i="6"/>
  <c r="I53" i="6"/>
  <c r="K53" i="6"/>
  <c r="I54" i="6"/>
  <c r="K54" i="6"/>
  <c r="H54" i="6"/>
  <c r="H53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H39" i="6"/>
  <c r="H38" i="6"/>
  <c r="I35" i="6"/>
  <c r="K35" i="6"/>
  <c r="I36" i="6"/>
  <c r="K36" i="6"/>
  <c r="H36" i="6"/>
  <c r="H35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2" i="6"/>
  <c r="K32" i="6"/>
  <c r="I33" i="6"/>
  <c r="K33" i="6"/>
  <c r="I29" i="6"/>
  <c r="K29" i="6"/>
  <c r="I30" i="6"/>
  <c r="K30" i="6"/>
  <c r="H30" i="6"/>
  <c r="H29" i="6"/>
  <c r="H33" i="6"/>
  <c r="H32" i="6"/>
  <c r="I26" i="6"/>
  <c r="K26" i="6"/>
  <c r="I27" i="6"/>
  <c r="K27" i="6"/>
  <c r="E165" i="6"/>
  <c r="E166" i="6"/>
  <c r="E164" i="6"/>
  <c r="E162" i="6"/>
  <c r="E163" i="6"/>
  <c r="E161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N6" i="1" l="1"/>
  <c r="L6" i="1"/>
  <c r="K6" i="1"/>
  <c r="G17" i="1"/>
  <c r="G6" i="1"/>
  <c r="J6" i="1" s="1"/>
  <c r="H6" i="3"/>
  <c r="I6" i="1" l="1"/>
  <c r="G7" i="1" s="1"/>
  <c r="M6" i="1"/>
  <c r="O6" i="1" s="1"/>
  <c r="I80" i="6"/>
  <c r="G36" i="2"/>
  <c r="J41" i="6" l="1"/>
  <c r="J36" i="2"/>
  <c r="I77" i="6" l="1"/>
  <c r="I83" i="6"/>
  <c r="I146" i="6"/>
  <c r="I128" i="6" l="1"/>
  <c r="O254" i="6"/>
  <c r="P254" i="6" s="1"/>
  <c r="O248" i="6"/>
  <c r="P248" i="6" s="1"/>
  <c r="O249" i="6"/>
  <c r="P249" i="6" s="1"/>
  <c r="O250" i="6"/>
  <c r="P250" i="6" s="1"/>
  <c r="O251" i="6"/>
  <c r="P251" i="6" s="1"/>
  <c r="K252" i="6"/>
  <c r="O252" i="6"/>
  <c r="P252" i="6" s="1"/>
  <c r="O253" i="6"/>
  <c r="P253" i="6" s="1"/>
  <c r="O255" i="6"/>
  <c r="P255" i="6" s="1"/>
  <c r="O256" i="6"/>
  <c r="P256" i="6" s="1"/>
  <c r="O257" i="6"/>
  <c r="P257" i="6" s="1"/>
  <c r="O258" i="6"/>
  <c r="P258" i="6" s="1"/>
  <c r="O259" i="6"/>
  <c r="P259" i="6" s="1"/>
  <c r="O260" i="6"/>
  <c r="P260" i="6" s="1"/>
  <c r="O261" i="6"/>
  <c r="P261" i="6" s="1"/>
  <c r="O262" i="6"/>
  <c r="P262" i="6" s="1"/>
  <c r="H182" i="6"/>
  <c r="H179" i="6"/>
  <c r="G89" i="2" l="1"/>
  <c r="K89" i="2"/>
  <c r="H115" i="6" s="1"/>
  <c r="L89" i="2"/>
  <c r="I115" i="6" s="1"/>
  <c r="N89" i="2"/>
  <c r="L87" i="2"/>
  <c r="I112" i="6" s="1"/>
  <c r="N87" i="2"/>
  <c r="K87" i="2"/>
  <c r="H112" i="6" s="1"/>
  <c r="G87" i="2"/>
  <c r="J110" i="6" l="1"/>
  <c r="J87" i="2"/>
  <c r="M110" i="6" s="1"/>
  <c r="K115" i="6"/>
  <c r="K112" i="6"/>
  <c r="J113" i="6"/>
  <c r="J89" i="2"/>
  <c r="M113" i="6" s="1"/>
  <c r="I87" i="2"/>
  <c r="L110" i="6" s="1"/>
  <c r="M89" i="2"/>
  <c r="J115" i="6" s="1"/>
  <c r="I89" i="2"/>
  <c r="L113" i="6" s="1"/>
  <c r="M87" i="2"/>
  <c r="J112" i="6" s="1"/>
  <c r="K48" i="2"/>
  <c r="L48" i="2"/>
  <c r="I61" i="6" s="1"/>
  <c r="N48" i="2"/>
  <c r="P89" i="2" l="1"/>
  <c r="M115" i="6" s="1"/>
  <c r="P87" i="2"/>
  <c r="M112" i="6" s="1"/>
  <c r="K61" i="6"/>
  <c r="G88" i="2"/>
  <c r="O89" i="2"/>
  <c r="L115" i="6" s="1"/>
  <c r="O87" i="2"/>
  <c r="L112" i="6" s="1"/>
  <c r="M48" i="2"/>
  <c r="H61" i="6"/>
  <c r="G90" i="2"/>
  <c r="J114" i="6" l="1"/>
  <c r="J90" i="2"/>
  <c r="J88" i="2"/>
  <c r="M111" i="6" s="1"/>
  <c r="M61" i="6"/>
  <c r="I88" i="2"/>
  <c r="L111" i="6" s="1"/>
  <c r="J111" i="6"/>
  <c r="O48" i="2"/>
  <c r="L61" i="6" s="1"/>
  <c r="J61" i="6"/>
  <c r="I90" i="2"/>
  <c r="L114" i="6" s="1"/>
  <c r="G125" i="2"/>
  <c r="K125" i="2"/>
  <c r="H163" i="6" s="1"/>
  <c r="L125" i="2"/>
  <c r="I163" i="6" s="1"/>
  <c r="N125" i="2"/>
  <c r="J161" i="6" l="1"/>
  <c r="J125" i="2"/>
  <c r="M161" i="6" s="1"/>
  <c r="K163" i="6"/>
  <c r="M125" i="2"/>
  <c r="P125" i="2" s="1"/>
  <c r="I125" i="2"/>
  <c r="I155" i="6"/>
  <c r="I92" i="6"/>
  <c r="G126" i="2" l="1"/>
  <c r="J126" i="2" s="1"/>
  <c r="L161" i="6"/>
  <c r="O125" i="2"/>
  <c r="L163" i="6" s="1"/>
  <c r="J163" i="6"/>
  <c r="M163" i="6"/>
  <c r="J162" i="6" l="1"/>
  <c r="I126" i="2"/>
  <c r="L162" i="6" s="1"/>
  <c r="M162" i="6"/>
  <c r="L12" i="2" l="1"/>
  <c r="I13" i="6" s="1"/>
  <c r="I50" i="6" l="1"/>
  <c r="E7" i="6"/>
  <c r="E6" i="6"/>
  <c r="E5" i="6"/>
  <c r="E3" i="6"/>
  <c r="E4" i="6"/>
  <c r="E2" i="6"/>
  <c r="H250" i="6" l="1"/>
  <c r="G48" i="2"/>
  <c r="J48" i="2" s="1"/>
  <c r="N204" i="6"/>
  <c r="N203" i="6"/>
  <c r="I206" i="6"/>
  <c r="K206" i="6"/>
  <c r="I203" i="6"/>
  <c r="K203" i="6"/>
  <c r="I204" i="6"/>
  <c r="K204" i="6"/>
  <c r="H204" i="6"/>
  <c r="H203" i="6"/>
  <c r="E204" i="6"/>
  <c r="E205" i="6"/>
  <c r="E203" i="6"/>
  <c r="N201" i="6"/>
  <c r="N200" i="6"/>
  <c r="I200" i="6"/>
  <c r="K200" i="6"/>
  <c r="I201" i="6"/>
  <c r="K201" i="6"/>
  <c r="H201" i="6"/>
  <c r="H200" i="6"/>
  <c r="N195" i="6"/>
  <c r="N194" i="6"/>
  <c r="I194" i="6"/>
  <c r="K194" i="6"/>
  <c r="I195" i="6"/>
  <c r="K195" i="6"/>
  <c r="H195" i="6"/>
  <c r="H194" i="6"/>
  <c r="K251" i="6"/>
  <c r="K250" i="6"/>
  <c r="K249" i="6"/>
  <c r="H251" i="6"/>
  <c r="H249" i="6"/>
  <c r="H248" i="6"/>
  <c r="I249" i="6"/>
  <c r="I251" i="6"/>
  <c r="I48" i="2" l="1"/>
  <c r="J59" i="6"/>
  <c r="I248" i="6"/>
  <c r="K248" i="6"/>
  <c r="H22" i="3"/>
  <c r="G7" i="7"/>
  <c r="F7" i="7"/>
  <c r="M59" i="6"/>
  <c r="G49" i="2" l="1"/>
  <c r="J49" i="2" s="1"/>
  <c r="L59" i="6"/>
  <c r="I250" i="6"/>
  <c r="E201" i="6"/>
  <c r="E202" i="6"/>
  <c r="E200" i="6"/>
  <c r="E195" i="6"/>
  <c r="E196" i="6"/>
  <c r="E194" i="6"/>
  <c r="E192" i="6"/>
  <c r="E193" i="6"/>
  <c r="E191" i="6"/>
  <c r="E189" i="6"/>
  <c r="E190" i="6"/>
  <c r="E188" i="6"/>
  <c r="E186" i="6"/>
  <c r="E187" i="6"/>
  <c r="E185" i="6"/>
  <c r="E183" i="6"/>
  <c r="E184" i="6"/>
  <c r="E182" i="6"/>
  <c r="E180" i="6"/>
  <c r="E181" i="6"/>
  <c r="E179" i="6"/>
  <c r="E177" i="6"/>
  <c r="E178" i="6"/>
  <c r="E176" i="6"/>
  <c r="E174" i="6"/>
  <c r="E175" i="6"/>
  <c r="E173" i="6"/>
  <c r="H38" i="3"/>
  <c r="O203" i="6"/>
  <c r="P203" i="6" s="1"/>
  <c r="O204" i="6"/>
  <c r="P204" i="6" s="1"/>
  <c r="O205" i="6"/>
  <c r="P205" i="6" s="1"/>
  <c r="H18" i="3"/>
  <c r="H16" i="3"/>
  <c r="H15" i="3"/>
  <c r="H14" i="3"/>
  <c r="H13" i="3"/>
  <c r="H12" i="3"/>
  <c r="H10" i="3"/>
  <c r="H9" i="3"/>
  <c r="H8" i="3"/>
  <c r="H7" i="3"/>
  <c r="I29" i="3"/>
  <c r="G20" i="3"/>
  <c r="J20" i="3" s="1"/>
  <c r="G21" i="3"/>
  <c r="G22" i="3"/>
  <c r="E18" i="3"/>
  <c r="E17" i="3"/>
  <c r="E16" i="3"/>
  <c r="H261" i="6" s="1"/>
  <c r="E15" i="3"/>
  <c r="H260" i="6" s="1"/>
  <c r="E14" i="3"/>
  <c r="H259" i="6" s="1"/>
  <c r="E13" i="3"/>
  <c r="H258" i="6" s="1"/>
  <c r="E12" i="3"/>
  <c r="H257" i="6" s="1"/>
  <c r="H256" i="6"/>
  <c r="E10" i="3"/>
  <c r="H255" i="6" s="1"/>
  <c r="E9" i="3"/>
  <c r="H254" i="6" s="1"/>
  <c r="E8" i="3"/>
  <c r="E7" i="3"/>
  <c r="H253" i="6" s="1"/>
  <c r="E6" i="3"/>
  <c r="J251" i="6"/>
  <c r="J250" i="6"/>
  <c r="J249" i="6"/>
  <c r="J22" i="3" l="1"/>
  <c r="I22" i="3"/>
  <c r="H262" i="6"/>
  <c r="G17" i="3"/>
  <c r="K260" i="6"/>
  <c r="K261" i="6"/>
  <c r="K254" i="6"/>
  <c r="K255" i="6"/>
  <c r="K262" i="6"/>
  <c r="K256" i="6"/>
  <c r="I21" i="3"/>
  <c r="J21" i="3"/>
  <c r="K257" i="6"/>
  <c r="K253" i="6"/>
  <c r="K258" i="6"/>
  <c r="H252" i="6"/>
  <c r="E30" i="3"/>
  <c r="K259" i="6"/>
  <c r="J60" i="6"/>
  <c r="M60" i="6"/>
  <c r="I49" i="2"/>
  <c r="L60" i="6" s="1"/>
  <c r="H30" i="3"/>
  <c r="L248" i="6"/>
  <c r="J248" i="6"/>
  <c r="I20" i="3"/>
  <c r="L250" i="6"/>
  <c r="M250" i="6"/>
  <c r="L249" i="6"/>
  <c r="L251" i="6"/>
  <c r="M251" i="6"/>
  <c r="M249" i="6"/>
  <c r="M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F24" i="3" l="1"/>
  <c r="G24" i="3" s="1"/>
  <c r="J24" i="3" s="1"/>
  <c r="I24" i="3" l="1"/>
  <c r="L79" i="2"/>
  <c r="I100" i="6" s="1"/>
  <c r="K79" i="2"/>
  <c r="M79" i="2" l="1"/>
  <c r="J100" i="6" s="1"/>
  <c r="O101" i="6" l="1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200" i="6"/>
  <c r="P200" i="6" s="1"/>
  <c r="O201" i="6"/>
  <c r="P201" i="6" s="1"/>
  <c r="O202" i="6"/>
  <c r="P202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233" i="6"/>
  <c r="P233" i="6" s="1"/>
  <c r="O234" i="6"/>
  <c r="P234" i="6" s="1"/>
  <c r="O235" i="6"/>
  <c r="P235" i="6" s="1"/>
  <c r="O236" i="6"/>
  <c r="P236" i="6" s="1"/>
  <c r="O237" i="6"/>
  <c r="P237" i="6" s="1"/>
  <c r="O238" i="6"/>
  <c r="P238" i="6" s="1"/>
  <c r="O239" i="6"/>
  <c r="P239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O3" i="6"/>
  <c r="P3" i="6" s="1"/>
  <c r="O4" i="6"/>
  <c r="P4" i="6" s="1"/>
  <c r="O5" i="6"/>
  <c r="P5" i="6" s="1"/>
  <c r="O6" i="6"/>
  <c r="P6" i="6" s="1"/>
  <c r="O7" i="6"/>
  <c r="P7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H108" i="6"/>
  <c r="H105" i="6"/>
  <c r="H102" i="6"/>
  <c r="H90" i="6"/>
  <c r="H81" i="6"/>
  <c r="O2" i="6" l="1"/>
  <c r="P2" i="6" s="1"/>
  <c r="H96" i="6"/>
  <c r="H87" i="6"/>
  <c r="H78" i="6"/>
  <c r="H71" i="6" l="1"/>
  <c r="G14" i="2"/>
  <c r="J14" i="6" s="1"/>
  <c r="G12" i="2"/>
  <c r="G8" i="2"/>
  <c r="J8" i="2" s="1"/>
  <c r="G6" i="2"/>
  <c r="N18" i="2"/>
  <c r="K22" i="6" s="1"/>
  <c r="N16" i="2"/>
  <c r="K19" i="6" s="1"/>
  <c r="N14" i="2"/>
  <c r="K16" i="6" s="1"/>
  <c r="N12" i="2"/>
  <c r="K13" i="6" s="1"/>
  <c r="N8" i="2"/>
  <c r="N6" i="2"/>
  <c r="L18" i="2"/>
  <c r="I22" i="6" s="1"/>
  <c r="L16" i="2"/>
  <c r="I19" i="6" s="1"/>
  <c r="L14" i="2"/>
  <c r="I16" i="6" s="1"/>
  <c r="L8" i="2"/>
  <c r="L6" i="2"/>
  <c r="K18" i="2"/>
  <c r="H22" i="6" s="1"/>
  <c r="K16" i="2"/>
  <c r="H19" i="6" s="1"/>
  <c r="K14" i="2"/>
  <c r="H16" i="6" s="1"/>
  <c r="K12" i="2"/>
  <c r="K8" i="2"/>
  <c r="K6" i="2"/>
  <c r="H196" i="6"/>
  <c r="K196" i="6"/>
  <c r="M12" i="2" l="1"/>
  <c r="J13" i="6" s="1"/>
  <c r="H13" i="6"/>
  <c r="J12" i="2"/>
  <c r="M11" i="6" s="1"/>
  <c r="J11" i="6"/>
  <c r="P12" i="2"/>
  <c r="M13" i="6" s="1"/>
  <c r="J14" i="2"/>
  <c r="M14" i="6" s="1"/>
  <c r="M6" i="2"/>
  <c r="O6" i="2" s="1"/>
  <c r="M8" i="2"/>
  <c r="J194" i="6"/>
  <c r="I6" i="2"/>
  <c r="M18" i="2"/>
  <c r="J22" i="6" s="1"/>
  <c r="M194" i="6"/>
  <c r="O12" i="2"/>
  <c r="L13" i="6" s="1"/>
  <c r="M14" i="2"/>
  <c r="M16" i="2"/>
  <c r="P16" i="2" l="1"/>
  <c r="M19" i="6" s="1"/>
  <c r="J19" i="6"/>
  <c r="P14" i="2"/>
  <c r="M16" i="6" s="1"/>
  <c r="J16" i="6"/>
  <c r="O8" i="2"/>
  <c r="M22" i="6"/>
  <c r="P6" i="2"/>
  <c r="L196" i="6"/>
  <c r="I196" i="6"/>
  <c r="J196" i="6"/>
  <c r="O14" i="2"/>
  <c r="L16" i="6" s="1"/>
  <c r="O16" i="2"/>
  <c r="L19" i="6" s="1"/>
  <c r="L194" i="6"/>
  <c r="O18" i="2"/>
  <c r="L22" i="6" s="1"/>
  <c r="M196" i="6"/>
  <c r="J195" i="6" l="1"/>
  <c r="M195" i="6"/>
  <c r="L195" i="6"/>
  <c r="G121" i="2"/>
  <c r="G119" i="2"/>
  <c r="G117" i="2"/>
  <c r="G115" i="2"/>
  <c r="G111" i="2"/>
  <c r="G109" i="2"/>
  <c r="G107" i="2"/>
  <c r="G105" i="2"/>
  <c r="G85" i="2"/>
  <c r="G83" i="2"/>
  <c r="G81" i="2"/>
  <c r="G79" i="2"/>
  <c r="G77" i="2"/>
  <c r="G75" i="2"/>
  <c r="G73" i="2"/>
  <c r="G71" i="2"/>
  <c r="G69" i="2"/>
  <c r="G67" i="2"/>
  <c r="G65" i="2"/>
  <c r="G63" i="2"/>
  <c r="G46" i="2"/>
  <c r="G44" i="2"/>
  <c r="J44" i="2" s="1"/>
  <c r="G42" i="2"/>
  <c r="J42" i="2" s="1"/>
  <c r="G40" i="2"/>
  <c r="J40" i="2" s="1"/>
  <c r="G38" i="2"/>
  <c r="J38" i="2" s="1"/>
  <c r="M41" i="6"/>
  <c r="G34" i="2"/>
  <c r="J34" i="2" s="1"/>
  <c r="G32" i="2"/>
  <c r="J32" i="2" s="1"/>
  <c r="G30" i="2"/>
  <c r="J30" i="2" s="1"/>
  <c r="G28" i="2"/>
  <c r="J28" i="2" s="1"/>
  <c r="G18" i="2"/>
  <c r="J20" i="6" s="1"/>
  <c r="G16" i="2"/>
  <c r="J17" i="6" s="1"/>
  <c r="I14" i="2"/>
  <c r="L14" i="6" s="1"/>
  <c r="I12" i="2"/>
  <c r="L11" i="6" s="1"/>
  <c r="G14" i="1"/>
  <c r="J179" i="6" s="1"/>
  <c r="G12" i="1"/>
  <c r="J107" i="6" l="1"/>
  <c r="J85" i="2"/>
  <c r="J149" i="6"/>
  <c r="J117" i="2"/>
  <c r="M149" i="6" s="1"/>
  <c r="J131" i="6"/>
  <c r="J105" i="2"/>
  <c r="J95" i="6"/>
  <c r="J77" i="2"/>
  <c r="M95" i="6" s="1"/>
  <c r="J140" i="6"/>
  <c r="J111" i="2"/>
  <c r="M140" i="6" s="1"/>
  <c r="J92" i="6"/>
  <c r="J75" i="2"/>
  <c r="M92" i="6" s="1"/>
  <c r="J155" i="6"/>
  <c r="J121" i="2"/>
  <c r="M155" i="6" s="1"/>
  <c r="J101" i="6"/>
  <c r="J81" i="2"/>
  <c r="J143" i="6"/>
  <c r="J113" i="2"/>
  <c r="M143" i="6" s="1"/>
  <c r="J86" i="6"/>
  <c r="J71" i="2"/>
  <c r="M86" i="6" s="1"/>
  <c r="J89" i="6"/>
  <c r="J73" i="2"/>
  <c r="M89" i="6" s="1"/>
  <c r="J152" i="6"/>
  <c r="J119" i="2"/>
  <c r="M152" i="6" s="1"/>
  <c r="J134" i="6"/>
  <c r="J107" i="2"/>
  <c r="M134" i="6" s="1"/>
  <c r="J74" i="6"/>
  <c r="J63" i="2"/>
  <c r="M74" i="6" s="1"/>
  <c r="J137" i="6"/>
  <c r="J109" i="2"/>
  <c r="J77" i="6"/>
  <c r="J65" i="2"/>
  <c r="M77" i="6" s="1"/>
  <c r="J98" i="6"/>
  <c r="J79" i="2"/>
  <c r="M98" i="6" s="1"/>
  <c r="J80" i="6"/>
  <c r="J67" i="2"/>
  <c r="M80" i="6" s="1"/>
  <c r="J83" i="6"/>
  <c r="J69" i="2"/>
  <c r="M83" i="6" s="1"/>
  <c r="J104" i="6"/>
  <c r="J83" i="2"/>
  <c r="M104" i="6" s="1"/>
  <c r="J146" i="6"/>
  <c r="J115" i="2"/>
  <c r="M146" i="6" s="1"/>
  <c r="J56" i="6"/>
  <c r="J46" i="2"/>
  <c r="M56" i="6" s="1"/>
  <c r="J16" i="2"/>
  <c r="M17" i="6" s="1"/>
  <c r="J18" i="2"/>
  <c r="M20" i="6" s="1"/>
  <c r="M29" i="6"/>
  <c r="J29" i="6"/>
  <c r="M114" i="6"/>
  <c r="M32" i="6"/>
  <c r="J32" i="6"/>
  <c r="M47" i="6"/>
  <c r="J47" i="6"/>
  <c r="M38" i="6"/>
  <c r="J38" i="6"/>
  <c r="M50" i="6"/>
  <c r="J50" i="6"/>
  <c r="M35" i="6"/>
  <c r="J35" i="6"/>
  <c r="M44" i="6"/>
  <c r="J44" i="6"/>
  <c r="M53" i="6"/>
  <c r="J53" i="6"/>
  <c r="M107" i="6"/>
  <c r="I121" i="2"/>
  <c r="L155" i="6" s="1"/>
  <c r="I18" i="2"/>
  <c r="L20" i="6" s="1"/>
  <c r="G13" i="2"/>
  <c r="G15" i="2"/>
  <c r="J15" i="6" s="1"/>
  <c r="I16" i="2"/>
  <c r="L17" i="6" s="1"/>
  <c r="I8" i="2"/>
  <c r="G9" i="2" s="1"/>
  <c r="J9" i="2" s="1"/>
  <c r="J13" i="2" l="1"/>
  <c r="M12" i="6" s="1"/>
  <c r="J12" i="6"/>
  <c r="J15" i="2"/>
  <c r="M15" i="6" s="1"/>
  <c r="M137" i="6"/>
  <c r="M131" i="6"/>
  <c r="G17" i="2"/>
  <c r="J18" i="6" s="1"/>
  <c r="G19" i="2"/>
  <c r="J21" i="6" s="1"/>
  <c r="J14" i="1"/>
  <c r="J19" i="2" l="1"/>
  <c r="M21" i="6" s="1"/>
  <c r="J17" i="2"/>
  <c r="M18" i="6" s="1"/>
  <c r="I17" i="2"/>
  <c r="L18" i="6" s="1"/>
  <c r="I14" i="1"/>
  <c r="G15" i="1" s="1"/>
  <c r="J15" i="1" l="1"/>
  <c r="I15" i="1"/>
  <c r="L67" i="2" l="1"/>
  <c r="I82" i="6" s="1"/>
  <c r="G9" i="1" l="1"/>
  <c r="L14" i="1"/>
  <c r="L16" i="1" s="1"/>
  <c r="F9" i="3" s="1"/>
  <c r="L8" i="1"/>
  <c r="F6" i="3" s="1"/>
  <c r="H175" i="6"/>
  <c r="K14" i="1"/>
  <c r="H181" i="6" s="1"/>
  <c r="H2" i="6"/>
  <c r="N14" i="1"/>
  <c r="G61" i="2"/>
  <c r="J71" i="6" s="1"/>
  <c r="G123" i="2"/>
  <c r="J123" i="2" s="1"/>
  <c r="N28" i="2"/>
  <c r="K31" i="6" s="1"/>
  <c r="N30" i="2"/>
  <c r="K34" i="6" s="1"/>
  <c r="N32" i="2"/>
  <c r="K37" i="6" s="1"/>
  <c r="N34" i="2"/>
  <c r="K40" i="6" s="1"/>
  <c r="N36" i="2"/>
  <c r="K43" i="6" s="1"/>
  <c r="N38" i="2"/>
  <c r="K46" i="6" s="1"/>
  <c r="N40" i="2"/>
  <c r="K49" i="6" s="1"/>
  <c r="N42" i="2"/>
  <c r="K52" i="6" s="1"/>
  <c r="N44" i="2"/>
  <c r="N46" i="2"/>
  <c r="L28" i="2"/>
  <c r="I31" i="6" s="1"/>
  <c r="L30" i="2"/>
  <c r="I34" i="6" s="1"/>
  <c r="L34" i="2"/>
  <c r="I40" i="6" s="1"/>
  <c r="L36" i="2"/>
  <c r="I43" i="6" s="1"/>
  <c r="L38" i="2"/>
  <c r="I46" i="6" s="1"/>
  <c r="L40" i="2"/>
  <c r="I49" i="6" s="1"/>
  <c r="L42" i="2"/>
  <c r="I52" i="6" s="1"/>
  <c r="L46" i="2"/>
  <c r="I58" i="6" s="1"/>
  <c r="L26" i="2"/>
  <c r="I28" i="6" s="1"/>
  <c r="K28" i="2"/>
  <c r="H31" i="6" s="1"/>
  <c r="K30" i="2"/>
  <c r="H34" i="6" s="1"/>
  <c r="K32" i="2"/>
  <c r="H37" i="6" s="1"/>
  <c r="K34" i="2"/>
  <c r="H40" i="6" s="1"/>
  <c r="K36" i="2"/>
  <c r="H43" i="6" s="1"/>
  <c r="K38" i="2"/>
  <c r="H46" i="6" s="1"/>
  <c r="K40" i="2"/>
  <c r="H49" i="6" s="1"/>
  <c r="K42" i="2"/>
  <c r="H52" i="6" s="1"/>
  <c r="K44" i="2"/>
  <c r="H55" i="6" s="1"/>
  <c r="K46" i="2"/>
  <c r="H58" i="6" s="1"/>
  <c r="K26" i="2"/>
  <c r="H28" i="6" s="1"/>
  <c r="G26" i="2"/>
  <c r="J26" i="6" s="1"/>
  <c r="I28" i="2"/>
  <c r="I34" i="2"/>
  <c r="I40" i="2"/>
  <c r="I46" i="2"/>
  <c r="L56" i="6" s="1"/>
  <c r="K7" i="6"/>
  <c r="I7" i="6"/>
  <c r="H7" i="6"/>
  <c r="H4" i="6"/>
  <c r="M5" i="6"/>
  <c r="I9" i="2"/>
  <c r="I30" i="2"/>
  <c r="L32" i="6" s="1"/>
  <c r="I19" i="2"/>
  <c r="L21" i="6" s="1"/>
  <c r="K73" i="2"/>
  <c r="H91" i="6" s="1"/>
  <c r="N222" i="6"/>
  <c r="N221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192" i="6"/>
  <c r="N189" i="6"/>
  <c r="N188" i="6"/>
  <c r="N186" i="6"/>
  <c r="N185" i="6"/>
  <c r="N183" i="6"/>
  <c r="N182" i="6"/>
  <c r="N180" i="6"/>
  <c r="N179" i="6"/>
  <c r="N177" i="6"/>
  <c r="N176" i="6"/>
  <c r="N174" i="6"/>
  <c r="N173" i="6"/>
  <c r="N230" i="6"/>
  <c r="N191" i="6"/>
  <c r="I241" i="6"/>
  <c r="K246" i="6"/>
  <c r="K245" i="6"/>
  <c r="I246" i="6"/>
  <c r="I245" i="6"/>
  <c r="H246" i="6"/>
  <c r="H245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I207" i="6"/>
  <c r="H207" i="6"/>
  <c r="H206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I185" i="6"/>
  <c r="H186" i="6"/>
  <c r="H185" i="6"/>
  <c r="K183" i="6"/>
  <c r="K182" i="6"/>
  <c r="I183" i="6"/>
  <c r="I182" i="6"/>
  <c r="H183" i="6"/>
  <c r="K180" i="6"/>
  <c r="K179" i="6"/>
  <c r="I180" i="6"/>
  <c r="H180" i="6"/>
  <c r="K177" i="6"/>
  <c r="K176" i="6"/>
  <c r="I177" i="6"/>
  <c r="I176" i="6"/>
  <c r="H177" i="6"/>
  <c r="H176" i="6"/>
  <c r="K174" i="6"/>
  <c r="K173" i="6"/>
  <c r="I174" i="6"/>
  <c r="I173" i="6"/>
  <c r="H174" i="6"/>
  <c r="H173" i="6"/>
  <c r="H27" i="6"/>
  <c r="H26" i="6"/>
  <c r="H5" i="6"/>
  <c r="H6" i="6"/>
  <c r="H3" i="6"/>
  <c r="K6" i="6"/>
  <c r="K5" i="6"/>
  <c r="K3" i="6"/>
  <c r="K2" i="6"/>
  <c r="I6" i="6"/>
  <c r="I5" i="6"/>
  <c r="I3" i="6"/>
  <c r="I2" i="6"/>
  <c r="G103" i="2"/>
  <c r="J128" i="6" s="1"/>
  <c r="L103" i="2"/>
  <c r="I130" i="6" s="1"/>
  <c r="L71" i="2"/>
  <c r="I4" i="6"/>
  <c r="H160" i="6"/>
  <c r="K119" i="2"/>
  <c r="H154" i="6" s="1"/>
  <c r="K117" i="2"/>
  <c r="H151" i="6" s="1"/>
  <c r="K115" i="2"/>
  <c r="H148" i="6" s="1"/>
  <c r="K113" i="2"/>
  <c r="H145" i="6" s="1"/>
  <c r="K111" i="2"/>
  <c r="H142" i="6" s="1"/>
  <c r="K109" i="2"/>
  <c r="H139" i="6" s="1"/>
  <c r="K107" i="2"/>
  <c r="H136" i="6" s="1"/>
  <c r="K103" i="2"/>
  <c r="H130" i="6" s="1"/>
  <c r="K85" i="2"/>
  <c r="H109" i="6" s="1"/>
  <c r="K83" i="2"/>
  <c r="H106" i="6" s="1"/>
  <c r="H100" i="6"/>
  <c r="K77" i="2"/>
  <c r="H97" i="6" s="1"/>
  <c r="K75" i="2"/>
  <c r="H94" i="6" s="1"/>
  <c r="K69" i="2"/>
  <c r="H85" i="6" s="1"/>
  <c r="K67" i="2"/>
  <c r="H82" i="6" s="1"/>
  <c r="K65" i="2"/>
  <c r="H79" i="6" s="1"/>
  <c r="K63" i="2"/>
  <c r="H76" i="6" s="1"/>
  <c r="K61" i="2"/>
  <c r="H73" i="6" s="1"/>
  <c r="K247" i="6"/>
  <c r="K244" i="6"/>
  <c r="K235" i="6"/>
  <c r="K232" i="6"/>
  <c r="K223" i="6"/>
  <c r="K202" i="6"/>
  <c r="K193" i="6"/>
  <c r="N17" i="1"/>
  <c r="N12" i="1"/>
  <c r="N9" i="1"/>
  <c r="F18" i="3"/>
  <c r="G18" i="3" s="1"/>
  <c r="J18" i="3" s="1"/>
  <c r="I247" i="6"/>
  <c r="I244" i="6"/>
  <c r="I232" i="6"/>
  <c r="I205" i="6"/>
  <c r="I202" i="6"/>
  <c r="L17" i="1"/>
  <c r="L23" i="1" s="1"/>
  <c r="L12" i="1"/>
  <c r="L13" i="1" s="1"/>
  <c r="F8" i="3" s="1"/>
  <c r="G8" i="3" s="1"/>
  <c r="J8" i="3" s="1"/>
  <c r="L9" i="1"/>
  <c r="H247" i="6"/>
  <c r="H238" i="6"/>
  <c r="H235" i="6"/>
  <c r="H211" i="6"/>
  <c r="H208" i="6"/>
  <c r="H202" i="6"/>
  <c r="H193" i="6"/>
  <c r="H187" i="6"/>
  <c r="K17" i="1"/>
  <c r="H184" i="6" s="1"/>
  <c r="K12" i="1"/>
  <c r="K9" i="1"/>
  <c r="H178" i="6" s="1"/>
  <c r="J212" i="6"/>
  <c r="J203" i="6"/>
  <c r="J200" i="6"/>
  <c r="M191" i="6"/>
  <c r="J182" i="6"/>
  <c r="I12" i="1"/>
  <c r="K226" i="6"/>
  <c r="H217" i="6"/>
  <c r="J215" i="6"/>
  <c r="M215" i="6"/>
  <c r="N83" i="2"/>
  <c r="N85" i="2"/>
  <c r="L83" i="2"/>
  <c r="I106" i="6" s="1"/>
  <c r="K81" i="2"/>
  <c r="H103" i="6" s="1"/>
  <c r="K4" i="6"/>
  <c r="G127" i="2"/>
  <c r="N26" i="2"/>
  <c r="K28" i="6" s="1"/>
  <c r="N61" i="2"/>
  <c r="K73" i="6" s="1"/>
  <c r="N63" i="2"/>
  <c r="N65" i="2"/>
  <c r="N67" i="2"/>
  <c r="N69" i="2"/>
  <c r="N71" i="2"/>
  <c r="N73" i="2"/>
  <c r="N75" i="2"/>
  <c r="N77" i="2"/>
  <c r="N79" i="2"/>
  <c r="N81" i="2"/>
  <c r="N103" i="2"/>
  <c r="K130" i="6" s="1"/>
  <c r="N105" i="2"/>
  <c r="N107" i="2"/>
  <c r="N109" i="2"/>
  <c r="N111" i="2"/>
  <c r="N113" i="2"/>
  <c r="N115" i="2"/>
  <c r="N117" i="2"/>
  <c r="N119" i="2"/>
  <c r="N121" i="2"/>
  <c r="N123" i="2"/>
  <c r="N127" i="2"/>
  <c r="L63" i="2"/>
  <c r="I76" i="6" s="1"/>
  <c r="L65" i="2"/>
  <c r="I79" i="6" s="1"/>
  <c r="L69" i="2"/>
  <c r="I85" i="6" s="1"/>
  <c r="L73" i="2"/>
  <c r="I91" i="6" s="1"/>
  <c r="L75" i="2"/>
  <c r="I94" i="6" s="1"/>
  <c r="L77" i="2"/>
  <c r="I97" i="6" s="1"/>
  <c r="L81" i="2"/>
  <c r="I103" i="6" s="1"/>
  <c r="L105" i="2"/>
  <c r="I133" i="6" s="1"/>
  <c r="L109" i="2"/>
  <c r="I139" i="6" s="1"/>
  <c r="L111" i="2"/>
  <c r="I142" i="6" s="1"/>
  <c r="L113" i="2"/>
  <c r="I145" i="6" s="1"/>
  <c r="L115" i="2"/>
  <c r="I148" i="6" s="1"/>
  <c r="L119" i="2"/>
  <c r="I154" i="6" s="1"/>
  <c r="L121" i="2"/>
  <c r="I157" i="6" s="1"/>
  <c r="L123" i="2"/>
  <c r="L127" i="2"/>
  <c r="I166" i="6" s="1"/>
  <c r="K105" i="2"/>
  <c r="H133" i="6" s="1"/>
  <c r="K127" i="2"/>
  <c r="H166" i="6" s="1"/>
  <c r="I233" i="6"/>
  <c r="L107" i="2"/>
  <c r="I136" i="6" s="1"/>
  <c r="I229" i="6"/>
  <c r="J206" i="6"/>
  <c r="I67" i="2"/>
  <c r="L80" i="6" s="1"/>
  <c r="I73" i="2"/>
  <c r="L89" i="6" s="1"/>
  <c r="I113" i="2"/>
  <c r="L143" i="6" s="1"/>
  <c r="I115" i="2"/>
  <c r="L146" i="6" s="1"/>
  <c r="I65" i="2"/>
  <c r="L77" i="6" s="1"/>
  <c r="K100" i="6" l="1"/>
  <c r="P79" i="2"/>
  <c r="M100" i="6" s="1"/>
  <c r="K79" i="6"/>
  <c r="K145" i="6"/>
  <c r="K76" i="6"/>
  <c r="K142" i="6"/>
  <c r="K109" i="6"/>
  <c r="K55" i="6"/>
  <c r="K160" i="6"/>
  <c r="K91" i="6"/>
  <c r="K157" i="6"/>
  <c r="K133" i="6"/>
  <c r="K88" i="6"/>
  <c r="J164" i="6"/>
  <c r="J127" i="2"/>
  <c r="M164" i="6" s="1"/>
  <c r="K148" i="6"/>
  <c r="K58" i="6"/>
  <c r="K94" i="6"/>
  <c r="K154" i="6"/>
  <c r="K85" i="6"/>
  <c r="K166" i="6"/>
  <c r="K139" i="6"/>
  <c r="K106" i="6"/>
  <c r="K136" i="6"/>
  <c r="K151" i="6"/>
  <c r="K103" i="6"/>
  <c r="K82" i="6"/>
  <c r="J158" i="6"/>
  <c r="M158" i="6"/>
  <c r="I184" i="6"/>
  <c r="F10" i="3"/>
  <c r="G41" i="2"/>
  <c r="L47" i="6"/>
  <c r="G6" i="3"/>
  <c r="J252" i="6" s="1"/>
  <c r="I252" i="6"/>
  <c r="G35" i="2"/>
  <c r="L38" i="6"/>
  <c r="G9" i="3"/>
  <c r="I9" i="3" s="1"/>
  <c r="L254" i="6" s="1"/>
  <c r="I254" i="6"/>
  <c r="G29" i="2"/>
  <c r="L29" i="6"/>
  <c r="I256" i="6"/>
  <c r="K97" i="6"/>
  <c r="I160" i="6"/>
  <c r="I88" i="6"/>
  <c r="I151" i="6"/>
  <c r="J185" i="6"/>
  <c r="M185" i="6"/>
  <c r="I220" i="6"/>
  <c r="F15" i="3"/>
  <c r="I260" i="6" s="1"/>
  <c r="I211" i="6"/>
  <c r="F12" i="3"/>
  <c r="I257" i="6" s="1"/>
  <c r="I190" i="6"/>
  <c r="I8" i="3"/>
  <c r="H205" i="6"/>
  <c r="I214" i="6"/>
  <c r="F13" i="3"/>
  <c r="I258" i="6" s="1"/>
  <c r="I18" i="3"/>
  <c r="I178" i="6"/>
  <c r="L11" i="1"/>
  <c r="F7" i="3" s="1"/>
  <c r="I253" i="6" s="1"/>
  <c r="I193" i="6"/>
  <c r="I223" i="6"/>
  <c r="F16" i="3"/>
  <c r="I261" i="6" s="1"/>
  <c r="J217" i="6"/>
  <c r="F14" i="3"/>
  <c r="I259" i="6" s="1"/>
  <c r="K205" i="6"/>
  <c r="H226" i="6"/>
  <c r="I226" i="6"/>
  <c r="M244" i="6"/>
  <c r="I175" i="6"/>
  <c r="M221" i="6"/>
  <c r="G114" i="2"/>
  <c r="J114" i="2" s="1"/>
  <c r="M144" i="6" s="1"/>
  <c r="G68" i="2"/>
  <c r="G66" i="2"/>
  <c r="M220" i="6"/>
  <c r="J224" i="6"/>
  <c r="M224" i="6"/>
  <c r="J190" i="6"/>
  <c r="J244" i="6"/>
  <c r="K211" i="6"/>
  <c r="M77" i="2"/>
  <c r="J97" i="6" s="1"/>
  <c r="M42" i="2"/>
  <c r="M34" i="2"/>
  <c r="O34" i="2" s="1"/>
  <c r="G7" i="2"/>
  <c r="J7" i="2" s="1"/>
  <c r="K220" i="6"/>
  <c r="K214" i="6"/>
  <c r="M65" i="2"/>
  <c r="J79" i="6" s="1"/>
  <c r="K217" i="6"/>
  <c r="L191" i="6"/>
  <c r="H244" i="6"/>
  <c r="M17" i="1"/>
  <c r="O17" i="1" s="1"/>
  <c r="L184" i="6" s="1"/>
  <c r="M119" i="2"/>
  <c r="J154" i="6" s="1"/>
  <c r="J61" i="2"/>
  <c r="M71" i="6" s="1"/>
  <c r="M75" i="2"/>
  <c r="J94" i="6" s="1"/>
  <c r="M113" i="2"/>
  <c r="J145" i="6" s="1"/>
  <c r="I26" i="2"/>
  <c r="J26" i="2"/>
  <c r="M26" i="6" s="1"/>
  <c r="J103" i="2"/>
  <c r="M128" i="6" s="1"/>
  <c r="L212" i="6"/>
  <c r="I17" i="1"/>
  <c r="L182" i="6" s="1"/>
  <c r="J223" i="6"/>
  <c r="J221" i="6"/>
  <c r="M188" i="6"/>
  <c r="M239" i="6"/>
  <c r="M230" i="6"/>
  <c r="M203" i="6"/>
  <c r="J245" i="6"/>
  <c r="M245" i="6"/>
  <c r="L188" i="6"/>
  <c r="J242" i="6"/>
  <c r="M242" i="6"/>
  <c r="M173" i="6"/>
  <c r="M206" i="6"/>
  <c r="M233" i="6"/>
  <c r="J188" i="6"/>
  <c r="M200" i="6"/>
  <c r="K187" i="6"/>
  <c r="J173" i="6"/>
  <c r="G116" i="2"/>
  <c r="G74" i="2"/>
  <c r="M101" i="6"/>
  <c r="G47" i="2"/>
  <c r="G31" i="2"/>
  <c r="J31" i="2" s="1"/>
  <c r="J5" i="6"/>
  <c r="M109" i="2"/>
  <c r="J139" i="6" s="1"/>
  <c r="I109" i="2"/>
  <c r="L137" i="6" s="1"/>
  <c r="L4" i="6"/>
  <c r="M26" i="2"/>
  <c r="P26" i="2" s="1"/>
  <c r="M28" i="6" s="1"/>
  <c r="M38" i="2"/>
  <c r="M30" i="2"/>
  <c r="I69" i="2"/>
  <c r="L83" i="6" s="1"/>
  <c r="M83" i="2"/>
  <c r="J106" i="6" s="1"/>
  <c r="M229" i="6"/>
  <c r="J239" i="6"/>
  <c r="L215" i="6"/>
  <c r="M212" i="6"/>
  <c r="L200" i="6"/>
  <c r="J176" i="6"/>
  <c r="I9" i="1"/>
  <c r="G10" i="1" s="1"/>
  <c r="I119" i="2"/>
  <c r="L152" i="6" s="1"/>
  <c r="J233" i="6"/>
  <c r="J12" i="1"/>
  <c r="H223" i="6"/>
  <c r="M179" i="6"/>
  <c r="I179" i="6"/>
  <c r="L203" i="6"/>
  <c r="J247" i="6"/>
  <c r="M9" i="1"/>
  <c r="H229" i="6"/>
  <c r="J241" i="6"/>
  <c r="I238" i="6"/>
  <c r="J238" i="6"/>
  <c r="L209" i="6"/>
  <c r="J210" i="6"/>
  <c r="I181" i="6"/>
  <c r="M14" i="1"/>
  <c r="L221" i="6"/>
  <c r="I236" i="6"/>
  <c r="L173" i="6"/>
  <c r="J191" i="6"/>
  <c r="I217" i="6"/>
  <c r="M12" i="1"/>
  <c r="H231" i="6"/>
  <c r="I227" i="6"/>
  <c r="K236" i="6"/>
  <c r="J17" i="1"/>
  <c r="M182" i="6" s="1"/>
  <c r="H241" i="6"/>
  <c r="J209" i="6"/>
  <c r="M209" i="6"/>
  <c r="L218" i="6"/>
  <c r="M227" i="6"/>
  <c r="J227" i="6"/>
  <c r="J232" i="6"/>
  <c r="H232" i="6"/>
  <c r="K229" i="6"/>
  <c r="K238" i="6"/>
  <c r="L244" i="6"/>
  <c r="H214" i="6"/>
  <c r="H190" i="6"/>
  <c r="J205" i="6"/>
  <c r="K241" i="6"/>
  <c r="I187" i="6"/>
  <c r="J187" i="6"/>
  <c r="J218" i="6"/>
  <c r="M218" i="6"/>
  <c r="I208" i="6"/>
  <c r="J208" i="6"/>
  <c r="L185" i="6"/>
  <c r="J9" i="1"/>
  <c r="M176" i="6" s="1"/>
  <c r="K184" i="6"/>
  <c r="K208" i="6"/>
  <c r="I85" i="2"/>
  <c r="I77" i="2"/>
  <c r="L95" i="6" s="1"/>
  <c r="I71" i="2"/>
  <c r="L86" i="6" s="1"/>
  <c r="I63" i="2"/>
  <c r="L74" i="6" s="1"/>
  <c r="I61" i="2"/>
  <c r="L71" i="6" s="1"/>
  <c r="M73" i="2"/>
  <c r="J91" i="6" s="1"/>
  <c r="K121" i="2"/>
  <c r="H157" i="6" s="1"/>
  <c r="M67" i="2"/>
  <c r="J82" i="6" s="1"/>
  <c r="I105" i="2"/>
  <c r="L131" i="6" s="1"/>
  <c r="M115" i="2"/>
  <c r="P115" i="2" s="1"/>
  <c r="M148" i="6" s="1"/>
  <c r="L61" i="2"/>
  <c r="I73" i="6" s="1"/>
  <c r="L85" i="2"/>
  <c r="I109" i="6" s="1"/>
  <c r="I117" i="2"/>
  <c r="L149" i="6" s="1"/>
  <c r="M117" i="2"/>
  <c r="J151" i="6" s="1"/>
  <c r="M81" i="2"/>
  <c r="J103" i="6" s="1"/>
  <c r="I36" i="2"/>
  <c r="L41" i="6" s="1"/>
  <c r="I83" i="2"/>
  <c r="M107" i="2"/>
  <c r="J136" i="6" s="1"/>
  <c r="K178" i="6"/>
  <c r="K190" i="6"/>
  <c r="K175" i="6"/>
  <c r="I123" i="2"/>
  <c r="L158" i="6" s="1"/>
  <c r="M63" i="2"/>
  <c r="J76" i="6" s="1"/>
  <c r="K181" i="6"/>
  <c r="M69" i="2"/>
  <c r="J85" i="6" s="1"/>
  <c r="I42" i="2"/>
  <c r="L50" i="6" s="1"/>
  <c r="M40" i="2"/>
  <c r="P40" i="2" s="1"/>
  <c r="M123" i="2"/>
  <c r="J160" i="6" s="1"/>
  <c r="I107" i="2"/>
  <c r="L134" i="6" s="1"/>
  <c r="M111" i="2"/>
  <c r="J142" i="6" s="1"/>
  <c r="M103" i="2"/>
  <c r="J130" i="6" s="1"/>
  <c r="I75" i="2"/>
  <c r="L92" i="6" s="1"/>
  <c r="M105" i="2"/>
  <c r="J133" i="6" s="1"/>
  <c r="M36" i="2"/>
  <c r="O36" i="2" s="1"/>
  <c r="L32" i="2"/>
  <c r="L44" i="2"/>
  <c r="I55" i="6" s="1"/>
  <c r="I15" i="2"/>
  <c r="L15" i="6" s="1"/>
  <c r="M28" i="2"/>
  <c r="I79" i="2"/>
  <c r="L98" i="6" s="1"/>
  <c r="K71" i="2"/>
  <c r="H88" i="6" s="1"/>
  <c r="M46" i="2"/>
  <c r="J230" i="6"/>
  <c r="I127" i="2"/>
  <c r="L164" i="6" s="1"/>
  <c r="J174" i="6"/>
  <c r="J7" i="1"/>
  <c r="M174" i="6" s="1"/>
  <c r="I7" i="1"/>
  <c r="L174" i="6" s="1"/>
  <c r="M127" i="2"/>
  <c r="J166" i="6" s="1"/>
  <c r="I13" i="2"/>
  <c r="L12" i="6" s="1"/>
  <c r="L2" i="6"/>
  <c r="J6" i="2"/>
  <c r="J2" i="6"/>
  <c r="I81" i="2"/>
  <c r="I38" i="2"/>
  <c r="M216" i="6"/>
  <c r="J216" i="6"/>
  <c r="L216" i="6"/>
  <c r="I103" i="2"/>
  <c r="L128" i="6" s="1"/>
  <c r="J6" i="6"/>
  <c r="L6" i="6"/>
  <c r="L5" i="6"/>
  <c r="J58" i="6" l="1"/>
  <c r="O46" i="2"/>
  <c r="P42" i="2"/>
  <c r="O42" i="2"/>
  <c r="L52" i="6" s="1"/>
  <c r="P38" i="2"/>
  <c r="M46" i="6" s="1"/>
  <c r="O38" i="2"/>
  <c r="L46" i="6" s="1"/>
  <c r="F30" i="3"/>
  <c r="J254" i="6"/>
  <c r="J9" i="3"/>
  <c r="M254" i="6" s="1"/>
  <c r="P73" i="2"/>
  <c r="M91" i="6" s="1"/>
  <c r="P109" i="2"/>
  <c r="P63" i="2"/>
  <c r="M76" i="6" s="1"/>
  <c r="M166" i="6"/>
  <c r="M145" i="6"/>
  <c r="P81" i="2"/>
  <c r="M103" i="6" s="1"/>
  <c r="P75" i="2"/>
  <c r="M94" i="6" s="1"/>
  <c r="P46" i="2"/>
  <c r="M58" i="6" s="1"/>
  <c r="J78" i="6"/>
  <c r="J66" i="2"/>
  <c r="M78" i="6" s="1"/>
  <c r="P107" i="2"/>
  <c r="M136" i="6" s="1"/>
  <c r="P69" i="2"/>
  <c r="M85" i="6" s="1"/>
  <c r="P77" i="2"/>
  <c r="M97" i="6" s="1"/>
  <c r="J90" i="6"/>
  <c r="J74" i="2"/>
  <c r="M90" i="6" s="1"/>
  <c r="J147" i="6"/>
  <c r="J116" i="2"/>
  <c r="M147" i="6" s="1"/>
  <c r="J81" i="6"/>
  <c r="J68" i="2"/>
  <c r="M81" i="6" s="1"/>
  <c r="P117" i="2"/>
  <c r="M151" i="6" s="1"/>
  <c r="P65" i="2"/>
  <c r="M79" i="6" s="1"/>
  <c r="P105" i="2"/>
  <c r="P123" i="2"/>
  <c r="M160" i="6" s="1"/>
  <c r="P111" i="2"/>
  <c r="P67" i="2"/>
  <c r="M82" i="6" s="1"/>
  <c r="M106" i="6"/>
  <c r="P119" i="2"/>
  <c r="M154" i="6" s="1"/>
  <c r="J43" i="6"/>
  <c r="P36" i="2"/>
  <c r="M43" i="6" s="1"/>
  <c r="J40" i="6"/>
  <c r="P34" i="2"/>
  <c r="M40" i="6" s="1"/>
  <c r="J34" i="6"/>
  <c r="P30" i="2"/>
  <c r="M34" i="6" s="1"/>
  <c r="J31" i="6"/>
  <c r="P28" i="2"/>
  <c r="M31" i="6" s="1"/>
  <c r="I29" i="2"/>
  <c r="L30" i="6" s="1"/>
  <c r="J29" i="2"/>
  <c r="M30" i="6" s="1"/>
  <c r="J57" i="6"/>
  <c r="J47" i="2"/>
  <c r="M57" i="6" s="1"/>
  <c r="I41" i="2"/>
  <c r="L48" i="6" s="1"/>
  <c r="J41" i="2"/>
  <c r="M48" i="6" s="1"/>
  <c r="J39" i="6"/>
  <c r="J35" i="2"/>
  <c r="M39" i="6" s="1"/>
  <c r="J6" i="3"/>
  <c r="M252" i="6" s="1"/>
  <c r="L217" i="6"/>
  <c r="M217" i="6"/>
  <c r="I6" i="3"/>
  <c r="L252" i="6" s="1"/>
  <c r="I255" i="6"/>
  <c r="J48" i="6"/>
  <c r="M49" i="6"/>
  <c r="J49" i="6"/>
  <c r="I114" i="2"/>
  <c r="L144" i="6" s="1"/>
  <c r="J144" i="6"/>
  <c r="M52" i="6"/>
  <c r="J52" i="6"/>
  <c r="L104" i="6"/>
  <c r="G84" i="2"/>
  <c r="O115" i="2"/>
  <c r="L148" i="6" s="1"/>
  <c r="J148" i="6"/>
  <c r="L202" i="6"/>
  <c r="J202" i="6"/>
  <c r="L107" i="6"/>
  <c r="G86" i="2"/>
  <c r="M33" i="6"/>
  <c r="J33" i="6"/>
  <c r="G27" i="2"/>
  <c r="L26" i="6"/>
  <c r="J30" i="6"/>
  <c r="I37" i="6"/>
  <c r="L220" i="6"/>
  <c r="L101" i="6"/>
  <c r="G82" i="2"/>
  <c r="J46" i="6"/>
  <c r="G39" i="2"/>
  <c r="J39" i="2" s="1"/>
  <c r="L44" i="6"/>
  <c r="P17" i="1"/>
  <c r="M184" i="6" s="1"/>
  <c r="G10" i="3"/>
  <c r="G12" i="3"/>
  <c r="G16" i="3"/>
  <c r="G7" i="3"/>
  <c r="G15" i="3"/>
  <c r="G14" i="3"/>
  <c r="G13" i="3"/>
  <c r="M207" i="6"/>
  <c r="L206" i="6"/>
  <c r="I7" i="2"/>
  <c r="M246" i="6"/>
  <c r="L231" i="6"/>
  <c r="L190" i="6"/>
  <c r="G80" i="2"/>
  <c r="H220" i="6"/>
  <c r="M214" i="6"/>
  <c r="J220" i="6"/>
  <c r="M226" i="6"/>
  <c r="O12" i="1"/>
  <c r="J214" i="6"/>
  <c r="L223" i="6"/>
  <c r="L214" i="6"/>
  <c r="M192" i="6"/>
  <c r="M223" i="6"/>
  <c r="O109" i="2"/>
  <c r="L139" i="6" s="1"/>
  <c r="G106" i="2"/>
  <c r="O113" i="2"/>
  <c r="L145" i="6" s="1"/>
  <c r="G110" i="2"/>
  <c r="J110" i="2" s="1"/>
  <c r="M190" i="6"/>
  <c r="G108" i="2"/>
  <c r="O107" i="2"/>
  <c r="L136" i="6" s="1"/>
  <c r="G118" i="2"/>
  <c r="O75" i="2"/>
  <c r="L94" i="6" s="1"/>
  <c r="G124" i="2"/>
  <c r="J124" i="2" s="1"/>
  <c r="O83" i="2"/>
  <c r="L106" i="6" s="1"/>
  <c r="G78" i="2"/>
  <c r="G76" i="2"/>
  <c r="J76" i="2" s="1"/>
  <c r="G72" i="2"/>
  <c r="J72" i="2" s="1"/>
  <c r="M61" i="2"/>
  <c r="J73" i="6" s="1"/>
  <c r="G62" i="2"/>
  <c r="L230" i="6"/>
  <c r="O77" i="2"/>
  <c r="L97" i="6" s="1"/>
  <c r="L211" i="6"/>
  <c r="L224" i="6"/>
  <c r="L175" i="6"/>
  <c r="J181" i="6"/>
  <c r="J178" i="6"/>
  <c r="P12" i="1"/>
  <c r="G18" i="1"/>
  <c r="J18" i="1" s="1"/>
  <c r="M183" i="6" s="1"/>
  <c r="J184" i="6"/>
  <c r="O65" i="2"/>
  <c r="L79" i="6" s="1"/>
  <c r="M6" i="6"/>
  <c r="I31" i="2"/>
  <c r="L33" i="6" s="1"/>
  <c r="L40" i="6"/>
  <c r="I74" i="2"/>
  <c r="L90" i="6" s="1"/>
  <c r="O119" i="2"/>
  <c r="L154" i="6" s="1"/>
  <c r="I47" i="2"/>
  <c r="L57" i="6" s="1"/>
  <c r="M2" i="6"/>
  <c r="L245" i="6"/>
  <c r="M213" i="6"/>
  <c r="J229" i="6"/>
  <c r="L229" i="6"/>
  <c r="O26" i="2"/>
  <c r="L28" i="6" s="1"/>
  <c r="O30" i="2"/>
  <c r="L34" i="6" s="1"/>
  <c r="J28" i="6"/>
  <c r="M189" i="6"/>
  <c r="M208" i="6"/>
  <c r="M211" i="6"/>
  <c r="J211" i="6"/>
  <c r="L208" i="6"/>
  <c r="O14" i="1"/>
  <c r="L181" i="6" s="1"/>
  <c r="M202" i="6"/>
  <c r="M187" i="6"/>
  <c r="L238" i="6"/>
  <c r="G120" i="2"/>
  <c r="I116" i="2"/>
  <c r="L147" i="6" s="1"/>
  <c r="G70" i="2"/>
  <c r="G64" i="2"/>
  <c r="G43" i="2"/>
  <c r="J43" i="2" s="1"/>
  <c r="G37" i="2"/>
  <c r="J37" i="2" s="1"/>
  <c r="L58" i="6"/>
  <c r="M85" i="2"/>
  <c r="J4" i="6"/>
  <c r="I35" i="2"/>
  <c r="L39" i="6" s="1"/>
  <c r="J175" i="6"/>
  <c r="P6" i="1"/>
  <c r="M175" i="6" s="1"/>
  <c r="L186" i="6"/>
  <c r="L232" i="6"/>
  <c r="M247" i="6"/>
  <c r="L241" i="6"/>
  <c r="L247" i="6"/>
  <c r="P14" i="1"/>
  <c r="M181" i="6" s="1"/>
  <c r="I10" i="1"/>
  <c r="L177" i="6" s="1"/>
  <c r="L7" i="6"/>
  <c r="O81" i="2"/>
  <c r="L103" i="6" s="1"/>
  <c r="M241" i="6"/>
  <c r="O9" i="1"/>
  <c r="L178" i="6" s="1"/>
  <c r="P9" i="1"/>
  <c r="M178" i="6" s="1"/>
  <c r="L210" i="6"/>
  <c r="J177" i="6"/>
  <c r="J10" i="1"/>
  <c r="M177" i="6" s="1"/>
  <c r="M236" i="6"/>
  <c r="J236" i="6"/>
  <c r="M222" i="6"/>
  <c r="J222" i="6"/>
  <c r="L222" i="6"/>
  <c r="L176" i="6"/>
  <c r="M238" i="6"/>
  <c r="M210" i="6"/>
  <c r="L242" i="6"/>
  <c r="M235" i="6"/>
  <c r="I235" i="6"/>
  <c r="L233" i="6"/>
  <c r="L187" i="6"/>
  <c r="L239" i="6"/>
  <c r="J219" i="6"/>
  <c r="L219" i="6"/>
  <c r="M219" i="6"/>
  <c r="M232" i="6"/>
  <c r="L227" i="6"/>
  <c r="L193" i="6"/>
  <c r="M193" i="6"/>
  <c r="J193" i="6"/>
  <c r="E29" i="3"/>
  <c r="O73" i="2"/>
  <c r="L91" i="6" s="1"/>
  <c r="O79" i="2"/>
  <c r="L100" i="6" s="1"/>
  <c r="M121" i="2"/>
  <c r="O117" i="2"/>
  <c r="L151" i="6" s="1"/>
  <c r="J226" i="6"/>
  <c r="L226" i="6"/>
  <c r="O63" i="2"/>
  <c r="L76" i="6" s="1"/>
  <c r="I32" i="2"/>
  <c r="M32" i="2"/>
  <c r="G122" i="2"/>
  <c r="J7" i="6"/>
  <c r="I111" i="2"/>
  <c r="L140" i="6" s="1"/>
  <c r="I44" i="2"/>
  <c r="O105" i="2"/>
  <c r="L133" i="6" s="1"/>
  <c r="M142" i="6"/>
  <c r="O111" i="2"/>
  <c r="L142" i="6" s="1"/>
  <c r="M71" i="2"/>
  <c r="O28" i="2"/>
  <c r="L31" i="6" s="1"/>
  <c r="L43" i="6"/>
  <c r="O103" i="2"/>
  <c r="L130" i="6" s="1"/>
  <c r="P103" i="2"/>
  <c r="M130" i="6" s="1"/>
  <c r="I66" i="2"/>
  <c r="L78" i="6" s="1"/>
  <c r="M44" i="2"/>
  <c r="O123" i="2"/>
  <c r="L160" i="6" s="1"/>
  <c r="O40" i="2"/>
  <c r="L49" i="6" s="1"/>
  <c r="O69" i="2"/>
  <c r="L85" i="6" s="1"/>
  <c r="G128" i="2"/>
  <c r="O127" i="2"/>
  <c r="L166" i="6" s="1"/>
  <c r="J3" i="6"/>
  <c r="I68" i="2"/>
  <c r="L81" i="6" s="1"/>
  <c r="G104" i="2"/>
  <c r="O67" i="2"/>
  <c r="L82" i="6" s="1"/>
  <c r="J253" i="6" l="1"/>
  <c r="J7" i="3"/>
  <c r="J261" i="6"/>
  <c r="J16" i="3"/>
  <c r="M261" i="6" s="1"/>
  <c r="J257" i="6"/>
  <c r="J12" i="3"/>
  <c r="M257" i="6" s="1"/>
  <c r="J256" i="6"/>
  <c r="M256" i="6"/>
  <c r="J258" i="6"/>
  <c r="J13" i="3"/>
  <c r="M258" i="6" s="1"/>
  <c r="J259" i="6"/>
  <c r="J14" i="3"/>
  <c r="M259" i="6" s="1"/>
  <c r="J255" i="6"/>
  <c r="J10" i="3"/>
  <c r="M255" i="6" s="1"/>
  <c r="J260" i="6"/>
  <c r="J15" i="3"/>
  <c r="M260" i="6" s="1"/>
  <c r="J84" i="6"/>
  <c r="J70" i="2"/>
  <c r="M84" i="6" s="1"/>
  <c r="J135" i="6"/>
  <c r="J108" i="2"/>
  <c r="M135" i="6" s="1"/>
  <c r="J132" i="6"/>
  <c r="J106" i="2"/>
  <c r="J156" i="6"/>
  <c r="J122" i="2"/>
  <c r="M156" i="6" s="1"/>
  <c r="J109" i="6"/>
  <c r="P85" i="2"/>
  <c r="M109" i="6" s="1"/>
  <c r="J96" i="6"/>
  <c r="J78" i="2"/>
  <c r="M96" i="6" s="1"/>
  <c r="J153" i="6"/>
  <c r="J120" i="2"/>
  <c r="M153" i="6" s="1"/>
  <c r="J72" i="6"/>
  <c r="J62" i="2"/>
  <c r="M72" i="6" s="1"/>
  <c r="J102" i="6"/>
  <c r="J82" i="2"/>
  <c r="M102" i="6" s="1"/>
  <c r="J150" i="6"/>
  <c r="J118" i="2"/>
  <c r="M150" i="6" s="1"/>
  <c r="J88" i="6"/>
  <c r="P71" i="2"/>
  <c r="M88" i="6" s="1"/>
  <c r="J157" i="6"/>
  <c r="P121" i="2"/>
  <c r="M157" i="6" s="1"/>
  <c r="J55" i="6"/>
  <c r="P44" i="2"/>
  <c r="M55" i="6" s="1"/>
  <c r="J165" i="6"/>
  <c r="J128" i="2"/>
  <c r="M165" i="6" s="1"/>
  <c r="J129" i="6"/>
  <c r="J104" i="2"/>
  <c r="M129" i="6" s="1"/>
  <c r="J75" i="6"/>
  <c r="J64" i="2"/>
  <c r="M75" i="6" s="1"/>
  <c r="J99" i="6"/>
  <c r="J80" i="2"/>
  <c r="M99" i="6" s="1"/>
  <c r="J37" i="6"/>
  <c r="P32" i="2"/>
  <c r="M37" i="6" s="1"/>
  <c r="J105" i="6"/>
  <c r="J84" i="2"/>
  <c r="M105" i="6" s="1"/>
  <c r="J108" i="6"/>
  <c r="J86" i="2"/>
  <c r="M108" i="6" s="1"/>
  <c r="I27" i="2"/>
  <c r="L27" i="6" s="1"/>
  <c r="J27" i="2"/>
  <c r="M27" i="6" s="1"/>
  <c r="J93" i="6"/>
  <c r="I76" i="2"/>
  <c r="L93" i="6" s="1"/>
  <c r="M231" i="6"/>
  <c r="J231" i="6"/>
  <c r="I262" i="6"/>
  <c r="F29" i="3"/>
  <c r="G30" i="3"/>
  <c r="J30" i="3" s="1"/>
  <c r="M139" i="6"/>
  <c r="M133" i="6"/>
  <c r="M42" i="6"/>
  <c r="J42" i="6"/>
  <c r="M51" i="6"/>
  <c r="J51" i="6"/>
  <c r="I110" i="2"/>
  <c r="L138" i="6" s="1"/>
  <c r="J138" i="6"/>
  <c r="J27" i="6"/>
  <c r="G33" i="2"/>
  <c r="L35" i="6"/>
  <c r="I124" i="2"/>
  <c r="L159" i="6" s="1"/>
  <c r="J159" i="6"/>
  <c r="I72" i="2"/>
  <c r="L87" i="6" s="1"/>
  <c r="J87" i="6"/>
  <c r="M45" i="6"/>
  <c r="J45" i="6"/>
  <c r="G45" i="2"/>
  <c r="J45" i="2" s="1"/>
  <c r="L53" i="6"/>
  <c r="I14" i="3"/>
  <c r="L259" i="6" s="1"/>
  <c r="M204" i="6"/>
  <c r="J204" i="6"/>
  <c r="L246" i="6"/>
  <c r="I13" i="3"/>
  <c r="L258" i="6" s="1"/>
  <c r="M253" i="6"/>
  <c r="I7" i="3"/>
  <c r="L253" i="6" s="1"/>
  <c r="I12" i="3"/>
  <c r="L257" i="6" s="1"/>
  <c r="I10" i="3"/>
  <c r="L255" i="6" s="1"/>
  <c r="L205" i="6"/>
  <c r="M205" i="6"/>
  <c r="I15" i="3"/>
  <c r="L260" i="6" s="1"/>
  <c r="I16" i="3"/>
  <c r="L261" i="6" s="1"/>
  <c r="L256" i="6"/>
  <c r="J207" i="6"/>
  <c r="L207" i="6"/>
  <c r="M201" i="6"/>
  <c r="J201" i="6"/>
  <c r="L192" i="6"/>
  <c r="J246" i="6"/>
  <c r="L201" i="6"/>
  <c r="J192" i="6"/>
  <c r="G112" i="2"/>
  <c r="J183" i="6"/>
  <c r="M159" i="6"/>
  <c r="M93" i="6"/>
  <c r="M87" i="6"/>
  <c r="I18" i="1"/>
  <c r="L183" i="6" s="1"/>
  <c r="P61" i="2"/>
  <c r="M73" i="6" s="1"/>
  <c r="J213" i="6"/>
  <c r="M225" i="6"/>
  <c r="J225" i="6"/>
  <c r="L225" i="6"/>
  <c r="O61" i="2"/>
  <c r="L73" i="6" s="1"/>
  <c r="I43" i="2"/>
  <c r="L51" i="6" s="1"/>
  <c r="L3" i="6"/>
  <c r="M7" i="6"/>
  <c r="M4" i="6"/>
  <c r="M3" i="6"/>
  <c r="O85" i="2"/>
  <c r="L109" i="6" s="1"/>
  <c r="L213" i="6"/>
  <c r="L189" i="6"/>
  <c r="J189" i="6"/>
  <c r="I64" i="2"/>
  <c r="L75" i="6" s="1"/>
  <c r="J186" i="6"/>
  <c r="M186" i="6"/>
  <c r="I120" i="2"/>
  <c r="L153" i="6" s="1"/>
  <c r="I80" i="2"/>
  <c r="L99" i="6" s="1"/>
  <c r="I70" i="2"/>
  <c r="L84" i="6" s="1"/>
  <c r="I37" i="2"/>
  <c r="L42" i="6" s="1"/>
  <c r="L179" i="6"/>
  <c r="L204" i="6"/>
  <c r="L234" i="6"/>
  <c r="M234" i="6"/>
  <c r="J234" i="6"/>
  <c r="L236" i="6"/>
  <c r="J235" i="6"/>
  <c r="L235" i="6"/>
  <c r="J243" i="6"/>
  <c r="M243" i="6"/>
  <c r="L243" i="6"/>
  <c r="L240" i="6"/>
  <c r="J240" i="6"/>
  <c r="M240" i="6"/>
  <c r="L228" i="6"/>
  <c r="M228" i="6"/>
  <c r="J228" i="6"/>
  <c r="I62" i="2"/>
  <c r="L72" i="6" s="1"/>
  <c r="I118" i="2"/>
  <c r="L150" i="6" s="1"/>
  <c r="O121" i="2"/>
  <c r="L157" i="6" s="1"/>
  <c r="I78" i="2"/>
  <c r="L96" i="6" s="1"/>
  <c r="I86" i="2"/>
  <c r="L108" i="6" s="1"/>
  <c r="I106" i="2"/>
  <c r="L132" i="6" s="1"/>
  <c r="O44" i="2"/>
  <c r="L55" i="6" s="1"/>
  <c r="O71" i="2"/>
  <c r="L88" i="6" s="1"/>
  <c r="I108" i="2"/>
  <c r="L135" i="6" s="1"/>
  <c r="O32" i="2"/>
  <c r="L37" i="6" s="1"/>
  <c r="I128" i="2"/>
  <c r="L165" i="6" s="1"/>
  <c r="I82" i="2"/>
  <c r="L102" i="6" s="1"/>
  <c r="I39" i="2"/>
  <c r="L45" i="6" s="1"/>
  <c r="I104" i="2"/>
  <c r="L129" i="6" s="1"/>
  <c r="J262" i="6" l="1"/>
  <c r="J17" i="3"/>
  <c r="M262" i="6" s="1"/>
  <c r="J141" i="6"/>
  <c r="J112" i="2"/>
  <c r="M141" i="6" s="1"/>
  <c r="J36" i="6"/>
  <c r="J33" i="2"/>
  <c r="M36" i="6" s="1"/>
  <c r="M138" i="6"/>
  <c r="M132" i="6"/>
  <c r="M54" i="6"/>
  <c r="J54" i="6"/>
  <c r="I17" i="3"/>
  <c r="L262" i="6" s="1"/>
  <c r="J180" i="6"/>
  <c r="L180" i="6"/>
  <c r="M180" i="6"/>
  <c r="L237" i="6"/>
  <c r="M237" i="6"/>
  <c r="J237" i="6"/>
  <c r="I112" i="2"/>
  <c r="L141" i="6" s="1"/>
  <c r="I33" i="2"/>
  <c r="L36" i="6" s="1"/>
  <c r="I122" i="2"/>
  <c r="L156" i="6" s="1"/>
  <c r="I45" i="2"/>
  <c r="L54" i="6" s="1"/>
  <c r="I84" i="2" l="1"/>
  <c r="L105" i="6" s="1"/>
  <c r="I30" i="3"/>
</calcChain>
</file>

<file path=xl/comments1.xml><?xml version="1.0" encoding="utf-8"?>
<comments xmlns="http://schemas.openxmlformats.org/spreadsheetml/2006/main">
  <authors>
    <author>Mario Cea</author>
    <author>CEA TELLO, MARIO ANDRES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2524 Ton. (Res. Ex. N°765-21)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07-03-2021
Apertura de Cuota 09-03-2021
Cierre de cuota 16-03-2021
Apertura de Cuota 16-03-2021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232 Ton a periodo Ene-Oct (Res. Ex. N°0002-21)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16-03-2021
Apertura de Cuota 16-03-2021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1200 Ton a Orizon S.A. V-IX (Res. Ex. N° 810-2021)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67,133 Ton a periodo Ene-Oct (Res. Ex. N°0004-21)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Cuota de imprevisto se incorporan 1663,522 Ton. (Res. Ex. N°745-21)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
Cierre cuota 21-07-2021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357,222 Ton a periodo Ene-Oct (Res. Ex. N°0008-21)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Apetura cuota 12-03-2021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Cuota de imprevisto se incorporan 547,851 Ton. (Res. Ex. N°1411-21)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10-03-2021
Apertura de Cuota 23-03-2021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117,645 Ton a periodo Ene-Oct (Res. Ex. N°0003-21)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890 Ton a Alimentos Marinos S.A. XIV-X (Res. Ex. N° 492-2021)
Modifica Res. Ex. 492-21 Unidad de pesqueria a V-IX (Res. Ex. N°1563-2021)
Cesion de 2970 Ton a Orizon S.A. V-IX (Res. Ex. N° 493-2021)
Cesion de 286 Ton a Embarcaciones VIII (Res. Ex. N° 2340-2021)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70 Ton a Orizon S.A. V-IX (Res. Ex. N° 840-2021)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 Ton a Orizon S.A. V-IX (Res. Ex. N° 1148-2021)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120 Ton a Orizon S.A. V-IX (Res. Ex. N° 489-2021)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610 Ton a Orizon S.A. V-IX (Res. Ex. N° 494-2021)
Cesion de 5 Ton a Embarcacion VIII (Res. Ex. N° 1935-2021)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a Landes S.A. Soc. Pesq. V-IX (Res. Ex. N° 650-2021)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a Orizon S.A. V-IX (Res. Ex. N° 487-2021)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1991 Ton a Landes S.A. Soc. Pesq. V-IX (Res. Ex. N° 715-2021)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946,309 Ton a Orizon S.A. V-IX (Res. Ex. N° 491-2021)</t>
        </r>
      </text>
    </comment>
    <comment ref="F6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126 Ton a Orizon S.A. V-IX (Res. Ex. N° 841-2021)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Mario Cea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247,043 Ton a Arica Seafood Producer S.A. XV-II ( Res. Ex. N° 102-2021)
Compra venta de 247,043 Ton desde Arica Seafood Producer S.A. III-IV ( Res. Ex. N° 2331-2021)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a Camanchaca Pesca Sur S.A. V-IX Región (Cert. N°02-2021)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1192,103 Ton desde Camanchaca S.A. III-IV, V-IX, XIV-X Regiónes (Cert. N°28-2021)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2906,268 Ton a Landes S.A. Soc. Pesq. V-IX Región (Cert. N°23-2021)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686,936 Ton a Landes S.A. Soc. Pesq. V-IX Región (Cert. N°12-2021)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1985,422 Ton a Foodcorp Chile S.A. Soc. Pesq. V-IX Región (Cert. N°10-2021)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1690,920 Ton a Comer. Y Conservera San Lazaro Ltda. V-IX Región (Cert. N°20-2021)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247,043 Ton desde Corpesca S.A. XV-II ( Res. Ex. N° 102-2021)
Compra venta de 247,043 Ton a Corpesca S.A. III-IV ( Res. Ex. N° 2331-2021)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1245 Ton a Alimentos Marinos S.A. V-IX Región (Cert. N°14-2021)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2000 Ton a Blumar S.A. V-IX Región (Cert. N°27-2021)
Traspaso de 1000 Ton a Blumar S.A. V-IX Región (Cert. N°29-2021)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221,667 Ton a Camanchaca S.A. XV-II Región (Cert. N°28-2021)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624,458 Ton a Foodcorp Chile S.A. Soc. Pesq. V-IX Región (Cert. N°11-2021)
Deja sin efecto Fidecomiso de 66,906 Ton a EGS Brama Australis SeafoodS.A. III-IV ( Res. Ex. N° 1297-2021)
Deja sin efecto Fidecomiso de 89,208 Ton a EGS Brama Australis SeafoodS.A. III-IV ( Res. Ex. N° 1298-2021)
Deja sin efecto Fidecomiso de 89,208 Ton a EGS Brama Australis SeafoodS.A. III-IV ( Res. Ex. N° 1299-2021)
Deja sin efecto Fidecomiso de 89,208 Ton a EGS Brama Australis SeafoodS.A. III-IV ( Res. Ex. N° 1300-2021)
Deja sin efecto Fidecomiso de 89,208 Ton a EGS Brama Australis SeafoodS.A. III-IV ( Res. Ex. N° 1301-2021)
Deja sin efecto Fidecomiso de 133,812 Ton a EGS Brama Australis SeafoodS.A. III-IV ( Res. Ex. N° 1302-2021)
Compra venta de 66,906 Ton desde EGS Brama Australis SeafoodS.A. III-IV ( Res. Ex. N° 1701-2021)
Compra venta de 89,208 Ton desde EGS Brama Australis SeafoodS.A. III-IV ( Res. Ex. N° 1702-2021)
Compra venta de 89,208 Ton desde EGS Brama Australis SeafoodS.A. III-IV ( Res. Ex. N° 1703-2021)
Compra venta de 89,208 Ton desde EGS Brama Australis SeafoodS.A. III-IV ( Res. Ex. N° 1704-2021)
Compra venta de 89,208 Ton desde EGS Brama Australis SeafoodS.A. III-IV ( Res. Ex. N° 1705-2021)
Compra venta de 133,812 Ton desde EGS Brama Australis SeafoodS.A. III-IV ( Res. Ex. N° 1706-2021)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a Litoral SPA Pesq. V-IX Región (Cert. N°04-2021)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6,393 Ton a Lota Protein S.A. III-IV ( Res. Ex. N° 1356-2021)
Compra venta de 6,245 desde Lota Protein S.A. III-IV (Res. EX. N°1698-21)
Comodato de 0,14868 Ton a Thor Fishiries Chile SPA. III-IV Región (Cert. N°35-2021)
Traspaso de 104,537 Ton a Landes S.A. V-IX Región (Cert. N°45-2021)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4169 Ton a Orizon S.A. V-IX Región (Cert. N°43-2021)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500,0142 Ton a Camachaca Pesca Sur S.A. V-IX Región (Cert. N°16-2021)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713,664 Ton a Comer. y Conservera San Lazaro Ltda. V-IX Región (Cert. N°20-2021)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6,393 Ton desde Landes S.A. Soc. Pesq. III-IV ( Res. Ex. N° 1356-2021)
Compra venta de 6,245 a Landes S.A. III-IV (Res. EX. N°1698-21)</t>
        </r>
      </text>
    </comment>
    <comment ref="F5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66,906 Ton desde Foodcorp Chile S.A. III-IV ( Res. Ex. N° 1297-2021)
Deja sin efecto Fidecomiso de 89,208 Ton desde Foodcorp Chile S.A. III-IV ( Res. Ex. N° 1298-2021)
Deja sin efecto Fidecomiso de 89,208 Ton desde Foodcorp Chile S.A. III-IV ( Res. Ex. N° 1299-2021)
Deja sin efecto Fidecomiso de 89,208 Ton desde Foodcorp Chile S.A. III-IV ( Res. Ex. N° 1300-2021)
Deja sin efecto Fidecomiso de 89,208 Ton desde Foodcorp Chile S.A. III-IV ( Res. Ex. N° 1301-2021)
Deja sin efecto Fidecomiso de 133,812 Ton desde Foodcorp Chile S.A. III-IV ( Res. Ex. N° 1302-2021)
Compra venta de 66,906 Ton a Foodcorp Chile S.A. III-IV ( Res. Ex. N° 1701-2021)
Compra venta de 89,208 Ton a Foodcorp Chile S.A. III-IV ( Res. Ex. N° 1702-2021)
Compra venta de 89,208 Ton a Foodcorp Chile S.A. III-IV ( Res. Ex. N° 1703-2021)
Compra venta de 89,208 Ton a Foodcorp Chile S.A. III-IV ( Res. Ex. N° 1704-2021)
Compra venta de 89,208 Ton a Foodcorp Chile S.A. III-IV ( Res. Ex. N° 1705-2021)
Compra venta de 133,812 Ton a Foodcorp Chile S.A. III-IV ( Res. Ex. N° 1706-2021)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0,14868 Ton desde Landes S.A. III-IV Región (Cert. N°35-2021)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890 Ton desde AG del Puerto de San Antonio V Región (Res. Ex. N° 492-2021)
Modifica Res. Ex. 492-21 Unidad de pesqueria a V-IX (Res. Ex. N°1563-2021)
Traspaso de 1245 Ton desde Alimentos Marinos S.A. III-IV Región (Cert. N°14-2021)
Traspaso de 4335 Ton desde Alimentos Marinos S.A. XIV-X Región (Cert. N°15-2021)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2000 Ton desde Blumar S.A. III-IV Región (Cert. N°27-2021)
Traspaso de 5000 Ton desde Blumar S.A. XIV-X Región (Cert. N°27-2021)
Traspaso de 1000 Ton desde Blumar S.A. III-IV Región (Cert. N°29-2021)
Traspaso de 4000 Ton desde Blumar S.A. XIV-X Región (Cert. N°29-2021)</t>
        </r>
      </text>
    </comment>
    <comment ref="F6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3276,1575 Ton desde Camanchaca Pesca Sur S.A. XV-II Región (Cert. N°02-2021)
Deja sin efecto Fidecomiso de 1151,40228 Ton desde Camancha S.A. V-IX ( Res. Ex. N° 402-2021)
Traspaso de 500,0142 Ton desde Camachaca Pesca Sur S.A. III-IV Región (Cert. N°16-2021)
Traspaso de 4500,2459 Ton desde Camachaca Pesca Sur S.A. XIV-X Región (Cert. N°17-2021)
Traspaso de 400 Ton desde Camachaca Pesca Sur S.A. XIV-X Región (Cert. N°44-2021)
Traspaso de 443,716 Ton desde Camachaca Pesca Sur S.A. XIV-X Región (Cert. N°46-2021)</t>
        </r>
      </text>
    </comment>
    <comment ref="F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1151,40228 Ton a Camancha Pesca Sur S.A. V-IX ( Res. Ex. N° 402-2021)
Traspaso de 754,854 Ton a Camanchaca S.A. XV-II Región (Cert. N°28-2021)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600 Ton desde Litoral SPA Pesq. III-IV Región (Cert. N°04-2021)
Traspaso de 2800 Ton desde Litoral Spa Pesq. XIV-X Región (Cert. N°18-2021)
Cesion de 90,985 Ton a Embarcaciones VIII Región (Res. Ex. N° 2441-2021)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1985,422 Ton desde Foodcorp Chile S.A. Soc. Pesq. XV-II Región (Cert. N°10-2021)
Traspaso de 624,458 Ton desde Foodcorp Chile S.A. Soc. Pesq. III-IV Región (Cert. N°11-2021)
Deja sin efecto Fidecomiso de 376,359 Ton a EGS Brama Australis Seafood S.A. V-IX ( Res. Ex. N° 1393-2021)
Compra venta de 191,369 Ton desde EGS Brama Australis SeafoodS.A. V-IX ( Res. Ex. N° 1738-2021)
Traspaso de 4430 Ton desde Foodcorp Chile S.A. XIV-IX Región (Cert. N°33-2021)
Compra venta de 184,990 Ton desde Rossana Muñoz Heller. V-IX ( Res. Ex. N° 2068-2021)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3690 Ton desde Agarmar RAG 156-10 X Region (Res. Ex. N° 650-2021)
Cesion de 1991 Ton desde Asogpesca Ancud. AG 4266 X Region (Res. Ex. N° 715-2021)
Traspaso de 686,936 Ton desde Landes S.A. Soc. Pesq. XV-II Region (Cert. N°12-2021)
Deja sin efecto Fidecomiso de 4407,319 Ton a Lota Protein S.A. V-IX ( Res. Ex. N° 1355-2021)
Compra venta de 4400,940 desde Lota Protein S.A. V-IX (Res. EX. N°1699-21)
Traspaso de 399,3 Ton desde Landes S.A. XIV-X Región (Cert. N°31-2021)
Traspaso de 2068,298 Ton desde Landes S.A. XIV-X Región (Cert. N°32-2021)
Comodato de 3,189 Ton a Thor Fishiries Chile SPA. V-IX Región (Cert. N°36-2021)
Traspaso de 104,537 Ton desde Landes S.A. III-IV Región (Cert. N°45-2021)
Traspaso de 1811,488 Ton desde Landes S.A. XIV-X Región (Cert. N°47-2021)
</t>
        </r>
      </text>
    </comment>
    <comment ref="F7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620 Ton desde Pesca Austral RAG 326-10 X Region (Res. Ex. N° 487-2021)
Cesion de 120 Ton desde Armar RAG 320-10 X Region (Res. Ex. N° 489-2021)
Cesion de 2970 desde AG del Puerto de San Antonio V Región (Res. Ex. N° 493-2021)
Cesion de 946,309 Ton desde STI Percecal X Region (Res. Ex. N° 491-2021)
Cesion de 610 Ton desde Asogfer A.G. X Region (Res. Ex. N° 494-2021)
Cesion de 70 desde AG Del Pto. de San Antonio RAG 2510 V Región (Res. Ex. N° 840-2021)
Cesion de 1200 desde AG. Par y Buzos de Coquimbo AG 55-04 IV Región (Res. Ex. N° 810-2021)
Cesion de 120 desde STI Muelle Sud Americana V Región (Res. Ex. N° 1148-2021)
Traspaso de 7500 Ton desde Orizon S.A. XIV-X Región (Cert. N°30-2021)
Traspaso de 2906,269 Ton desde Orizon S.A. XV-II Región (Cert. N°23-2021)
Traspaso de 4169 Ton desde Orizon S.A. III-IV Región (Cert. N°43-2021)
Traspaso de 3324 Ton desde Orizon S.A. XIV-X Región (Cert. N°34-2021)
Cesion de 126 Ton desde STI Proveedores Maritimos de Quillaipe X Region (Res. Ex. N° 841-2021)</t>
        </r>
      </text>
    </comment>
    <comment ref="F8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3,190 desde Antonio Cruz Cordoba Nakouzi E.I.R.L. V-IX (Res. EX. N°748-21)
Compra venta de 3,190 desde Soc. Pesq. Enfermar Ltda. V-IX (Res. EX. N°749-21)</t>
        </r>
      </text>
    </comment>
    <comment ref="F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3,190 a Pacificblu SPA. V-IX (Res. EX. N°748-21)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N°2164-2021 rectifica titular GENMAR LTDA. SOC. PESQ. A SOC. PESQ. ENFERMAR LTDA.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3,190 a Pacificblu SPA. V-IX (Res. EX. N°749-21)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3537,192 Ton desde Comer. y Conservera San Lazaro Ltda. XV-II, III-IV y XIV-X Región (Cert. N°20-2021)</t>
        </r>
      </text>
    </comment>
    <comment ref="F9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4407,319 Ton desde Landes S.A. Soc. Pesq. V-IX ( Res. Ex. N° 1355-2021)
Compra venta de 4400,940 a Landes S.A. V-IX (Res. EX. N°1699-21)
Compra venta de 6,379 Ton a Thor Fisheries Chile SPA. V-IX ( Res. Ex. N° 1492-2021)</t>
        </r>
      </text>
    </comment>
    <comment ref="F9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376,359 Ton desde Foodcorp Chile S.A. V-IX ( Res. Ex. N° 1393-2021)
Compra venta de 191,369 Ton a Foodcorp Chile S.A. V-IX ( Res. Ex. N° 1738-2021)
Compra venta de 184,990 Ton a Rossana Muñoz Heller V-IX ( Res. Ex. N° 1961-2021)</t>
        </r>
      </text>
    </comment>
    <comment ref="F9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3,189 Ton desde Landes S.A. V-IX Región (Cert. N°36-2021)
Compra venta de 6,379 Ton desde Lota Protein S.A. V-IX ( Res. Ex. N° 1492-2021)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184,990 Ton desde EGS Brama Australis Seafood S.A. V-IX ( Res. Ex. N° 1961-2021)
Compra venta de 184,990 Ton a Food Corp Chile S.A. V-IX ( Res. Ex. N° 2068-2021)</t>
        </r>
      </text>
    </comment>
    <comment ref="F10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4335 Ton a Alimentos Marinos S.A. V-IX Región (Cert. N°15-2021)</t>
        </r>
      </text>
    </comment>
    <comment ref="F10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4500,2459 Ton a Camachaca Pesca Sur S.A. V-IX Región (Cert. N°17-2021)
Traspaso de 400 Ton a Camachaca Pesca Sur S.A. V-IX Región (Cert. N°44-2021)
Traspaso de 443,716 Ton a Camachaca Pesca Sur S.A. V-IX Región (Cert. N°46-2021)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5000 Ton a Blumar S.A. V-IX Región (Cert. N°27-2021)
Traspaso de 4000 Ton a Blumar S.A. V-IX Región (Cert. N°29-2021)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215,582 Ton a Camanchaca S.A. XV-II Región (Cert. N°28-2021)</t>
        </r>
      </text>
    </comment>
    <comment ref="F1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2800 Ton a Litoral Spa Pesq. V-IX Región (Cert. N°18-2021)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4430 Ton a Foodcorp Chile S.A. V-IX Región (Cert. N°33-2021)</t>
        </r>
      </text>
    </comment>
    <comment ref="F12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1818,658 Ton a Lota Protein S.A. XIV-X ( Res. Ex. N° 1354-2021)
Compra venta de 1815,548 desde Lota Protein S.A. XIV-X (Res. EX. N°1700-21)
Traspaso de 399,3 Ton a Landes S.A. V-IX Región (Cert. N°31-2021)
Traspaso de 2068,298 Ton a Landes S.A. V-IX Región (Cert. N°32-2021)
Comodato de 0,44416 Ton a Thor Fishiries Chile SPA. XIV-X Región (Cert. N°37-2021)
Traspaso de 1811,488 Ton a Landes S.A. V-IX Región (Cert. N°47-2021)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7500 Ton a Orizon S.A. V-IX Región (Cert. N°30-2021)
Traspaso de 3324 Ton a Orizon S.A. V-IX Región (Cert. N°34-2021)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Traspaso de 1132,608 Ton a Comer. Y Conservera San Lazaro Ltda. V-IX Región (Cert. N°20-2021)</t>
        </r>
      </text>
    </comment>
    <comment ref="F12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1818,658 Ton desde Landes S.A. Soc. Pesq. XIV-X ( Res. Ex. N° 1354-2021)
Compra venta de 1815,548 Ton a Landes S.A. XIV-X (Res. EX. N°1700-21)
Compra venta de 3,109 Ton a Thor Fishiries Chile SPA XIV-X (Res. EX. N°1490-21)</t>
        </r>
      </text>
    </comment>
    <comment ref="F13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0,44416 Ton desde Landes S.A. XIV-X Región (Cert. N°37-2021)
Compra venta de 3,109 Ton desde Lota Protein S.A.  XIV-X (Res. EX. N°1490-21)</t>
        </r>
      </text>
    </comment>
  </commentList>
</comments>
</file>

<file path=xl/sharedStrings.xml><?xml version="1.0" encoding="utf-8"?>
<sst xmlns="http://schemas.openxmlformats.org/spreadsheetml/2006/main" count="2379" uniqueCount="228">
  <si>
    <t>Ene-Sep</t>
  </si>
  <si>
    <t>Oct-Dic</t>
  </si>
  <si>
    <t>ARICA SEAFOOD PRODUCER S.A.</t>
  </si>
  <si>
    <t>CORPESCA S.A</t>
  </si>
  <si>
    <t>ORIZON S.A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</si>
  <si>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</si>
  <si>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</si>
  <si>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</si>
  <si>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</si>
  <si>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</si>
  <si>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</si>
  <si>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</si>
  <si>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</si>
  <si>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</si>
  <si>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</si>
  <si>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</si>
  <si>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</si>
  <si>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</si>
  <si>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</si>
  <si>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</si>
  <si>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</si>
  <si>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</si>
  <si>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</si>
  <si>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</si>
  <si>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</si>
  <si>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</si>
  <si>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</si>
  <si>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</si>
  <si>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</si>
  <si>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</si>
  <si>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</si>
  <si>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Ene-Dic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</si>
  <si>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</si>
  <si>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</si>
  <si>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</si>
  <si>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</si>
  <si>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</si>
  <si>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</si>
  <si>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</si>
  <si>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</si>
  <si>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</si>
  <si>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PAOLA POBLETE NOVOA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</si>
  <si>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</si>
  <si>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</si>
  <si>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</si>
  <si>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</si>
  <si>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</si>
  <si>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</si>
  <si>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</si>
  <si>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</si>
  <si>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</si>
  <si>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</si>
  <si>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</si>
  <si>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</si>
  <si>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</si>
  <si>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</si>
  <si>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</si>
  <si>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</si>
  <si>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</si>
  <si>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</si>
  <si>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</si>
  <si>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</si>
  <si>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</si>
  <si>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</si>
  <si>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</si>
  <si>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</si>
  <si>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</si>
  <si>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</si>
  <si>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</si>
  <si>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</si>
  <si>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</si>
  <si>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</si>
  <si>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</si>
  <si>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</si>
  <si>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</si>
  <si>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</si>
  <si>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</si>
  <si>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</si>
  <si>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</si>
  <si>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</si>
  <si>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</si>
  <si>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</si>
  <si>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</si>
  <si>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</si>
  <si>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RPA</t>
  </si>
  <si>
    <t>Ene-Oct</t>
  </si>
  <si>
    <t>Nov-Dic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</si>
  <si>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</si>
  <si>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</si>
  <si>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</si>
  <si>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</si>
  <si>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</si>
  <si>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</si>
  <si>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</si>
  <si>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 xml:space="preserve"> PACIFICBLU SpA</t>
  </si>
  <si>
    <t>COMERCIAL Y CONSERVERA SAN LAZARO LIMITADA</t>
  </si>
  <si>
    <t>NAVE(S) AUTORIZADA(S)</t>
  </si>
  <si>
    <t>año</t>
  </si>
  <si>
    <t>mensaje</t>
  </si>
  <si>
    <t>TOTAL</t>
  </si>
  <si>
    <t>INFORMACIÓN PRELIMINAR</t>
  </si>
  <si>
    <t>STI PECERCAL RSU 10.01.0948</t>
  </si>
  <si>
    <t>PACIFICBLU SpA.</t>
  </si>
  <si>
    <t>captura</t>
  </si>
  <si>
    <t>ANTONIO CRUZ CORDOZA NAKOUZI E.I.R.L</t>
  </si>
  <si>
    <t>CESIONES INDIVIDUALES</t>
  </si>
  <si>
    <t>ARTESANAL VIII-XVI</t>
  </si>
  <si>
    <t>CONTROL CUOTA  PESCA DE INVESTIGACIÓN</t>
  </si>
  <si>
    <t xml:space="preserve">CONTROL CUOTA GLOBAL JUREL AÑO 2021                                                                                                                                                                                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</si>
  <si>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</si>
  <si>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</si>
  <si>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</si>
  <si>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</si>
  <si>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</si>
  <si>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</si>
  <si>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</si>
  <si>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</si>
  <si>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</si>
  <si>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</si>
  <si>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</si>
  <si>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</si>
  <si>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</si>
  <si>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</si>
  <si>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</si>
  <si>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ARTESNAL II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</si>
  <si>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</si>
  <si>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</si>
  <si>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</si>
  <si>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</si>
  <si>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</si>
  <si>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</si>
  <si>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</si>
  <si>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</si>
  <si>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</si>
  <si>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</si>
  <si>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</si>
  <si>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</si>
  <si>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>FECHA CIERRE</t>
  </si>
  <si>
    <t xml:space="preserve">CONTROL CUOTA JUREL FRACCIÓN ARTESANAL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</si>
  <si>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</si>
  <si>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</si>
  <si>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</si>
  <si>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</si>
  <si>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</si>
  <si>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</si>
  <si>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</si>
  <si>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</si>
  <si>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</si>
  <si>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</si>
  <si>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</si>
  <si>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</si>
  <si>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</si>
  <si>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</si>
  <si>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</si>
  <si>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</si>
  <si>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</si>
  <si>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</si>
  <si>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</si>
  <si>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</si>
  <si>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</si>
  <si>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</si>
  <si>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</si>
  <si>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</si>
  <si>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</si>
  <si>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 xml:space="preserve"> CONTROL CUOTAS JUREL OROP-PS 2021</t>
  </si>
  <si>
    <t>CONTROL CUOTA CONSUMO HUMANO 2021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</si>
  <si>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</si>
  <si>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</si>
  <si>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</si>
  <si>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</si>
  <si>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</si>
  <si>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</si>
  <si>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</si>
  <si>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</si>
  <si>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</si>
  <si>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CESIONES INDIVIDUALES AÑO 2021</t>
  </si>
  <si>
    <t xml:space="preserve">CONTROL CUOTA JUREL FRACCION INDUSTRIAL  2021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</si>
  <si>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CAPTURA (TON)</t>
  </si>
  <si>
    <t>CUOTA TRANSFERIDA (TON)</t>
  </si>
  <si>
    <t>JUREL XI-XII</t>
  </si>
  <si>
    <t>05 Ene-Sep</t>
  </si>
  <si>
    <t>LANDES S.A. SOC. PESQ.</t>
  </si>
  <si>
    <t>FOODCORP CHILE S.A.</t>
  </si>
  <si>
    <t>STI DE PESCADORES MONTEMAR RSU 05.04.0117</t>
  </si>
  <si>
    <t xml:space="preserve">CONTROL CUOTA  FUERA UNIDAD DE PESQUERÍA XI-XII </t>
  </si>
  <si>
    <t>CAMANCHACA S.A.</t>
  </si>
  <si>
    <t>INCOMAR</t>
  </si>
  <si>
    <t>SAN ANDRES</t>
  </si>
  <si>
    <t>DEL SUR</t>
  </si>
  <si>
    <t>LOTA SEAFOOD</t>
  </si>
  <si>
    <t>FAUNA ACOMPAÑANTE XV-II</t>
  </si>
  <si>
    <t>CAZADOR</t>
  </si>
  <si>
    <t>DON MANUEL</t>
  </si>
  <si>
    <t>RUTH</t>
  </si>
  <si>
    <t>DON ALFONSO</t>
  </si>
  <si>
    <t>DON EDMUNDO</t>
  </si>
  <si>
    <t>COBRA</t>
  </si>
  <si>
    <t>RAPANUI</t>
  </si>
  <si>
    <t>YELCHO I</t>
  </si>
  <si>
    <t>DON BORIS</t>
  </si>
  <si>
    <t>DON TITO</t>
  </si>
  <si>
    <t>CORAL I</t>
  </si>
  <si>
    <t>SANTA MARIA II</t>
  </si>
  <si>
    <t>LOTA PROTEIN S.A.</t>
  </si>
  <si>
    <t>EGS BRAMA AUSTRALIS  SEAFOOD S.A.</t>
  </si>
  <si>
    <t>BUCANERO I</t>
  </si>
  <si>
    <t>CORSARIO I</t>
  </si>
  <si>
    <t>MARIA JOSE</t>
  </si>
  <si>
    <t>PELICANO</t>
  </si>
  <si>
    <t>PEHUENCO</t>
  </si>
  <si>
    <t>VENTISQUERO</t>
  </si>
  <si>
    <t>LIDER</t>
  </si>
  <si>
    <t>VERTERVEG</t>
  </si>
  <si>
    <t>LONCO</t>
  </si>
  <si>
    <t>DON JULIO</t>
  </si>
  <si>
    <t>SAN JOSE</t>
  </si>
  <si>
    <t>THOR FISHIRIES CHILE SPA</t>
  </si>
  <si>
    <t>THOR FISHERIES CHILE SPA</t>
  </si>
  <si>
    <t>Juan Antonio M</t>
  </si>
  <si>
    <t>SOC. PESQ. ENFERMAR LTDA.</t>
  </si>
  <si>
    <t>ROSSANA MUÑOZ HELLER</t>
  </si>
  <si>
    <t>El Niego I</t>
  </si>
  <si>
    <t>El Titan I</t>
  </si>
  <si>
    <t>Jacob-Israel</t>
  </si>
  <si>
    <t>Don Jorge Luis M</t>
  </si>
  <si>
    <t>Susana II</t>
  </si>
  <si>
    <t>Gaviota I</t>
  </si>
  <si>
    <t>Paulina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</si>
</sst>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</cellStyleXfs>
  <cellXfs count="216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22" fillId="0" borderId="10" xfId="42112" applyFont="1" applyFill="1" applyBorder="1" applyAlignment="1">
      <alignment horizontal="center" vertical="center"/>
    </xf>
    <xf numFmtId="169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10" xfId="42112" applyFont="1" applyFill="1" applyBorder="1" applyAlignment="1">
      <alignment horizontal="left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4" fontId="47" fillId="0" borderId="10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/>
    </xf>
    <xf numFmtId="10" fontId="48" fillId="0" borderId="10" xfId="1" applyNumberFormat="1" applyFont="1" applyFill="1" applyBorder="1" applyAlignment="1">
      <alignment horizontal="center"/>
    </xf>
    <xf numFmtId="0" fontId="48" fillId="0" borderId="10" xfId="0" applyFont="1" applyFill="1" applyBorder="1" applyAlignment="1">
      <alignment horizontal="left"/>
    </xf>
    <xf numFmtId="1" fontId="48" fillId="0" borderId="10" xfId="0" applyNumberFormat="1" applyFont="1" applyFill="1" applyBorder="1" applyAlignment="1">
      <alignment horizontal="center"/>
    </xf>
    <xf numFmtId="0" fontId="48" fillId="0" borderId="0" xfId="0" applyFont="1" applyFill="1"/>
    <xf numFmtId="1" fontId="48" fillId="0" borderId="0" xfId="0" applyNumberFormat="1" applyFont="1" applyFill="1" applyAlignment="1">
      <alignment horizontal="center"/>
    </xf>
    <xf numFmtId="169" fontId="48" fillId="0" borderId="23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10" fontId="49" fillId="0" borderId="10" xfId="1" applyNumberFormat="1" applyFont="1" applyFill="1" applyBorder="1" applyAlignment="1">
      <alignment horizontal="center"/>
    </xf>
    <xf numFmtId="168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4" fontId="49" fillId="0" borderId="10" xfId="0" applyNumberFormat="1" applyFont="1" applyFill="1" applyBorder="1" applyAlignment="1">
      <alignment horizontal="center"/>
    </xf>
    <xf numFmtId="0" fontId="49" fillId="0" borderId="10" xfId="0" applyFont="1" applyFill="1" applyBorder="1" applyAlignment="1">
      <alignment horizontal="left" vertical="center"/>
    </xf>
    <xf numFmtId="168" fontId="49" fillId="0" borderId="10" xfId="1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9" fontId="48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/>
    </xf>
    <xf numFmtId="169" fontId="51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0" applyFont="1" applyFill="1"/>
    <xf numFmtId="0" fontId="49" fillId="56" borderId="10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0" fontId="49" fillId="56" borderId="1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169" fontId="48" fillId="0" borderId="0" xfId="0" applyNumberFormat="1" applyFont="1" applyFill="1" applyBorder="1" applyAlignment="1">
      <alignment horizontal="center" vertical="center"/>
    </xf>
    <xf numFmtId="168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horizontal="center" vertical="center"/>
    </xf>
    <xf numFmtId="10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168" fontId="48" fillId="0" borderId="0" xfId="1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169" fontId="51" fillId="0" borderId="0" xfId="0" applyNumberFormat="1" applyFont="1" applyFill="1" applyBorder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vertical="center"/>
    </xf>
    <xf numFmtId="173" fontId="48" fillId="0" borderId="0" xfId="0" applyNumberFormat="1" applyFont="1" applyFill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48" fillId="0" borderId="0" xfId="0" applyFont="1" applyFill="1" applyBorder="1"/>
    <xf numFmtId="9" fontId="48" fillId="0" borderId="0" xfId="0" applyNumberFormat="1" applyFont="1" applyFill="1" applyBorder="1" applyAlignment="1">
      <alignment horizontal="center" vertical="center"/>
    </xf>
    <xf numFmtId="172" fontId="48" fillId="0" borderId="10" xfId="0" applyNumberFormat="1" applyFont="1" applyFill="1" applyBorder="1" applyAlignment="1">
      <alignment horizontal="center" vertical="center"/>
    </xf>
    <xf numFmtId="2" fontId="49" fillId="56" borderId="10" xfId="0" applyNumberFormat="1" applyFont="1" applyFill="1" applyBorder="1" applyAlignment="1">
      <alignment horizontal="center" vertical="center"/>
    </xf>
    <xf numFmtId="0" fontId="49" fillId="56" borderId="22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 vertical="center"/>
    </xf>
    <xf numFmtId="0" fontId="49" fillId="56" borderId="32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10" xfId="0" applyFont="1" applyFill="1" applyBorder="1" applyAlignment="1">
      <alignment horizontal="center"/>
    </xf>
    <xf numFmtId="169" fontId="48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center" vertical="center"/>
    </xf>
    <xf numFmtId="2" fontId="49" fillId="6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/>
    </xf>
    <xf numFmtId="1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16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2" fontId="49" fillId="0" borderId="0" xfId="0" applyNumberFormat="1" applyFont="1" applyFill="1" applyBorder="1" applyAlignment="1">
      <alignment horizontal="center" vertical="center"/>
    </xf>
    <xf numFmtId="169" fontId="49" fillId="0" borderId="12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169" fontId="48" fillId="61" borderId="10" xfId="0" applyNumberFormat="1" applyFont="1" applyFill="1" applyBorder="1" applyAlignment="1">
      <alignment horizontal="center" vertical="center"/>
    </xf>
    <xf numFmtId="172" fontId="47" fillId="0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Fill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61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9" fillId="59" borderId="10" xfId="0" applyFont="1" applyFill="1" applyBorder="1" applyAlignment="1">
      <alignment horizontal="center" vertical="center"/>
    </xf>
    <xf numFmtId="0" fontId="49" fillId="60" borderId="10" xfId="0" applyFont="1" applyFill="1" applyBorder="1" applyAlignment="1">
      <alignment horizontal="center" vertical="center"/>
    </xf>
    <xf numFmtId="2" fontId="49" fillId="60" borderId="10" xfId="0" applyNumberFormat="1" applyFont="1" applyFill="1" applyBorder="1" applyAlignment="1">
      <alignment horizontal="center" vertical="center"/>
    </xf>
    <xf numFmtId="2" fontId="49" fillId="60" borderId="22" xfId="0" applyNumberFormat="1" applyFont="1" applyFill="1" applyBorder="1" applyAlignment="1">
      <alignment horizontal="center" vertical="center"/>
    </xf>
    <xf numFmtId="2" fontId="49" fillId="60" borderId="12" xfId="0" applyNumberFormat="1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wrapText="1"/>
    </xf>
    <xf numFmtId="0" fontId="49" fillId="55" borderId="25" xfId="0" applyFont="1" applyFill="1" applyBorder="1" applyAlignment="1">
      <alignment horizontal="center" wrapText="1"/>
    </xf>
    <xf numFmtId="0" fontId="49" fillId="55" borderId="26" xfId="0" applyFont="1" applyFill="1" applyBorder="1" applyAlignment="1">
      <alignment horizontal="center" wrapText="1"/>
    </xf>
    <xf numFmtId="171" fontId="48" fillId="55" borderId="11" xfId="0" applyNumberFormat="1" applyFont="1" applyFill="1" applyBorder="1" applyAlignment="1">
      <alignment horizontal="center" vertical="center" wrapText="1"/>
    </xf>
    <xf numFmtId="171" fontId="48" fillId="55" borderId="27" xfId="0" applyNumberFormat="1" applyFont="1" applyFill="1" applyBorder="1" applyAlignment="1">
      <alignment horizontal="center" vertical="center" wrapText="1"/>
    </xf>
    <xf numFmtId="171" fontId="48" fillId="55" borderId="28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9" fillId="59" borderId="29" xfId="0" applyFont="1" applyFill="1" applyBorder="1" applyAlignment="1">
      <alignment horizontal="center" vertical="center"/>
    </xf>
    <xf numFmtId="0" fontId="49" fillId="59" borderId="31" xfId="0" applyFont="1" applyFill="1" applyBorder="1" applyAlignment="1">
      <alignment horizontal="center" vertical="center"/>
    </xf>
    <xf numFmtId="0" fontId="49" fillId="59" borderId="30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10" fontId="48" fillId="0" borderId="1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/>
    </xf>
    <xf numFmtId="0" fontId="49" fillId="55" borderId="24" xfId="0" applyFont="1" applyFill="1" applyBorder="1" applyAlignment="1">
      <alignment horizontal="center" vertical="center" wrapText="1"/>
    </xf>
    <xf numFmtId="0" fontId="49" fillId="55" borderId="25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171" fontId="49" fillId="55" borderId="11" xfId="0" applyNumberFormat="1" applyFont="1" applyFill="1" applyBorder="1" applyAlignment="1">
      <alignment horizontal="center" vertical="center" wrapText="1"/>
    </xf>
    <xf numFmtId="171" fontId="49" fillId="55" borderId="27" xfId="0" applyNumberFormat="1" applyFont="1" applyFill="1" applyBorder="1" applyAlignment="1">
      <alignment horizontal="center" vertical="center" wrapText="1"/>
    </xf>
    <xf numFmtId="171" fontId="49" fillId="55" borderId="28" xfId="0" applyNumberFormat="1" applyFont="1" applyFill="1" applyBorder="1" applyAlignment="1">
      <alignment horizontal="center" vertical="center" wrapText="1"/>
    </xf>
    <xf numFmtId="1" fontId="49" fillId="0" borderId="22" xfId="0" applyNumberFormat="1" applyFont="1" applyFill="1" applyBorder="1" applyAlignment="1">
      <alignment horizontal="center" vertical="center"/>
    </xf>
    <xf numFmtId="1" fontId="49" fillId="0" borderId="12" xfId="0" applyNumberFormat="1" applyFont="1" applyFill="1" applyBorder="1" applyAlignment="1">
      <alignment horizontal="center" vertical="center"/>
    </xf>
    <xf numFmtId="1" fontId="52" fillId="0" borderId="22" xfId="0" applyNumberFormat="1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/>
    </xf>
    <xf numFmtId="10" fontId="49" fillId="0" borderId="22" xfId="1" applyNumberFormat="1" applyFont="1" applyFill="1" applyBorder="1" applyAlignment="1">
      <alignment horizontal="center" vertical="center"/>
    </xf>
    <xf numFmtId="10" fontId="49" fillId="0" borderId="12" xfId="1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169" fontId="51" fillId="57" borderId="10" xfId="0" applyNumberFormat="1" applyFont="1" applyFill="1" applyBorder="1" applyAlignment="1">
      <alignment horizontal="center" vertical="center"/>
    </xf>
    <xf numFmtId="169" fontId="51" fillId="0" borderId="10" xfId="0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wrapText="1"/>
    </xf>
    <xf numFmtId="1" fontId="49" fillId="0" borderId="10" xfId="0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169" fontId="49" fillId="0" borderId="10" xfId="0" applyNumberFormat="1" applyFont="1" applyFill="1" applyBorder="1" applyAlignment="1">
      <alignment horizontal="center" vertical="center"/>
    </xf>
    <xf numFmtId="10" fontId="49" fillId="0" borderId="10" xfId="1" applyNumberFormat="1" applyFont="1" applyFill="1" applyBorder="1" applyAlignment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/>
    </xf>
    <xf numFmtId="0" fontId="49" fillId="55" borderId="24" xfId="0" applyFont="1" applyFill="1" applyBorder="1" applyAlignment="1">
      <alignment horizontal="center" vertical="top" wrapText="1"/>
    </xf>
    <xf numFmtId="0" fontId="49" fillId="55" borderId="25" xfId="0" applyFont="1" applyFill="1" applyBorder="1" applyAlignment="1">
      <alignment horizontal="center" vertical="top" wrapText="1"/>
    </xf>
    <xf numFmtId="0" fontId="49" fillId="55" borderId="26" xfId="0" applyFont="1" applyFill="1" applyBorder="1" applyAlignment="1">
      <alignment horizontal="center" vertical="top" wrapText="1"/>
    </xf>
    <xf numFmtId="10" fontId="48" fillId="58" borderId="10" xfId="1" applyNumberFormat="1" applyFont="1" applyFill="1" applyBorder="1" applyAlignment="1">
      <alignment horizontal="center" vertical="center"/>
    </xf>
    <xf numFmtId="169" fontId="51" fillId="58" borderId="10" xfId="0" applyNumberFormat="1" applyFont="1" applyFill="1" applyBorder="1" applyAlignment="1">
      <alignment horizontal="center" vertical="center"/>
    </xf>
    <xf numFmtId="169" fontId="52" fillId="0" borderId="10" xfId="0" applyNumberFormat="1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left" vertical="center"/>
    </xf>
    <xf numFmtId="0" fontId="48" fillId="0" borderId="23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/>
    </xf>
    <xf numFmtId="9" fontId="48" fillId="0" borderId="10" xfId="1" applyFont="1" applyFill="1" applyBorder="1" applyAlignment="1">
      <alignment horizontal="center" vertical="center"/>
    </xf>
    <xf numFmtId="14" fontId="48" fillId="0" borderId="22" xfId="0" applyNumberFormat="1" applyFont="1" applyFill="1" applyBorder="1" applyAlignment="1">
      <alignment horizontal="center" vertical="center"/>
    </xf>
    <xf numFmtId="9" fontId="48" fillId="58" borderId="10" xfId="1" applyFont="1" applyFill="1" applyBorder="1" applyAlignment="1">
      <alignment horizontal="center" vertical="center"/>
    </xf>
    <xf numFmtId="14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14" fontId="48" fillId="0" borderId="23" xfId="0" applyNumberFormat="1" applyFont="1" applyFill="1" applyBorder="1" applyAlignment="1">
      <alignment horizontal="center" vertical="center"/>
    </xf>
    <xf numFmtId="14" fontId="48" fillId="0" borderId="12" xfId="0" applyNumberFormat="1" applyFont="1" applyFill="1" applyBorder="1" applyAlignment="1">
      <alignment horizontal="center" vertical="center"/>
    </xf>
    <xf numFmtId="14" fontId="48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/>
    </xf>
    <xf numFmtId="167" fontId="49" fillId="55" borderId="24" xfId="0" applyNumberFormat="1" applyFont="1" applyFill="1" applyBorder="1" applyAlignment="1">
      <alignment horizontal="center"/>
    </xf>
    <xf numFmtId="167" fontId="49" fillId="55" borderId="25" xfId="0" applyNumberFormat="1" applyFont="1" applyFill="1" applyBorder="1" applyAlignment="1">
      <alignment horizontal="center"/>
    </xf>
    <xf numFmtId="167" fontId="49" fillId="55" borderId="26" xfId="0" applyNumberFormat="1" applyFont="1" applyFill="1" applyBorder="1" applyAlignment="1">
      <alignment horizontal="center"/>
    </xf>
    <xf numFmtId="171" fontId="49" fillId="55" borderId="11" xfId="0" applyNumberFormat="1" applyFont="1" applyFill="1" applyBorder="1" applyAlignment="1">
      <alignment horizontal="center"/>
    </xf>
    <xf numFmtId="171" fontId="49" fillId="55" borderId="27" xfId="0" applyNumberFormat="1" applyFont="1" applyFill="1" applyBorder="1" applyAlignment="1">
      <alignment horizontal="center"/>
    </xf>
    <xf numFmtId="171" fontId="49" fillId="55" borderId="28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left"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horizontal="left" vertical="center" wrapText="1"/>
    </xf>
    <xf numFmtId="0" fontId="49" fillId="55" borderId="24" xfId="0" applyFont="1" applyFill="1" applyBorder="1" applyAlignment="1">
      <alignment horizontal="center" vertical="center"/>
    </xf>
    <xf numFmtId="0" fontId="49" fillId="55" borderId="25" xfId="0" applyFont="1" applyFill="1" applyBorder="1" applyAlignment="1">
      <alignment horizontal="center" vertical="center"/>
    </xf>
    <xf numFmtId="0" fontId="49" fillId="55" borderId="26" xfId="0" applyFont="1" applyFill="1" applyBorder="1" applyAlignment="1">
      <alignment horizontal="center" vertical="center"/>
    </xf>
    <xf numFmtId="171" fontId="49" fillId="55" borderId="11" xfId="0" applyNumberFormat="1" applyFont="1" applyFill="1" applyBorder="1" applyAlignment="1">
      <alignment horizontal="center" vertical="center"/>
    </xf>
    <xf numFmtId="171" fontId="49" fillId="55" borderId="27" xfId="0" applyNumberFormat="1" applyFont="1" applyFill="1" applyBorder="1" applyAlignment="1">
      <alignment horizontal="center" vertical="center"/>
    </xf>
    <xf numFmtId="171" fontId="49" fillId="55" borderId="28" xfId="0" applyNumberFormat="1" applyFont="1" applyFill="1" applyBorder="1" applyAlignment="1">
      <alignment horizontal="center" vertical="center"/>
    </xf>
    <xf numFmtId="0" fontId="49" fillId="56" borderId="29" xfId="0" applyFont="1" applyFill="1" applyBorder="1" applyAlignment="1">
      <alignment horizontal="center" vertical="center"/>
    </xf>
    <xf numFmtId="0" fontId="49" fillId="56" borderId="31" xfId="0" applyFont="1" applyFill="1" applyBorder="1" applyAlignment="1">
      <alignment horizontal="center" vertical="center"/>
    </xf>
    <xf numFmtId="0" fontId="49" fillId="56" borderId="30" xfId="0" applyFont="1" applyFill="1" applyBorder="1" applyAlignment="1">
      <alignment horizontal="center" vertical="center"/>
    </xf>
    <xf numFmtId="9" fontId="48" fillId="0" borderId="22" xfId="1" applyFont="1" applyFill="1" applyBorder="1" applyAlignment="1">
      <alignment horizontal="center" vertical="center"/>
    </xf>
    <xf numFmtId="9" fontId="48" fillId="0" borderId="23" xfId="1" applyFont="1" applyFill="1" applyBorder="1" applyAlignment="1">
      <alignment horizontal="center" vertical="center"/>
    </xf>
    <xf numFmtId="9" fontId="48" fillId="0" borderId="12" xfId="1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1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199586"/>
      <color rgb="FFE9CDE6"/>
      <color rgb="FFD5E9F7"/>
      <color rgb="FFBDDDD2"/>
      <color rgb="FFE7FBFF"/>
      <color rgb="FFA7BCE3"/>
      <color rgb="FF3ABFC6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NUL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zoomScaleNormal="100" workbookViewId="0">
      <selection activeCell="E38" sqref="E38"/>
    </sheetView>
  </sheetViews>
  <sheetFormatPr baseColWidth="10" defaultColWidth="11.42578125" defaultRowHeight="12"/>
  <cols>
    <col min="1" max="1" width="11.140625" style="22" customWidth="1"/>
    <col min="2" max="3" width="18.140625" style="22" bestFit="1" customWidth="1"/>
    <col min="4" max="4" width="26.42578125" style="22" bestFit="1" customWidth="1"/>
    <col min="5" max="5" width="20.42578125" style="22" customWidth="1"/>
    <col min="6" max="6" width="15.5703125" style="22" customWidth="1"/>
    <col min="7" max="7" width="18.140625" style="22" customWidth="1"/>
    <col min="8" max="8" width="14.28515625" style="22" customWidth="1"/>
    <col min="9" max="9" width="11.42578125" style="22"/>
    <col min="10" max="10" width="13" style="22" customWidth="1"/>
    <col min="11" max="12" width="11.42578125" style="22"/>
    <col min="13" max="13" width="95" style="22" customWidth="1"/>
    <col min="14" max="16384" width="11.42578125" style="22"/>
  </cols>
  <sheetData>
    <row r="1" spans="2:10" ht="28.5" customHeight="1"/>
    <row r="2" spans="2:10" ht="12" customHeight="1">
      <c r="B2" s="126" t="s">
        <v>108</v>
      </c>
      <c r="C2" s="127"/>
      <c r="D2" s="127"/>
      <c r="E2" s="127"/>
      <c r="F2" s="127"/>
      <c r="G2" s="127"/>
      <c r="H2" s="127"/>
      <c r="I2" s="127"/>
      <c r="J2" s="128"/>
    </row>
    <row r="3" spans="2:10" ht="14.45" customHeight="1">
      <c r="B3" s="129">
        <v>44452</v>
      </c>
      <c r="C3" s="130"/>
      <c r="D3" s="130"/>
      <c r="E3" s="130"/>
      <c r="F3" s="130"/>
      <c r="G3" s="130"/>
      <c r="H3" s="130"/>
      <c r="I3" s="130"/>
      <c r="J3" s="131"/>
    </row>
    <row r="4" spans="2:10" ht="14.45" customHeight="1">
      <c r="B4" s="140" t="s">
        <v>100</v>
      </c>
      <c r="C4" s="140"/>
      <c r="D4" s="140"/>
      <c r="E4" s="140"/>
      <c r="F4" s="140"/>
      <c r="G4" s="140"/>
      <c r="H4" s="140"/>
      <c r="I4" s="140"/>
      <c r="J4" s="140"/>
    </row>
    <row r="5" spans="2:10">
      <c r="B5" s="48" t="s">
        <v>133</v>
      </c>
      <c r="C5" s="49" t="s">
        <v>109</v>
      </c>
      <c r="D5" s="48" t="s">
        <v>110</v>
      </c>
      <c r="E5" s="50" t="s">
        <v>111</v>
      </c>
      <c r="F5" s="48" t="s">
        <v>112</v>
      </c>
      <c r="G5" s="48" t="s">
        <v>113</v>
      </c>
      <c r="H5" s="48" t="s">
        <v>114</v>
      </c>
      <c r="I5" s="48" t="s">
        <v>115</v>
      </c>
      <c r="J5" s="48" t="s">
        <v>93</v>
      </c>
    </row>
    <row r="6" spans="2:10">
      <c r="B6" s="134" t="s">
        <v>134</v>
      </c>
      <c r="C6" s="141" t="s">
        <v>116</v>
      </c>
      <c r="D6" s="20" t="s">
        <v>123</v>
      </c>
      <c r="E6" s="21">
        <f>+'CUOTA ARTESANAL'!E6+'CUOTA ARTESANAL'!E7</f>
        <v>1779</v>
      </c>
      <c r="F6" s="18">
        <f>+'CUOTA ARTESANAL'!L8</f>
        <v>0</v>
      </c>
      <c r="G6" s="18">
        <f>+E6+F6</f>
        <v>1779</v>
      </c>
      <c r="H6" s="18">
        <f>+'CUOTA ARTESANAL'!H6+'CUOTA ARTESANAL'!H7</f>
        <v>138.60400000000001</v>
      </c>
      <c r="I6" s="18">
        <f>+G6-H6</f>
        <v>1640.396</v>
      </c>
      <c r="J6" s="19">
        <f>+H6/G6</f>
        <v>7.7911186059584039E-2</v>
      </c>
    </row>
    <row r="7" spans="2:10">
      <c r="B7" s="135"/>
      <c r="C7" s="141"/>
      <c r="D7" s="20" t="s">
        <v>124</v>
      </c>
      <c r="E7" s="21">
        <f>+'CUOTA ARTESANAL'!E9+'CUOTA ARTESANAL'!E10</f>
        <v>1779</v>
      </c>
      <c r="F7" s="18">
        <f>+'CUOTA ARTESANAL'!L11</f>
        <v>0</v>
      </c>
      <c r="G7" s="18">
        <f t="shared" ref="G7:G24" si="0">+E7+F7</f>
        <v>1779</v>
      </c>
      <c r="H7" s="18">
        <f>+'CUOTA ARTESANAL'!H9+'CUOTA ARTESANAL'!H10</f>
        <v>54.564</v>
      </c>
      <c r="I7" s="18">
        <f t="shared" ref="I7:I29" si="1">+G7-H7</f>
        <v>1724.4359999999999</v>
      </c>
      <c r="J7" s="19">
        <f t="shared" ref="J7:J30" si="2">+H7/G7</f>
        <v>3.0671163575042158E-2</v>
      </c>
    </row>
    <row r="8" spans="2:10">
      <c r="B8" s="135"/>
      <c r="C8" s="141"/>
      <c r="D8" s="20" t="s">
        <v>190</v>
      </c>
      <c r="E8" s="21">
        <f>+'CUOTA ARTESANAL'!E12</f>
        <v>150</v>
      </c>
      <c r="F8" s="18">
        <f>+'CUOTA ARTESANAL'!L13</f>
        <v>0</v>
      </c>
      <c r="G8" s="18">
        <f t="shared" si="0"/>
        <v>150</v>
      </c>
      <c r="H8" s="18">
        <f>+'CUOTA ARTESANAL'!H12</f>
        <v>58.777000000000001</v>
      </c>
      <c r="I8" s="18">
        <f t="shared" si="1"/>
        <v>91.222999999999999</v>
      </c>
      <c r="J8" s="19">
        <f t="shared" si="2"/>
        <v>0.39184666666666668</v>
      </c>
    </row>
    <row r="9" spans="2:10">
      <c r="B9" s="135"/>
      <c r="C9" s="141"/>
      <c r="D9" s="20" t="s">
        <v>125</v>
      </c>
      <c r="E9" s="21">
        <f>+'CUOTA ARTESANAL'!E14+'CUOTA ARTESANAL'!E15</f>
        <v>4648</v>
      </c>
      <c r="F9" s="18">
        <f>+'CUOTA ARTESANAL'!L16</f>
        <v>2524</v>
      </c>
      <c r="G9" s="18">
        <f t="shared" si="0"/>
        <v>7172</v>
      </c>
      <c r="H9" s="18">
        <f>+'CUOTA ARTESANAL'!H14+'CUOTA ARTESANAL'!H15</f>
        <v>7030.5780000000004</v>
      </c>
      <c r="I9" s="18">
        <f t="shared" si="1"/>
        <v>141.42199999999957</v>
      </c>
      <c r="J9" s="19">
        <f t="shared" si="2"/>
        <v>0.98028137200223098</v>
      </c>
    </row>
    <row r="10" spans="2:10">
      <c r="B10" s="135"/>
      <c r="C10" s="141"/>
      <c r="D10" s="20" t="s">
        <v>126</v>
      </c>
      <c r="E10" s="21">
        <f>+'CUOTA ARTESANAL'!E17+'CUOTA ARTESANAL'!E18+'CUOTA ARTESANAL'!E19+'CUOTA ARTESANAL'!E20+'CUOTA ARTESANAL'!E21+'CUOTA ARTESANAL'!E22</f>
        <v>10846</v>
      </c>
      <c r="F10" s="18">
        <f>+'CUOTA ARTESANAL'!L23</f>
        <v>1011.3729999999999</v>
      </c>
      <c r="G10" s="18">
        <f t="shared" si="0"/>
        <v>11857.373</v>
      </c>
      <c r="H10" s="18">
        <f>+'CUOTA ARTESANAL'!H17+'CUOTA ARTESANAL'!H18+'CUOTA ARTESANAL'!H19+'CUOTA ARTESANAL'!H20+'CUOTA ARTESANAL'!H21+'CUOTA ARTESANAL'!H22</f>
        <v>11430.986000000001</v>
      </c>
      <c r="I10" s="18">
        <f t="shared" si="1"/>
        <v>426.38699999999881</v>
      </c>
      <c r="J10" s="19">
        <f t="shared" si="2"/>
        <v>0.96404034856624665</v>
      </c>
    </row>
    <row r="11" spans="2:10">
      <c r="B11" s="135"/>
      <c r="C11" s="141"/>
      <c r="D11" s="20" t="s">
        <v>127</v>
      </c>
      <c r="E11" s="21">
        <f>'CUOTA ARTESANAL'!K24+'CUOTA ARTESANAL'!K26+'CUOTA ARTESANAL'!K28+'CUOTA ARTESANAL'!K30+'CUOTA ARTESANAL'!K32+'CUOTA ARTESANAL'!K34</f>
        <v>5106.0010000000011</v>
      </c>
      <c r="F11" s="18">
        <f>'CUOTA ARTESANAL'!L24+'CUOTA ARTESANAL'!L26+'CUOTA ARTESANAL'!L28+'CUOTA ARTESANAL'!L30+'CUOTA ARTESANAL'!L32+'CUOTA ARTESANAL'!L34</f>
        <v>-4336</v>
      </c>
      <c r="G11" s="18">
        <f>'CUOTA ARTESANAL'!M24+'CUOTA ARTESANAL'!M26+'CUOTA ARTESANAL'!M28+'CUOTA ARTESANAL'!M30+'CUOTA ARTESANAL'!M32+'CUOTA ARTESANAL'!M34</f>
        <v>770.00100000000066</v>
      </c>
      <c r="H11" s="18">
        <f>'CUOTA ARTESANAL'!N24+'CUOTA ARTESANAL'!N26+'CUOTA ARTESANAL'!N28+'CUOTA ARTESANAL'!N30+'CUOTA ARTESANAL'!N32+'CUOTA ARTESANAL'!N34</f>
        <v>116.107</v>
      </c>
      <c r="I11" s="18">
        <f>'CUOTA ARTESANAL'!O24+'CUOTA ARTESANAL'!O26+'CUOTA ARTESANAL'!O28+'CUOTA ARTESANAL'!O30+'CUOTA ARTESANAL'!O32+'CUOTA ARTESANAL'!O34</f>
        <v>653.89400000000069</v>
      </c>
      <c r="J11" s="19">
        <f>+H11/G11</f>
        <v>0.15078811585958965</v>
      </c>
    </row>
    <row r="12" spans="2:10">
      <c r="B12" s="135"/>
      <c r="C12" s="141"/>
      <c r="D12" s="20" t="s">
        <v>74</v>
      </c>
      <c r="E12" s="21">
        <f>+'CUOTA ARTESANAL'!E37+'CUOTA ARTESANAL'!E38</f>
        <v>21</v>
      </c>
      <c r="F12" s="18">
        <f>+'CUOTA ARTESANAL'!L39</f>
        <v>0</v>
      </c>
      <c r="G12" s="18">
        <f t="shared" si="0"/>
        <v>21</v>
      </c>
      <c r="H12" s="18">
        <f>+'CUOTA ARTESANAL'!H37+'CUOTA ARTESANAL'!H38</f>
        <v>2.96</v>
      </c>
      <c r="I12" s="18">
        <f t="shared" si="1"/>
        <v>18.04</v>
      </c>
      <c r="J12" s="19">
        <f t="shared" si="2"/>
        <v>0.14095238095238094</v>
      </c>
    </row>
    <row r="13" spans="2:10">
      <c r="B13" s="135"/>
      <c r="C13" s="141"/>
      <c r="D13" s="20" t="s">
        <v>75</v>
      </c>
      <c r="E13" s="21">
        <f>+'CUOTA ARTESANAL'!E40+'CUOTA ARTESANAL'!E41</f>
        <v>167</v>
      </c>
      <c r="F13" s="18">
        <f>+'CUOTA ARTESANAL'!L42</f>
        <v>0</v>
      </c>
      <c r="G13" s="18">
        <f t="shared" si="0"/>
        <v>167</v>
      </c>
      <c r="H13" s="18">
        <f>+'CUOTA ARTESANAL'!H40+'CUOTA ARTESANAL'!H41</f>
        <v>160.61500000000001</v>
      </c>
      <c r="I13" s="18">
        <f t="shared" si="1"/>
        <v>6.3849999999999909</v>
      </c>
      <c r="J13" s="19">
        <f t="shared" si="2"/>
        <v>0.96176646706586832</v>
      </c>
    </row>
    <row r="14" spans="2:10">
      <c r="B14" s="135"/>
      <c r="C14" s="141"/>
      <c r="D14" s="20" t="s">
        <v>106</v>
      </c>
      <c r="E14" s="21">
        <f>+'CUOTA ARTESANAL'!E43+'CUOTA ARTESANAL'!E44</f>
        <v>10881</v>
      </c>
      <c r="F14" s="18">
        <f>+'CUOTA ARTESANAL'!L45</f>
        <v>0</v>
      </c>
      <c r="G14" s="18">
        <f t="shared" si="0"/>
        <v>10881</v>
      </c>
      <c r="H14" s="18">
        <f>+'CUOTA ARTESANAL'!H43+'CUOTA ARTESANAL'!H44</f>
        <v>10806.83</v>
      </c>
      <c r="I14" s="18">
        <f t="shared" si="1"/>
        <v>74.170000000000073</v>
      </c>
      <c r="J14" s="19">
        <f t="shared" si="2"/>
        <v>0.99318353092546641</v>
      </c>
    </row>
    <row r="15" spans="2:10">
      <c r="B15" s="135"/>
      <c r="C15" s="141"/>
      <c r="D15" s="20" t="s">
        <v>76</v>
      </c>
      <c r="E15" s="21">
        <f>+'CUOTA ARTESANAL'!E46+'CUOTA ARTESANAL'!E47</f>
        <v>245</v>
      </c>
      <c r="F15" s="18">
        <f>+'CUOTA ARTESANAL'!L48</f>
        <v>0</v>
      </c>
      <c r="G15" s="18">
        <f t="shared" si="0"/>
        <v>245</v>
      </c>
      <c r="H15" s="18">
        <f>+'CUOTA ARTESANAL'!H46+'CUOTA ARTESANAL'!H47</f>
        <v>51.064</v>
      </c>
      <c r="I15" s="18">
        <f t="shared" si="1"/>
        <v>193.93600000000001</v>
      </c>
      <c r="J15" s="19">
        <f t="shared" si="2"/>
        <v>0.20842448979591838</v>
      </c>
    </row>
    <row r="16" spans="2:10">
      <c r="B16" s="135"/>
      <c r="C16" s="141"/>
      <c r="D16" s="20" t="s">
        <v>77</v>
      </c>
      <c r="E16" s="21">
        <f>+'CUOTA ARTESANAL'!E49+'CUOTA ARTESANAL'!E50</f>
        <v>1272</v>
      </c>
      <c r="F16" s="18">
        <f>+'CUOTA ARTESANAL'!L51</f>
        <v>0</v>
      </c>
      <c r="G16" s="18">
        <f t="shared" si="0"/>
        <v>1272</v>
      </c>
      <c r="H16" s="18">
        <f>+'CUOTA ARTESANAL'!H49+'CUOTA ARTESANAL'!H50</f>
        <v>1434.623</v>
      </c>
      <c r="I16" s="18">
        <f t="shared" si="1"/>
        <v>-162.62300000000005</v>
      </c>
      <c r="J16" s="19">
        <f t="shared" si="2"/>
        <v>1.1278482704402517</v>
      </c>
    </row>
    <row r="17" spans="2:10">
      <c r="B17" s="135"/>
      <c r="C17" s="141"/>
      <c r="D17" s="20" t="s">
        <v>128</v>
      </c>
      <c r="E17" s="21">
        <f>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</f>
        <v>8512.9959999999992</v>
      </c>
      <c r="F17" s="18">
        <f>'CUOTA ARTESANAL'!F52+'CUOTA ARTESANAL'!F53+'CUOTA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</f>
        <v>-8108.3090000000002</v>
      </c>
      <c r="G17" s="18">
        <f>+E17+F17</f>
        <v>404.68699999999899</v>
      </c>
      <c r="H17" s="18">
        <f>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ARTESANAL'!H66+'CUOTA ARTESANAL'!H67</f>
        <v>0.85</v>
      </c>
      <c r="I17" s="18">
        <f t="shared" si="1"/>
        <v>403.83699999999897</v>
      </c>
      <c r="J17" s="19">
        <f t="shared" si="2"/>
        <v>2.1003886954609418E-3</v>
      </c>
    </row>
    <row r="18" spans="2:10">
      <c r="B18" s="135"/>
      <c r="C18" s="141"/>
      <c r="D18" s="20" t="s">
        <v>159</v>
      </c>
      <c r="E18" s="21">
        <f>+'CUOTA ARTESANAL'!E69</f>
        <v>327</v>
      </c>
      <c r="F18" s="18">
        <f>+'CUOTA ARTESANAL'!L70</f>
        <v>0</v>
      </c>
      <c r="G18" s="18">
        <f t="shared" si="0"/>
        <v>327</v>
      </c>
      <c r="H18" s="18">
        <f>+'CUOTA ARTESANAL'!H69</f>
        <v>3.9620000000000002</v>
      </c>
      <c r="I18" s="18">
        <f t="shared" si="1"/>
        <v>323.03800000000001</v>
      </c>
      <c r="J18" s="19">
        <f t="shared" si="2"/>
        <v>1.2116207951070337E-2</v>
      </c>
    </row>
    <row r="19" spans="2:10">
      <c r="B19" s="135"/>
      <c r="C19" s="141"/>
      <c r="D19" s="20" t="s">
        <v>118</v>
      </c>
      <c r="E19" s="21">
        <f>'CUOTA ARTESANAL'!E71</f>
        <v>202</v>
      </c>
      <c r="F19" s="18">
        <f>'CUOTA ARTESANAL'!F71</f>
        <v>0</v>
      </c>
      <c r="G19" s="18">
        <f>'CUOTA ARTESANAL'!G71</f>
        <v>202</v>
      </c>
      <c r="H19" s="18">
        <f>'CUOTA ARTESANAL'!H71</f>
        <v>47.680999999999997</v>
      </c>
      <c r="I19" s="18">
        <f>'CUOTA ARTESANAL'!I71</f>
        <v>154.31900000000002</v>
      </c>
      <c r="J19" s="18">
        <f>'CUOTA ARTESANAL'!J71</f>
        <v>0.23604455445544553</v>
      </c>
    </row>
    <row r="20" spans="2:10">
      <c r="B20" s="135"/>
      <c r="C20" s="141"/>
      <c r="D20" s="20" t="s">
        <v>119</v>
      </c>
      <c r="E20" s="21">
        <v>5048</v>
      </c>
      <c r="F20" s="18">
        <f>-1663.522-2524-547.851</f>
        <v>-4735.3729999999996</v>
      </c>
      <c r="G20" s="18">
        <f t="shared" si="0"/>
        <v>312.62700000000041</v>
      </c>
      <c r="H20" s="18">
        <v>0</v>
      </c>
      <c r="I20" s="18">
        <f t="shared" si="1"/>
        <v>312.62700000000041</v>
      </c>
      <c r="J20" s="19">
        <f t="shared" si="2"/>
        <v>0</v>
      </c>
    </row>
    <row r="21" spans="2:10">
      <c r="B21" s="135"/>
      <c r="C21" s="141"/>
      <c r="D21" s="20" t="s">
        <v>120</v>
      </c>
      <c r="E21" s="21">
        <v>150</v>
      </c>
      <c r="F21" s="18">
        <v>0</v>
      </c>
      <c r="G21" s="18">
        <f t="shared" si="0"/>
        <v>150</v>
      </c>
      <c r="H21" s="18">
        <f>E45</f>
        <v>0</v>
      </c>
      <c r="I21" s="18">
        <f t="shared" si="1"/>
        <v>150</v>
      </c>
      <c r="J21" s="19">
        <f t="shared" si="2"/>
        <v>0</v>
      </c>
    </row>
    <row r="22" spans="2:10">
      <c r="B22" s="135"/>
      <c r="C22" s="141"/>
      <c r="D22" s="20" t="s">
        <v>121</v>
      </c>
      <c r="E22" s="21">
        <v>5048</v>
      </c>
      <c r="F22" s="18">
        <v>0</v>
      </c>
      <c r="G22" s="18">
        <f t="shared" si="0"/>
        <v>5048</v>
      </c>
      <c r="H22" s="18">
        <f>+'CONSUMO HUMANO'!E7</f>
        <v>5222.8959999999997</v>
      </c>
      <c r="I22" s="18">
        <f>+G22-H22</f>
        <v>-174.89599999999973</v>
      </c>
      <c r="J22" s="19">
        <f t="shared" si="2"/>
        <v>1.0346465927099842</v>
      </c>
    </row>
    <row r="23" spans="2:10">
      <c r="B23" s="135"/>
      <c r="C23" s="141"/>
      <c r="D23" s="20" t="s">
        <v>122</v>
      </c>
      <c r="E23" s="21">
        <v>20</v>
      </c>
      <c r="F23" s="18">
        <v>0</v>
      </c>
      <c r="G23" s="18">
        <f>+E23+F23</f>
        <v>20</v>
      </c>
      <c r="H23" s="18">
        <f>G38</f>
        <v>8.7999999999999995E-2</v>
      </c>
      <c r="I23" s="18">
        <f>+G23-H23</f>
        <v>19.911999999999999</v>
      </c>
      <c r="J23" s="19">
        <f>+H23/G23</f>
        <v>4.3999999999999994E-3</v>
      </c>
    </row>
    <row r="24" spans="2:10">
      <c r="B24" s="135"/>
      <c r="C24" s="141"/>
      <c r="D24" s="20" t="s">
        <v>105</v>
      </c>
      <c r="E24" s="21">
        <v>0</v>
      </c>
      <c r="F24" s="18">
        <f>+'CESIONES INDIVIDUALES'!E15</f>
        <v>381.98500000000001</v>
      </c>
      <c r="G24" s="18">
        <f t="shared" si="0"/>
        <v>381.98500000000001</v>
      </c>
      <c r="H24" s="18">
        <f>'CESIONES INDIVIDUALES'!F15</f>
        <v>32.633000000000003</v>
      </c>
      <c r="I24" s="18">
        <f t="shared" si="1"/>
        <v>349.35200000000003</v>
      </c>
      <c r="J24" s="19">
        <f>+H24/G24</f>
        <v>8.5430056154037468E-2</v>
      </c>
    </row>
    <row r="25" spans="2:10">
      <c r="B25" s="135"/>
      <c r="C25" s="141" t="s">
        <v>117</v>
      </c>
      <c r="D25" s="20" t="s">
        <v>129</v>
      </c>
      <c r="E25" s="21">
        <f>'CUOTA INDUSTRIAL'!K22</f>
        <v>70455.000223099996</v>
      </c>
      <c r="F25" s="18">
        <f>'CUOTA INDUSTRIAL'!L22</f>
        <v>-9353.6014999999989</v>
      </c>
      <c r="G25" s="18">
        <f>'CUOTA INDUSTRIAL'!M22</f>
        <v>61101.398723099999</v>
      </c>
      <c r="H25" s="18">
        <f>'CUOTA INDUSTRIAL'!N22</f>
        <v>52601.505000000005</v>
      </c>
      <c r="I25" s="18">
        <f>'CUOTA INDUSTRIAL'!O22</f>
        <v>8499.8937230999945</v>
      </c>
      <c r="J25" s="19">
        <f t="shared" si="2"/>
        <v>0.86088872103206826</v>
      </c>
    </row>
    <row r="26" spans="2:10">
      <c r="B26" s="135"/>
      <c r="C26" s="141"/>
      <c r="D26" s="20" t="s">
        <v>131</v>
      </c>
      <c r="E26" s="21">
        <f>'CUOTA INDUSTRIAL'!K56</f>
        <v>14868.001487999998</v>
      </c>
      <c r="F26" s="18">
        <f>'CUOTA INDUSTRIAL'!L56</f>
        <v>-11178.340200000001</v>
      </c>
      <c r="G26" s="18">
        <f>'CUOTA INDUSTRIAL'!M56</f>
        <v>3689.6612879999975</v>
      </c>
      <c r="H26" s="18">
        <f>'CUOTA INDUSTRIAL'!N56</f>
        <v>3097.6689999999999</v>
      </c>
      <c r="I26" s="18">
        <f>'CUOTA INDUSTRIAL'!O56</f>
        <v>591.99228799999764</v>
      </c>
      <c r="J26" s="19">
        <f t="shared" si="2"/>
        <v>0.83955375797628007</v>
      </c>
    </row>
    <row r="27" spans="2:10">
      <c r="B27" s="135"/>
      <c r="C27" s="141"/>
      <c r="D27" s="20" t="s">
        <v>130</v>
      </c>
      <c r="E27" s="21">
        <f>'CUOTA INDUSTRIAL'!K99</f>
        <v>318948.03189999994</v>
      </c>
      <c r="F27" s="18">
        <f>'CUOTA INDUSTRIAL'!L99</f>
        <v>76154.503599999996</v>
      </c>
      <c r="G27" s="18">
        <f>'CUOTA INDUSTRIAL'!M99</f>
        <v>395102.53549999994</v>
      </c>
      <c r="H27" s="18">
        <f>'CUOTA INDUSTRIAL'!N99</f>
        <v>388827.83399999992</v>
      </c>
      <c r="I27" s="18">
        <f>'CUOTA INDUSTRIAL'!O99</f>
        <v>6274.7015000000247</v>
      </c>
      <c r="J27" s="19">
        <f t="shared" si="2"/>
        <v>0.9841188022444366</v>
      </c>
    </row>
    <row r="28" spans="2:10">
      <c r="B28" s="135"/>
      <c r="C28" s="141"/>
      <c r="D28" s="20" t="s">
        <v>132</v>
      </c>
      <c r="E28" s="21">
        <f>'CUOTA INDUSTRIAL'!K133</f>
        <v>44415.995699999999</v>
      </c>
      <c r="F28" s="18">
        <f>'CUOTA INDUSTRIAL'!L133</f>
        <v>-42360.2379</v>
      </c>
      <c r="G28" s="18">
        <f>'CUOTA INDUSTRIAL'!M133</f>
        <v>2055.7577999999994</v>
      </c>
      <c r="H28" s="18">
        <f>'CUOTA INDUSTRIAL'!N133</f>
        <v>1745.6489999999999</v>
      </c>
      <c r="I28" s="18">
        <f>'CUOTA INDUSTRIAL'!O133</f>
        <v>310.10879999999952</v>
      </c>
      <c r="J28" s="19">
        <f t="shared" si="2"/>
        <v>0.84915110136028693</v>
      </c>
    </row>
    <row r="29" spans="2:10" ht="12" hidden="1" customHeight="1">
      <c r="B29" s="135"/>
      <c r="E29" s="23">
        <f>SUM(E6:E28)</f>
        <v>504889.02631109988</v>
      </c>
      <c r="F29" s="22">
        <f>SUM(F6:F28)</f>
        <v>0</v>
      </c>
      <c r="I29" s="24">
        <f t="shared" si="1"/>
        <v>0</v>
      </c>
      <c r="J29" s="19" t="e">
        <f t="shared" si="2"/>
        <v>#DIV/0!</v>
      </c>
    </row>
    <row r="30" spans="2:10">
      <c r="B30" s="136"/>
      <c r="C30" s="132" t="s">
        <v>99</v>
      </c>
      <c r="D30" s="133"/>
      <c r="E30" s="25">
        <f>SUM(E6:E28)</f>
        <v>504889.02631109988</v>
      </c>
      <c r="F30" s="45">
        <f>+F6+F7+F8+F9+F10+F11+F12+F13+F14+F15+F16+F17+F18+F19+F25+F26+F27+F28+F24+F20</f>
        <v>0</v>
      </c>
      <c r="G30" s="25">
        <f>+E30+F30</f>
        <v>504889.02631109988</v>
      </c>
      <c r="H30" s="25">
        <f>SUM(H6:H28)</f>
        <v>482866.47499999986</v>
      </c>
      <c r="I30" s="25">
        <f>+G30-H30</f>
        <v>22022.551311100018</v>
      </c>
      <c r="J30" s="26">
        <f t="shared" si="2"/>
        <v>0.95638140232120972</v>
      </c>
    </row>
    <row r="31" spans="2:10">
      <c r="E31" s="46"/>
      <c r="F31" s="46"/>
      <c r="G31" s="46"/>
      <c r="H31" s="46"/>
      <c r="I31" s="46"/>
      <c r="J31" s="46"/>
    </row>
    <row r="33" spans="3:9">
      <c r="C33" s="47"/>
    </row>
    <row r="35" spans="3:9">
      <c r="C35" s="137" t="s">
        <v>184</v>
      </c>
      <c r="D35" s="138"/>
      <c r="E35" s="138"/>
      <c r="F35" s="138"/>
      <c r="G35" s="138"/>
      <c r="H35" s="138"/>
      <c r="I35" s="139"/>
    </row>
    <row r="36" spans="3:9">
      <c r="C36" s="122" t="s">
        <v>133</v>
      </c>
      <c r="D36" s="122" t="s">
        <v>111</v>
      </c>
      <c r="E36" s="123" t="s">
        <v>114</v>
      </c>
      <c r="F36" s="123"/>
      <c r="G36" s="124" t="s">
        <v>177</v>
      </c>
      <c r="H36" s="123" t="s">
        <v>115</v>
      </c>
      <c r="I36" s="122" t="s">
        <v>93</v>
      </c>
    </row>
    <row r="37" spans="3:9">
      <c r="C37" s="122"/>
      <c r="D37" s="122"/>
      <c r="E37" s="89" t="s">
        <v>35</v>
      </c>
      <c r="F37" s="89" t="s">
        <v>37</v>
      </c>
      <c r="G37" s="125"/>
      <c r="H37" s="123"/>
      <c r="I37" s="122"/>
    </row>
    <row r="38" spans="3:9">
      <c r="C38" s="43" t="s">
        <v>179</v>
      </c>
      <c r="D38" s="43">
        <v>20</v>
      </c>
      <c r="E38" s="119">
        <v>8.7999999999999995E-2</v>
      </c>
      <c r="F38" s="32"/>
      <c r="G38" s="108">
        <f>E38+F38</f>
        <v>8.7999999999999995E-2</v>
      </c>
      <c r="H38" s="104">
        <f>D38-E38</f>
        <v>19.911999999999999</v>
      </c>
      <c r="I38" s="33">
        <f>G38/D38</f>
        <v>4.3999999999999994E-3</v>
      </c>
    </row>
    <row r="39" spans="3:9">
      <c r="C39" s="102"/>
      <c r="D39" s="102"/>
      <c r="E39" s="102"/>
      <c r="F39" s="107"/>
      <c r="G39" s="107"/>
      <c r="H39" s="102"/>
      <c r="I39" s="75"/>
    </row>
    <row r="40" spans="3:9">
      <c r="C40" s="102"/>
      <c r="D40" s="102"/>
      <c r="E40" s="102"/>
      <c r="F40" s="107"/>
      <c r="G40" s="107"/>
      <c r="H40" s="102"/>
      <c r="I40" s="75"/>
    </row>
    <row r="42" spans="3:9">
      <c r="C42" s="121" t="s">
        <v>107</v>
      </c>
      <c r="D42" s="121"/>
      <c r="E42" s="121"/>
      <c r="F42" s="121"/>
      <c r="G42" s="121"/>
      <c r="H42" s="121"/>
      <c r="I42" s="121"/>
    </row>
    <row r="43" spans="3:9">
      <c r="C43" s="122" t="s">
        <v>167</v>
      </c>
      <c r="D43" s="122" t="s">
        <v>111</v>
      </c>
      <c r="E43" s="123" t="s">
        <v>114</v>
      </c>
      <c r="F43" s="123"/>
      <c r="G43" s="124" t="s">
        <v>177</v>
      </c>
      <c r="H43" s="123" t="s">
        <v>115</v>
      </c>
      <c r="I43" s="122" t="s">
        <v>93</v>
      </c>
    </row>
    <row r="44" spans="3:9">
      <c r="C44" s="122"/>
      <c r="D44" s="122"/>
      <c r="E44" s="89" t="s">
        <v>35</v>
      </c>
      <c r="F44" s="89" t="s">
        <v>37</v>
      </c>
      <c r="G44" s="125"/>
      <c r="H44" s="123"/>
      <c r="I44" s="122"/>
    </row>
    <row r="45" spans="3:9">
      <c r="C45" s="43" t="s">
        <v>57</v>
      </c>
      <c r="D45" s="43">
        <v>150</v>
      </c>
      <c r="E45" s="43"/>
      <c r="F45" s="32"/>
      <c r="G45" s="103">
        <f>E45+F45</f>
        <v>0</v>
      </c>
      <c r="H45" s="100">
        <f>D45-G45</f>
        <v>150</v>
      </c>
      <c r="I45" s="33">
        <f>G45/D45</f>
        <v>0</v>
      </c>
    </row>
  </sheetData>
  <mergeCells count="21"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  <mergeCell ref="C42:I42"/>
    <mergeCell ref="C43:C44"/>
    <mergeCell ref="D43:D44"/>
    <mergeCell ref="E43:F43"/>
    <mergeCell ref="H43:H44"/>
    <mergeCell ref="I43:I44"/>
    <mergeCell ref="G43:G44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82"/>
  <sheetViews>
    <sheetView showGridLines="0" zoomScale="90" zoomScaleNormal="90" workbookViewId="0">
      <selection activeCell="C78" sqref="C78"/>
    </sheetView>
  </sheetViews>
  <sheetFormatPr baseColWidth="10" defaultColWidth="11.42578125" defaultRowHeight="12"/>
  <cols>
    <col min="1" max="1" width="11.42578125" style="51"/>
    <col min="2" max="2" width="36" style="51" bestFit="1" customWidth="1"/>
    <col min="3" max="3" width="43.28515625" style="51" bestFit="1" customWidth="1"/>
    <col min="4" max="4" width="11.42578125" style="51" customWidth="1"/>
    <col min="5" max="5" width="18.28515625" style="51" bestFit="1" customWidth="1"/>
    <col min="6" max="6" width="15.28515625" style="51" bestFit="1" customWidth="1"/>
    <col min="7" max="7" width="17.28515625" style="51" bestFit="1" customWidth="1"/>
    <col min="8" max="8" width="12" style="51" bestFit="1" customWidth="1"/>
    <col min="9" max="9" width="10.140625" style="51" bestFit="1" customWidth="1"/>
    <col min="10" max="10" width="11.7109375" style="51" bestFit="1" customWidth="1"/>
    <col min="11" max="11" width="18.7109375" style="51" customWidth="1"/>
    <col min="12" max="12" width="18" style="51" customWidth="1"/>
    <col min="13" max="13" width="18.5703125" style="51" customWidth="1"/>
    <col min="14" max="14" width="13.85546875" style="51" customWidth="1"/>
    <col min="15" max="15" width="11.42578125" style="51" customWidth="1"/>
    <col min="16" max="16" width="18.42578125" style="51" customWidth="1"/>
    <col min="17" max="17" width="16" style="51" bestFit="1" customWidth="1"/>
    <col min="18" max="18" width="36.85546875" style="51" customWidth="1"/>
    <col min="19" max="16384" width="11.42578125" style="51"/>
  </cols>
  <sheetData>
    <row r="2" spans="2:17" ht="26.25" customHeight="1">
      <c r="B2" s="149" t="s">
        <v>138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</row>
    <row r="3" spans="2:17" ht="24" customHeight="1">
      <c r="B3" s="152">
        <f>RESUMEN!B3</f>
        <v>44452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</row>
    <row r="4" spans="2:17" ht="22.5" customHeight="1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2:17" ht="24">
      <c r="B5" s="50" t="s">
        <v>64</v>
      </c>
      <c r="C5" s="50" t="s">
        <v>135</v>
      </c>
      <c r="D5" s="50" t="s">
        <v>136</v>
      </c>
      <c r="E5" s="50" t="s">
        <v>111</v>
      </c>
      <c r="F5" s="50" t="s">
        <v>112</v>
      </c>
      <c r="G5" s="50" t="s">
        <v>113</v>
      </c>
      <c r="H5" s="50" t="s">
        <v>114</v>
      </c>
      <c r="I5" s="50" t="s">
        <v>115</v>
      </c>
      <c r="J5" s="50" t="s">
        <v>93</v>
      </c>
      <c r="K5" s="50" t="s">
        <v>111</v>
      </c>
      <c r="L5" s="50" t="s">
        <v>112</v>
      </c>
      <c r="M5" s="50" t="s">
        <v>113</v>
      </c>
      <c r="N5" s="50" t="s">
        <v>114</v>
      </c>
      <c r="O5" s="50" t="s">
        <v>115</v>
      </c>
      <c r="P5" s="50" t="s">
        <v>93</v>
      </c>
      <c r="Q5" s="50" t="s">
        <v>137</v>
      </c>
    </row>
    <row r="6" spans="2:17" ht="15" customHeight="1">
      <c r="B6" s="146" t="s">
        <v>139</v>
      </c>
      <c r="C6" s="147" t="s">
        <v>150</v>
      </c>
      <c r="D6" s="43" t="s">
        <v>0</v>
      </c>
      <c r="E6" s="35">
        <v>1690</v>
      </c>
      <c r="F6" s="35"/>
      <c r="G6" s="35">
        <f>E6+F6</f>
        <v>1690</v>
      </c>
      <c r="H6" s="112">
        <v>138.60400000000001</v>
      </c>
      <c r="I6" s="35">
        <f>G6-H6</f>
        <v>1551.396</v>
      </c>
      <c r="J6" s="27">
        <f>H6/G6</f>
        <v>8.2014201183431959E-2</v>
      </c>
      <c r="K6" s="142">
        <f>E6+E7</f>
        <v>1779</v>
      </c>
      <c r="L6" s="142">
        <f>F6+F7</f>
        <v>0</v>
      </c>
      <c r="M6" s="142">
        <f>K6+L6</f>
        <v>1779</v>
      </c>
      <c r="N6" s="142">
        <f>H6+H7</f>
        <v>138.60400000000001</v>
      </c>
      <c r="O6" s="142">
        <f>M6-N6</f>
        <v>1640.396</v>
      </c>
      <c r="P6" s="143">
        <f>N6/M6</f>
        <v>7.7911186059584039E-2</v>
      </c>
      <c r="Q6" s="29" t="s">
        <v>82</v>
      </c>
    </row>
    <row r="7" spans="2:17" ht="15" customHeight="1">
      <c r="B7" s="146"/>
      <c r="C7" s="147"/>
      <c r="D7" s="43" t="s">
        <v>1</v>
      </c>
      <c r="E7" s="35">
        <v>89</v>
      </c>
      <c r="F7" s="35"/>
      <c r="G7" s="35">
        <f>E7+F7+I6</f>
        <v>1640.396</v>
      </c>
      <c r="H7" s="35"/>
      <c r="I7" s="35">
        <f t="shared" ref="I7:I67" si="0">G7-H7</f>
        <v>1640.396</v>
      </c>
      <c r="J7" s="27">
        <f>H7/G7</f>
        <v>0</v>
      </c>
      <c r="K7" s="142"/>
      <c r="L7" s="142"/>
      <c r="M7" s="142"/>
      <c r="N7" s="142"/>
      <c r="O7" s="142"/>
      <c r="P7" s="143"/>
      <c r="Q7" s="29" t="s">
        <v>82</v>
      </c>
    </row>
    <row r="8" spans="2:17" ht="15.95" customHeight="1">
      <c r="B8" s="52"/>
      <c r="C8" s="53"/>
      <c r="D8" s="54"/>
      <c r="E8" s="55"/>
      <c r="F8" s="55"/>
      <c r="G8" s="55"/>
      <c r="H8" s="55"/>
      <c r="I8" s="55"/>
      <c r="J8" s="56"/>
      <c r="K8" s="55"/>
      <c r="L8" s="57">
        <f>SUM(L6)</f>
        <v>0</v>
      </c>
      <c r="M8" s="57"/>
      <c r="N8" s="57"/>
      <c r="O8" s="57"/>
      <c r="P8" s="58"/>
      <c r="Q8" s="83"/>
    </row>
    <row r="9" spans="2:17">
      <c r="B9" s="146" t="s">
        <v>140</v>
      </c>
      <c r="C9" s="147" t="s">
        <v>151</v>
      </c>
      <c r="D9" s="43" t="s">
        <v>0</v>
      </c>
      <c r="E9" s="35">
        <v>1690</v>
      </c>
      <c r="F9" s="35"/>
      <c r="G9" s="35">
        <f>E9+F9</f>
        <v>1690</v>
      </c>
      <c r="H9" s="112">
        <v>54.564</v>
      </c>
      <c r="I9" s="35">
        <f>G9-H9</f>
        <v>1635.4359999999999</v>
      </c>
      <c r="J9" s="27">
        <f>H9/G9</f>
        <v>3.2286390532544382E-2</v>
      </c>
      <c r="K9" s="142">
        <f>E9+E10</f>
        <v>1779</v>
      </c>
      <c r="L9" s="142">
        <f>F9+F10</f>
        <v>0</v>
      </c>
      <c r="M9" s="142">
        <f>K9+L9</f>
        <v>1779</v>
      </c>
      <c r="N9" s="142">
        <f>H9+H10</f>
        <v>54.564</v>
      </c>
      <c r="O9" s="142">
        <f>M9-N9</f>
        <v>1724.4359999999999</v>
      </c>
      <c r="P9" s="143">
        <f>N9/M9</f>
        <v>3.0671163575042158E-2</v>
      </c>
      <c r="Q9" s="84" t="s">
        <v>82</v>
      </c>
    </row>
    <row r="10" spans="2:17">
      <c r="B10" s="146"/>
      <c r="C10" s="147"/>
      <c r="D10" s="43" t="s">
        <v>1</v>
      </c>
      <c r="E10" s="35">
        <v>89</v>
      </c>
      <c r="F10" s="35"/>
      <c r="G10" s="35">
        <f>E10+F10+I9</f>
        <v>1724.4359999999999</v>
      </c>
      <c r="H10" s="35"/>
      <c r="I10" s="35">
        <f>G10-H10</f>
        <v>1724.4359999999999</v>
      </c>
      <c r="J10" s="27">
        <f>H10/G10</f>
        <v>0</v>
      </c>
      <c r="K10" s="142"/>
      <c r="L10" s="142"/>
      <c r="M10" s="142"/>
      <c r="N10" s="142"/>
      <c r="O10" s="142"/>
      <c r="P10" s="143"/>
      <c r="Q10" s="84" t="s">
        <v>82</v>
      </c>
    </row>
    <row r="11" spans="2:17" ht="15.95" customHeight="1">
      <c r="B11" s="52"/>
      <c r="C11" s="53"/>
      <c r="D11" s="54"/>
      <c r="E11" s="55"/>
      <c r="F11" s="55"/>
      <c r="G11" s="55"/>
      <c r="H11" s="55"/>
      <c r="I11" s="55"/>
      <c r="J11" s="56"/>
      <c r="K11" s="55"/>
      <c r="L11" s="57">
        <f>SUM(L9)</f>
        <v>0</v>
      </c>
      <c r="M11" s="57"/>
      <c r="N11" s="57"/>
      <c r="O11" s="57"/>
      <c r="P11" s="58"/>
      <c r="Q11" s="83"/>
    </row>
    <row r="12" spans="2:17">
      <c r="B12" s="38" t="s">
        <v>30</v>
      </c>
      <c r="C12" s="37" t="s">
        <v>152</v>
      </c>
      <c r="D12" s="43" t="s">
        <v>31</v>
      </c>
      <c r="E12" s="35">
        <v>150</v>
      </c>
      <c r="F12" s="35"/>
      <c r="G12" s="35">
        <f>E12+F12</f>
        <v>150</v>
      </c>
      <c r="H12" s="112">
        <v>58.777000000000001</v>
      </c>
      <c r="I12" s="35">
        <f>G12-H12</f>
        <v>91.222999999999999</v>
      </c>
      <c r="J12" s="27">
        <f>H12/G12</f>
        <v>0.39184666666666668</v>
      </c>
      <c r="K12" s="35">
        <f>E12</f>
        <v>150</v>
      </c>
      <c r="L12" s="35">
        <f>F12</f>
        <v>0</v>
      </c>
      <c r="M12" s="35">
        <f>K12+L12</f>
        <v>150</v>
      </c>
      <c r="N12" s="35">
        <f>H12</f>
        <v>58.777000000000001</v>
      </c>
      <c r="O12" s="35">
        <f>M12-N12</f>
        <v>91.222999999999999</v>
      </c>
      <c r="P12" s="36">
        <f>N12/M12</f>
        <v>0.39184666666666668</v>
      </c>
      <c r="Q12" s="84" t="s">
        <v>82</v>
      </c>
    </row>
    <row r="13" spans="2:17" ht="15.75" customHeight="1">
      <c r="B13" s="52"/>
      <c r="C13" s="53"/>
      <c r="D13" s="54"/>
      <c r="E13" s="55"/>
      <c r="F13" s="55"/>
      <c r="G13" s="55"/>
      <c r="H13" s="55"/>
      <c r="I13" s="55"/>
      <c r="J13" s="56"/>
      <c r="K13" s="55"/>
      <c r="L13" s="57">
        <f>SUM(L12)</f>
        <v>0</v>
      </c>
      <c r="M13" s="57"/>
      <c r="N13" s="57"/>
      <c r="O13" s="57"/>
      <c r="P13" s="58"/>
      <c r="Q13" s="83"/>
    </row>
    <row r="14" spans="2:17">
      <c r="B14" s="146" t="s">
        <v>141</v>
      </c>
      <c r="C14" s="147" t="s">
        <v>153</v>
      </c>
      <c r="D14" s="43" t="s">
        <v>85</v>
      </c>
      <c r="E14" s="35">
        <f>4416+232</f>
        <v>4648</v>
      </c>
      <c r="F14" s="35">
        <v>2524</v>
      </c>
      <c r="G14" s="35">
        <f>E14+F14</f>
        <v>7172</v>
      </c>
      <c r="H14" s="112">
        <v>7030.5780000000004</v>
      </c>
      <c r="I14" s="35">
        <f>G14-H14</f>
        <v>141.42199999999957</v>
      </c>
      <c r="J14" s="27">
        <f>H14/G14</f>
        <v>0.98028137200223098</v>
      </c>
      <c r="K14" s="142">
        <f>E14+E15</f>
        <v>4648</v>
      </c>
      <c r="L14" s="142">
        <f>F14+F15</f>
        <v>2524</v>
      </c>
      <c r="M14" s="142">
        <f>K14+L14</f>
        <v>7172</v>
      </c>
      <c r="N14" s="142">
        <f>H14+H15</f>
        <v>7030.5780000000004</v>
      </c>
      <c r="O14" s="142">
        <f>M14-N14</f>
        <v>141.42199999999957</v>
      </c>
      <c r="P14" s="143">
        <f>N14/M14</f>
        <v>0.98028137200223098</v>
      </c>
      <c r="Q14" s="29">
        <v>44287</v>
      </c>
    </row>
    <row r="15" spans="2:17">
      <c r="B15" s="146"/>
      <c r="C15" s="147"/>
      <c r="D15" s="43" t="s">
        <v>86</v>
      </c>
      <c r="E15" s="35">
        <v>0</v>
      </c>
      <c r="F15" s="35"/>
      <c r="G15" s="35">
        <f>+I14+E15+F15</f>
        <v>141.42199999999957</v>
      </c>
      <c r="H15" s="35"/>
      <c r="I15" s="35">
        <f>+G15-H15</f>
        <v>141.42199999999957</v>
      </c>
      <c r="J15" s="27">
        <f>+H15/G15</f>
        <v>0</v>
      </c>
      <c r="K15" s="142"/>
      <c r="L15" s="142"/>
      <c r="M15" s="142"/>
      <c r="N15" s="142"/>
      <c r="O15" s="142"/>
      <c r="P15" s="143"/>
      <c r="Q15" s="29">
        <v>44287</v>
      </c>
    </row>
    <row r="16" spans="2:17" ht="15.75" customHeight="1">
      <c r="B16" s="59"/>
      <c r="C16" s="53"/>
      <c r="D16" s="54"/>
      <c r="E16" s="55"/>
      <c r="F16" s="55"/>
      <c r="G16" s="55"/>
      <c r="H16" s="55"/>
      <c r="I16" s="55"/>
      <c r="J16" s="56"/>
      <c r="K16" s="55"/>
      <c r="L16" s="57">
        <f>SUM(L14)</f>
        <v>2524</v>
      </c>
      <c r="M16" s="57"/>
      <c r="N16" s="57"/>
      <c r="O16" s="57"/>
      <c r="P16" s="58"/>
      <c r="Q16" s="83"/>
    </row>
    <row r="17" spans="2:17">
      <c r="B17" s="146" t="s">
        <v>142</v>
      </c>
      <c r="C17" s="147" t="s">
        <v>18</v>
      </c>
      <c r="D17" s="43" t="s">
        <v>85</v>
      </c>
      <c r="E17" s="35">
        <f>1276.273+67.133</f>
        <v>1343.4059999999999</v>
      </c>
      <c r="F17" s="35">
        <f>-1200</f>
        <v>-1200</v>
      </c>
      <c r="G17" s="35">
        <f>E17+F17</f>
        <v>143.40599999999995</v>
      </c>
      <c r="H17" s="112">
        <v>91.352000000000004</v>
      </c>
      <c r="I17" s="35">
        <f t="shared" si="0"/>
        <v>52.053999999999945</v>
      </c>
      <c r="J17" s="27">
        <f t="shared" ref="J17:J22" si="1">H17/G17</f>
        <v>0.63701658229083891</v>
      </c>
      <c r="K17" s="142">
        <f>E17+E18</f>
        <v>1343.4059999999999</v>
      </c>
      <c r="L17" s="142">
        <f>F17+F18</f>
        <v>-1200</v>
      </c>
      <c r="M17" s="142">
        <f>K17+L17</f>
        <v>143.40599999999995</v>
      </c>
      <c r="N17" s="142">
        <f>H17+H18</f>
        <v>91.352000000000004</v>
      </c>
      <c r="O17" s="142">
        <f>M17-N17</f>
        <v>52.053999999999945</v>
      </c>
      <c r="P17" s="143">
        <f>N17/M17</f>
        <v>0.63701658229083891</v>
      </c>
      <c r="Q17" s="29">
        <v>44274</v>
      </c>
    </row>
    <row r="18" spans="2:17">
      <c r="B18" s="146"/>
      <c r="C18" s="147"/>
      <c r="D18" s="43" t="s">
        <v>86</v>
      </c>
      <c r="E18" s="35">
        <v>0</v>
      </c>
      <c r="F18" s="35"/>
      <c r="G18" s="35">
        <f>E18+F18+I17</f>
        <v>52.053999999999945</v>
      </c>
      <c r="H18" s="81"/>
      <c r="I18" s="35">
        <f t="shared" si="0"/>
        <v>52.053999999999945</v>
      </c>
      <c r="J18" s="27">
        <f t="shared" si="1"/>
        <v>0</v>
      </c>
      <c r="K18" s="142"/>
      <c r="L18" s="142"/>
      <c r="M18" s="142"/>
      <c r="N18" s="142"/>
      <c r="O18" s="142"/>
      <c r="P18" s="143"/>
      <c r="Q18" s="29" t="s">
        <v>82</v>
      </c>
    </row>
    <row r="19" spans="2:17">
      <c r="B19" s="146"/>
      <c r="C19" s="147" t="s">
        <v>19</v>
      </c>
      <c r="D19" s="43" t="s">
        <v>85</v>
      </c>
      <c r="E19" s="35">
        <f>6791.176+357.222</f>
        <v>7148.3980000000001</v>
      </c>
      <c r="F19" s="35">
        <v>1663.5219999999999</v>
      </c>
      <c r="G19" s="35">
        <f>E19+F19</f>
        <v>8811.92</v>
      </c>
      <c r="H19" s="112">
        <v>8443.3639999999996</v>
      </c>
      <c r="I19" s="35">
        <f t="shared" si="0"/>
        <v>368.55600000000049</v>
      </c>
      <c r="J19" s="27">
        <f>H19/G19</f>
        <v>0.95817528983467848</v>
      </c>
      <c r="K19" s="142">
        <f>E19+E20</f>
        <v>7148.3980000000001</v>
      </c>
      <c r="L19" s="142">
        <f>F19+F20</f>
        <v>1663.5219999999999</v>
      </c>
      <c r="M19" s="142">
        <f>K19+L19</f>
        <v>8811.92</v>
      </c>
      <c r="N19" s="142">
        <f>H19+H20</f>
        <v>8443.3639999999996</v>
      </c>
      <c r="O19" s="142">
        <f>M19-N19</f>
        <v>368.55600000000049</v>
      </c>
      <c r="P19" s="143">
        <f>N19/M19</f>
        <v>0.95817528983467848</v>
      </c>
      <c r="Q19" s="29">
        <v>44398</v>
      </c>
    </row>
    <row r="20" spans="2:17">
      <c r="B20" s="146"/>
      <c r="C20" s="147"/>
      <c r="D20" s="43" t="s">
        <v>86</v>
      </c>
      <c r="E20" s="35">
        <f>357.222-357.222</f>
        <v>0</v>
      </c>
      <c r="F20" s="35"/>
      <c r="G20" s="35">
        <f>E20+F20+I19</f>
        <v>368.55600000000049</v>
      </c>
      <c r="H20" s="81"/>
      <c r="I20" s="35">
        <f t="shared" si="0"/>
        <v>368.55600000000049</v>
      </c>
      <c r="J20" s="27">
        <f t="shared" si="1"/>
        <v>0</v>
      </c>
      <c r="K20" s="142"/>
      <c r="L20" s="142"/>
      <c r="M20" s="142"/>
      <c r="N20" s="142"/>
      <c r="O20" s="142"/>
      <c r="P20" s="143"/>
      <c r="Q20" s="29" t="s">
        <v>82</v>
      </c>
    </row>
    <row r="21" spans="2:17">
      <c r="B21" s="146"/>
      <c r="C21" s="147" t="s">
        <v>20</v>
      </c>
      <c r="D21" s="43" t="s">
        <v>85</v>
      </c>
      <c r="E21" s="35">
        <f>2236.551+117.645</f>
        <v>2354.1959999999999</v>
      </c>
      <c r="F21" s="35">
        <f>547.851</f>
        <v>547.851</v>
      </c>
      <c r="G21" s="35">
        <f>E21+F21</f>
        <v>2902.047</v>
      </c>
      <c r="H21" s="112">
        <v>2896.27</v>
      </c>
      <c r="I21" s="35">
        <f t="shared" si="0"/>
        <v>5.7770000000000437</v>
      </c>
      <c r="J21" s="27">
        <f t="shared" si="1"/>
        <v>0.99800933616857346</v>
      </c>
      <c r="K21" s="142">
        <f>E21+E22</f>
        <v>2354.1959999999999</v>
      </c>
      <c r="L21" s="142">
        <f>F21+F22</f>
        <v>547.851</v>
      </c>
      <c r="M21" s="142">
        <f>K21+L21</f>
        <v>2902.047</v>
      </c>
      <c r="N21" s="142">
        <f>H21+H22</f>
        <v>2896.27</v>
      </c>
      <c r="O21" s="142">
        <f>M21-N21</f>
        <v>5.7770000000000437</v>
      </c>
      <c r="P21" s="143">
        <f>N21/M21</f>
        <v>0.99800933616857346</v>
      </c>
      <c r="Q21" s="29" t="s">
        <v>82</v>
      </c>
    </row>
    <row r="22" spans="2:17">
      <c r="B22" s="146"/>
      <c r="C22" s="147"/>
      <c r="D22" s="43" t="s">
        <v>86</v>
      </c>
      <c r="E22" s="35">
        <f>117.645-117.645</f>
        <v>0</v>
      </c>
      <c r="F22" s="35"/>
      <c r="G22" s="35">
        <f>E22+F22+I21</f>
        <v>5.7770000000000437</v>
      </c>
      <c r="H22" s="81"/>
      <c r="I22" s="35">
        <f t="shared" si="0"/>
        <v>5.7770000000000437</v>
      </c>
      <c r="J22" s="27">
        <f t="shared" si="1"/>
        <v>0</v>
      </c>
      <c r="K22" s="142"/>
      <c r="L22" s="142"/>
      <c r="M22" s="142"/>
      <c r="N22" s="142"/>
      <c r="O22" s="142"/>
      <c r="P22" s="143"/>
      <c r="Q22" s="84" t="s">
        <v>82</v>
      </c>
    </row>
    <row r="23" spans="2:17" ht="15.75" customHeight="1">
      <c r="B23" s="60"/>
      <c r="C23" s="53"/>
      <c r="D23" s="54"/>
      <c r="E23" s="55"/>
      <c r="F23" s="55"/>
      <c r="G23" s="55"/>
      <c r="H23" s="55"/>
      <c r="I23" s="55"/>
      <c r="J23" s="56"/>
      <c r="K23" s="55"/>
      <c r="L23" s="57">
        <f>SUM(L17:L22)</f>
        <v>1011.3729999999999</v>
      </c>
      <c r="M23" s="57"/>
      <c r="N23" s="57"/>
      <c r="O23" s="57"/>
      <c r="P23" s="58"/>
      <c r="Q23" s="83"/>
    </row>
    <row r="24" spans="2:17">
      <c r="B24" s="146" t="s">
        <v>143</v>
      </c>
      <c r="C24" s="147" t="s">
        <v>21</v>
      </c>
      <c r="D24" s="43" t="s">
        <v>0</v>
      </c>
      <c r="E24" s="40">
        <v>3949.2910000000002</v>
      </c>
      <c r="F24" s="35">
        <f>-890-2970-286</f>
        <v>-4146</v>
      </c>
      <c r="G24" s="35">
        <f>E24+F24</f>
        <v>-196.70899999999983</v>
      </c>
      <c r="H24" s="112">
        <v>9.5250000000000004</v>
      </c>
      <c r="I24" s="35">
        <f t="shared" si="0"/>
        <v>-206.23399999999984</v>
      </c>
      <c r="J24" s="27">
        <f>H24/G24</f>
        <v>-4.8421780396423184E-2</v>
      </c>
      <c r="K24" s="142">
        <f>E24+E25</f>
        <v>4156.8910000000005</v>
      </c>
      <c r="L24" s="142">
        <f>F24+F25</f>
        <v>-4146</v>
      </c>
      <c r="M24" s="142">
        <f>K24+L24</f>
        <v>10.891000000000531</v>
      </c>
      <c r="N24" s="142">
        <f>H24+H25</f>
        <v>9.5250000000000004</v>
      </c>
      <c r="O24" s="142">
        <f>M24-N24</f>
        <v>1.3660000000005308</v>
      </c>
      <c r="P24" s="143">
        <f>N24/M24</f>
        <v>0.87457533743453642</v>
      </c>
      <c r="Q24" s="29" t="s">
        <v>82</v>
      </c>
    </row>
    <row r="25" spans="2:17">
      <c r="B25" s="146"/>
      <c r="C25" s="147"/>
      <c r="D25" s="43" t="s">
        <v>1</v>
      </c>
      <c r="E25" s="35">
        <v>207.6</v>
      </c>
      <c r="F25" s="35"/>
      <c r="G25" s="35">
        <f>E25+F25+I24</f>
        <v>1.366000000000156</v>
      </c>
      <c r="H25" s="85"/>
      <c r="I25" s="35">
        <f t="shared" si="0"/>
        <v>1.366000000000156</v>
      </c>
      <c r="J25" s="27">
        <f t="shared" ref="J25:J35" si="2">H25/G25</f>
        <v>0</v>
      </c>
      <c r="K25" s="142"/>
      <c r="L25" s="142"/>
      <c r="M25" s="142"/>
      <c r="N25" s="142"/>
      <c r="O25" s="142"/>
      <c r="P25" s="143"/>
      <c r="Q25" s="29" t="s">
        <v>82</v>
      </c>
    </row>
    <row r="26" spans="2:17">
      <c r="B26" s="146"/>
      <c r="C26" s="147" t="s">
        <v>91</v>
      </c>
      <c r="D26" s="88" t="s">
        <v>0</v>
      </c>
      <c r="E26" s="35">
        <v>67.466999999999999</v>
      </c>
      <c r="F26" s="35">
        <f>-70</f>
        <v>-70</v>
      </c>
      <c r="G26" s="35">
        <f>E26+F26</f>
        <v>-2.5330000000000013</v>
      </c>
      <c r="H26" s="85"/>
      <c r="I26" s="35">
        <f t="shared" si="0"/>
        <v>-2.5330000000000013</v>
      </c>
      <c r="J26" s="27">
        <f>H26/G26</f>
        <v>0</v>
      </c>
      <c r="K26" s="142">
        <f>E26+E27</f>
        <v>71.013999999999996</v>
      </c>
      <c r="L26" s="142">
        <f>F26+F27</f>
        <v>-70</v>
      </c>
      <c r="M26" s="142">
        <f>K26+L26</f>
        <v>1.0139999999999958</v>
      </c>
      <c r="N26" s="142">
        <f>H26+H27</f>
        <v>0</v>
      </c>
      <c r="O26" s="142">
        <f>M26-N26</f>
        <v>1.0139999999999958</v>
      </c>
      <c r="P26" s="143">
        <f>N26/M26</f>
        <v>0</v>
      </c>
      <c r="Q26" s="29" t="s">
        <v>82</v>
      </c>
    </row>
    <row r="27" spans="2:17">
      <c r="B27" s="146"/>
      <c r="C27" s="147"/>
      <c r="D27" s="88" t="s">
        <v>1</v>
      </c>
      <c r="E27" s="35">
        <v>3.5470000000000002</v>
      </c>
      <c r="F27" s="35"/>
      <c r="G27" s="35">
        <f>E27+F27+I26</f>
        <v>1.0139999999999989</v>
      </c>
      <c r="H27" s="85"/>
      <c r="I27" s="35">
        <f t="shared" si="0"/>
        <v>1.0139999999999989</v>
      </c>
      <c r="J27" s="27">
        <f t="shared" si="2"/>
        <v>0</v>
      </c>
      <c r="K27" s="142"/>
      <c r="L27" s="142"/>
      <c r="M27" s="142"/>
      <c r="N27" s="142"/>
      <c r="O27" s="142"/>
      <c r="P27" s="143"/>
      <c r="Q27" s="84" t="s">
        <v>82</v>
      </c>
    </row>
    <row r="28" spans="2:17">
      <c r="B28" s="146"/>
      <c r="C28" s="147" t="s">
        <v>183</v>
      </c>
      <c r="D28" s="88" t="s">
        <v>0</v>
      </c>
      <c r="E28" s="35">
        <v>2.004</v>
      </c>
      <c r="F28" s="35"/>
      <c r="G28" s="35">
        <f>E28+F28</f>
        <v>2.004</v>
      </c>
      <c r="H28" s="112">
        <v>2.008</v>
      </c>
      <c r="I28" s="35">
        <f t="shared" si="0"/>
        <v>-4.0000000000000036E-3</v>
      </c>
      <c r="J28" s="27">
        <f>H28/G28</f>
        <v>1.001996007984032</v>
      </c>
      <c r="K28" s="142">
        <f>E28+E29</f>
        <v>2.109</v>
      </c>
      <c r="L28" s="142">
        <f>F28+F29</f>
        <v>0</v>
      </c>
      <c r="M28" s="142">
        <f>K28+L28</f>
        <v>2.109</v>
      </c>
      <c r="N28" s="142">
        <f>H28+H29</f>
        <v>2.008</v>
      </c>
      <c r="O28" s="142">
        <f>M28-N28</f>
        <v>0.10099999999999998</v>
      </c>
      <c r="P28" s="143">
        <f>N28/M28</f>
        <v>0.95211000474158369</v>
      </c>
      <c r="Q28" s="29">
        <v>44328</v>
      </c>
    </row>
    <row r="29" spans="2:17">
      <c r="B29" s="146"/>
      <c r="C29" s="147"/>
      <c r="D29" s="88" t="s">
        <v>1</v>
      </c>
      <c r="E29" s="35">
        <v>0.105</v>
      </c>
      <c r="F29" s="35"/>
      <c r="G29" s="35">
        <f>E29+F29+I28</f>
        <v>0.10099999999999999</v>
      </c>
      <c r="H29" s="85"/>
      <c r="I29" s="35">
        <f t="shared" si="0"/>
        <v>0.10099999999999999</v>
      </c>
      <c r="J29" s="27">
        <f t="shared" si="2"/>
        <v>0</v>
      </c>
      <c r="K29" s="142"/>
      <c r="L29" s="142"/>
      <c r="M29" s="142"/>
      <c r="N29" s="142"/>
      <c r="O29" s="142"/>
      <c r="P29" s="143"/>
      <c r="Q29" s="84" t="s">
        <v>82</v>
      </c>
    </row>
    <row r="30" spans="2:17">
      <c r="B30" s="146"/>
      <c r="C30" s="147" t="s">
        <v>90</v>
      </c>
      <c r="D30" s="88" t="s">
        <v>0</v>
      </c>
      <c r="E30" s="35">
        <v>137.60900000000001</v>
      </c>
      <c r="F30" s="35">
        <f>-120</f>
        <v>-120</v>
      </c>
      <c r="G30" s="35">
        <f>E30+F30</f>
        <v>17.609000000000009</v>
      </c>
      <c r="H30" s="112">
        <v>12.02</v>
      </c>
      <c r="I30" s="35">
        <f t="shared" si="0"/>
        <v>5.5890000000000093</v>
      </c>
      <c r="J30" s="27">
        <f t="shared" si="2"/>
        <v>0.68260548583110869</v>
      </c>
      <c r="K30" s="142">
        <f>E30+E31</f>
        <v>144.84300000000002</v>
      </c>
      <c r="L30" s="142">
        <f>F30+F31</f>
        <v>-120</v>
      </c>
      <c r="M30" s="142">
        <f>K30+L30</f>
        <v>24.843000000000018</v>
      </c>
      <c r="N30" s="142">
        <f>H30+H31</f>
        <v>12.02</v>
      </c>
      <c r="O30" s="142">
        <f>M30-N30</f>
        <v>12.823000000000018</v>
      </c>
      <c r="P30" s="143">
        <f>N30/M30</f>
        <v>0.48383850581652743</v>
      </c>
      <c r="Q30" s="84" t="s">
        <v>82</v>
      </c>
    </row>
    <row r="31" spans="2:17">
      <c r="B31" s="146"/>
      <c r="C31" s="147"/>
      <c r="D31" s="88" t="s">
        <v>1</v>
      </c>
      <c r="E31" s="35">
        <v>7.234</v>
      </c>
      <c r="F31" s="35"/>
      <c r="G31" s="35">
        <f>E31+F31+I30</f>
        <v>12.823000000000009</v>
      </c>
      <c r="H31" s="85"/>
      <c r="I31" s="35">
        <f t="shared" si="0"/>
        <v>12.823000000000009</v>
      </c>
      <c r="J31" s="27">
        <f t="shared" si="2"/>
        <v>0</v>
      </c>
      <c r="K31" s="142"/>
      <c r="L31" s="142"/>
      <c r="M31" s="142"/>
      <c r="N31" s="142"/>
      <c r="O31" s="142"/>
      <c r="P31" s="143"/>
      <c r="Q31" s="84" t="s">
        <v>82</v>
      </c>
    </row>
    <row r="32" spans="2:17">
      <c r="B32" s="146"/>
      <c r="C32" s="147" t="s">
        <v>22</v>
      </c>
      <c r="D32" s="88" t="s">
        <v>0</v>
      </c>
      <c r="E32" s="35">
        <v>105.486</v>
      </c>
      <c r="F32" s="35"/>
      <c r="G32" s="35">
        <f>E32+F32</f>
        <v>105.486</v>
      </c>
      <c r="H32" s="85"/>
      <c r="I32" s="35">
        <f t="shared" si="0"/>
        <v>105.486</v>
      </c>
      <c r="J32" s="27">
        <f t="shared" si="2"/>
        <v>0</v>
      </c>
      <c r="K32" s="142">
        <f>E32+E33</f>
        <v>111.03100000000001</v>
      </c>
      <c r="L32" s="142">
        <f>F32+F33</f>
        <v>0</v>
      </c>
      <c r="M32" s="142">
        <f>K32+L32</f>
        <v>111.03100000000001</v>
      </c>
      <c r="N32" s="142">
        <f>H32+H33</f>
        <v>0</v>
      </c>
      <c r="O32" s="142">
        <f>M32-N32</f>
        <v>111.03100000000001</v>
      </c>
      <c r="P32" s="143">
        <f>N32/M32</f>
        <v>0</v>
      </c>
      <c r="Q32" s="84" t="s">
        <v>82</v>
      </c>
    </row>
    <row r="33" spans="2:17">
      <c r="B33" s="146"/>
      <c r="C33" s="147"/>
      <c r="D33" s="88" t="s">
        <v>1</v>
      </c>
      <c r="E33" s="35">
        <v>5.5449999999999999</v>
      </c>
      <c r="F33" s="35"/>
      <c r="G33" s="35">
        <f>E33+F33+I32</f>
        <v>111.03100000000001</v>
      </c>
      <c r="H33" s="85"/>
      <c r="I33" s="35">
        <f t="shared" si="0"/>
        <v>111.03100000000001</v>
      </c>
      <c r="J33" s="27">
        <f t="shared" si="2"/>
        <v>0</v>
      </c>
      <c r="K33" s="142"/>
      <c r="L33" s="142"/>
      <c r="M33" s="142"/>
      <c r="N33" s="142"/>
      <c r="O33" s="142"/>
      <c r="P33" s="143"/>
      <c r="Q33" s="84" t="s">
        <v>82</v>
      </c>
    </row>
    <row r="34" spans="2:17">
      <c r="B34" s="146"/>
      <c r="C34" s="148" t="s">
        <v>20</v>
      </c>
      <c r="D34" s="88" t="s">
        <v>0</v>
      </c>
      <c r="E34" s="35">
        <v>589.14400000000001</v>
      </c>
      <c r="F34" s="35"/>
      <c r="G34" s="35">
        <f>E34+F34</f>
        <v>589.14400000000001</v>
      </c>
      <c r="H34" s="112">
        <v>92.554000000000002</v>
      </c>
      <c r="I34" s="35">
        <f t="shared" si="0"/>
        <v>496.59000000000003</v>
      </c>
      <c r="J34" s="27">
        <f t="shared" si="2"/>
        <v>0.15709911328978993</v>
      </c>
      <c r="K34" s="142">
        <f>E34+E35</f>
        <v>620.11300000000006</v>
      </c>
      <c r="L34" s="142">
        <f>F34+F35</f>
        <v>0</v>
      </c>
      <c r="M34" s="142">
        <f>K34+L34</f>
        <v>620.11300000000006</v>
      </c>
      <c r="N34" s="142">
        <f>H34+H35</f>
        <v>92.554000000000002</v>
      </c>
      <c r="O34" s="142">
        <f>M34-N34</f>
        <v>527.55900000000008</v>
      </c>
      <c r="P34" s="143">
        <f>N34/M34</f>
        <v>0.14925344251773465</v>
      </c>
      <c r="Q34" s="84" t="s">
        <v>82</v>
      </c>
    </row>
    <row r="35" spans="2:17">
      <c r="B35" s="146"/>
      <c r="C35" s="148"/>
      <c r="D35" s="88" t="s">
        <v>1</v>
      </c>
      <c r="E35" s="35">
        <v>30.969000000000001</v>
      </c>
      <c r="F35" s="35"/>
      <c r="G35" s="35">
        <f>E35+F35+I34</f>
        <v>527.55900000000008</v>
      </c>
      <c r="H35" s="85"/>
      <c r="I35" s="35">
        <f t="shared" si="0"/>
        <v>527.55900000000008</v>
      </c>
      <c r="J35" s="27">
        <f t="shared" si="2"/>
        <v>0</v>
      </c>
      <c r="K35" s="142"/>
      <c r="L35" s="142"/>
      <c r="M35" s="142"/>
      <c r="N35" s="142"/>
      <c r="O35" s="142"/>
      <c r="P35" s="143"/>
      <c r="Q35" s="84" t="s">
        <v>82</v>
      </c>
    </row>
    <row r="36" spans="2:17" ht="15.75" customHeight="1">
      <c r="B36" s="60"/>
      <c r="C36" s="61"/>
      <c r="D36" s="54"/>
      <c r="E36" s="55"/>
      <c r="F36" s="55"/>
      <c r="G36" s="55"/>
      <c r="H36" s="55"/>
      <c r="I36" s="55"/>
      <c r="J36" s="56"/>
      <c r="K36" s="55"/>
      <c r="L36" s="57">
        <f>SUM(L24:L35)</f>
        <v>-4336</v>
      </c>
      <c r="M36" s="57"/>
      <c r="N36" s="57"/>
      <c r="O36" s="57"/>
      <c r="P36" s="58"/>
      <c r="Q36" s="83"/>
    </row>
    <row r="37" spans="2:17">
      <c r="B37" s="146" t="s">
        <v>144</v>
      </c>
      <c r="C37" s="148" t="s">
        <v>154</v>
      </c>
      <c r="D37" s="43" t="s">
        <v>0</v>
      </c>
      <c r="E37" s="35">
        <v>20</v>
      </c>
      <c r="F37" s="35"/>
      <c r="G37" s="35">
        <f>E37+F37</f>
        <v>20</v>
      </c>
      <c r="H37" s="112">
        <v>2.96</v>
      </c>
      <c r="I37" s="35">
        <f t="shared" si="0"/>
        <v>17.04</v>
      </c>
      <c r="J37" s="27">
        <f>H37/G37</f>
        <v>0.14799999999999999</v>
      </c>
      <c r="K37" s="142">
        <f>E37+E38</f>
        <v>21</v>
      </c>
      <c r="L37" s="142">
        <f>F37+F38</f>
        <v>0</v>
      </c>
      <c r="M37" s="142">
        <f>K37+L37</f>
        <v>21</v>
      </c>
      <c r="N37" s="142">
        <f>H37+H38</f>
        <v>2.96</v>
      </c>
      <c r="O37" s="142">
        <f>M37-N37</f>
        <v>18.04</v>
      </c>
      <c r="P37" s="143">
        <f>N37/M37</f>
        <v>0.14095238095238094</v>
      </c>
      <c r="Q37" s="29" t="s">
        <v>82</v>
      </c>
    </row>
    <row r="38" spans="2:17">
      <c r="B38" s="146"/>
      <c r="C38" s="148"/>
      <c r="D38" s="43" t="s">
        <v>1</v>
      </c>
      <c r="E38" s="35">
        <v>1</v>
      </c>
      <c r="F38" s="35"/>
      <c r="G38" s="35">
        <f>E38+F38+I37</f>
        <v>18.04</v>
      </c>
      <c r="H38" s="35"/>
      <c r="I38" s="35">
        <f t="shared" si="0"/>
        <v>18.04</v>
      </c>
      <c r="J38" s="27">
        <f>H38/G38</f>
        <v>0</v>
      </c>
      <c r="K38" s="142"/>
      <c r="L38" s="142"/>
      <c r="M38" s="142"/>
      <c r="N38" s="142"/>
      <c r="O38" s="142"/>
      <c r="P38" s="143"/>
      <c r="Q38" s="84" t="s">
        <v>82</v>
      </c>
    </row>
    <row r="39" spans="2:17" ht="15.75" customHeight="1">
      <c r="B39" s="52"/>
      <c r="C39" s="61"/>
      <c r="D39" s="54"/>
      <c r="E39" s="55"/>
      <c r="F39" s="55"/>
      <c r="G39" s="55"/>
      <c r="H39" s="55"/>
      <c r="I39" s="55"/>
      <c r="J39" s="56"/>
      <c r="K39" s="55"/>
      <c r="L39" s="57">
        <f>SUM(L37)</f>
        <v>0</v>
      </c>
      <c r="M39" s="57"/>
      <c r="N39" s="57"/>
      <c r="O39" s="57"/>
      <c r="P39" s="58"/>
      <c r="Q39" s="83"/>
    </row>
    <row r="40" spans="2:17">
      <c r="B40" s="146" t="s">
        <v>145</v>
      </c>
      <c r="C40" s="148" t="s">
        <v>155</v>
      </c>
      <c r="D40" s="43" t="s">
        <v>0</v>
      </c>
      <c r="E40" s="35">
        <v>159</v>
      </c>
      <c r="F40" s="35"/>
      <c r="G40" s="35">
        <f>E40+F40</f>
        <v>159</v>
      </c>
      <c r="H40" s="112">
        <v>160.61500000000001</v>
      </c>
      <c r="I40" s="35">
        <f t="shared" si="0"/>
        <v>-1.6150000000000091</v>
      </c>
      <c r="J40" s="27">
        <f>H40/G40</f>
        <v>1.0101572327044026</v>
      </c>
      <c r="K40" s="142">
        <f>E40+E41</f>
        <v>167</v>
      </c>
      <c r="L40" s="142">
        <f>F40+F41</f>
        <v>0</v>
      </c>
      <c r="M40" s="142">
        <f>K40+L40</f>
        <v>167</v>
      </c>
      <c r="N40" s="142">
        <f>H40+H41</f>
        <v>160.61500000000001</v>
      </c>
      <c r="O40" s="142">
        <f>M40-N40</f>
        <v>6.3849999999999909</v>
      </c>
      <c r="P40" s="143">
        <f>N40/M40</f>
        <v>0.96176646706586832</v>
      </c>
      <c r="Q40" s="29">
        <v>44278</v>
      </c>
    </row>
    <row r="41" spans="2:17">
      <c r="B41" s="146"/>
      <c r="C41" s="148"/>
      <c r="D41" s="43" t="s">
        <v>1</v>
      </c>
      <c r="E41" s="35">
        <v>8</v>
      </c>
      <c r="F41" s="35"/>
      <c r="G41" s="35">
        <f>E41+F41+I40</f>
        <v>6.3849999999999909</v>
      </c>
      <c r="H41" s="35"/>
      <c r="I41" s="35">
        <f t="shared" si="0"/>
        <v>6.3849999999999909</v>
      </c>
      <c r="J41" s="27">
        <f>H41/G41</f>
        <v>0</v>
      </c>
      <c r="K41" s="142"/>
      <c r="L41" s="142"/>
      <c r="M41" s="142"/>
      <c r="N41" s="142"/>
      <c r="O41" s="142"/>
      <c r="P41" s="143"/>
      <c r="Q41" s="84" t="s">
        <v>82</v>
      </c>
    </row>
    <row r="42" spans="2:17" ht="15.75" customHeight="1">
      <c r="B42" s="52"/>
      <c r="C42" s="61"/>
      <c r="D42" s="54"/>
      <c r="E42" s="55"/>
      <c r="F42" s="55"/>
      <c r="G42" s="55"/>
      <c r="H42" s="55"/>
      <c r="I42" s="55"/>
      <c r="J42" s="56"/>
      <c r="K42" s="55"/>
      <c r="L42" s="57">
        <f>SUM(L40)</f>
        <v>0</v>
      </c>
      <c r="M42" s="57"/>
      <c r="N42" s="57"/>
      <c r="O42" s="57"/>
      <c r="P42" s="58"/>
      <c r="Q42" s="83"/>
    </row>
    <row r="43" spans="2:17">
      <c r="B43" s="146" t="s">
        <v>146</v>
      </c>
      <c r="C43" s="148" t="s">
        <v>156</v>
      </c>
      <c r="D43" s="43" t="s">
        <v>180</v>
      </c>
      <c r="E43" s="35">
        <v>10337</v>
      </c>
      <c r="F43" s="35"/>
      <c r="G43" s="35">
        <f>E43+F43</f>
        <v>10337</v>
      </c>
      <c r="H43" s="112">
        <v>10806.83</v>
      </c>
      <c r="I43" s="35">
        <f>G43-H43</f>
        <v>-469.82999999999993</v>
      </c>
      <c r="J43" s="27">
        <f>H43/G43</f>
        <v>1.0454512914772178</v>
      </c>
      <c r="K43" s="142">
        <f>E43+E44</f>
        <v>10881</v>
      </c>
      <c r="L43" s="142">
        <f>F43+F44</f>
        <v>0</v>
      </c>
      <c r="M43" s="142">
        <f>K43+L43</f>
        <v>10881</v>
      </c>
      <c r="N43" s="142">
        <f>H43+H44</f>
        <v>10806.83</v>
      </c>
      <c r="O43" s="142">
        <f>M43-N43</f>
        <v>74.170000000000073</v>
      </c>
      <c r="P43" s="143">
        <f>N43/M43</f>
        <v>0.99318353092546641</v>
      </c>
      <c r="Q43" s="29">
        <v>44208</v>
      </c>
    </row>
    <row r="44" spans="2:17">
      <c r="B44" s="146"/>
      <c r="C44" s="148"/>
      <c r="D44" s="43" t="s">
        <v>1</v>
      </c>
      <c r="E44" s="35">
        <v>544</v>
      </c>
      <c r="F44" s="35"/>
      <c r="G44" s="35">
        <f>E44+F44+I43</f>
        <v>74.170000000000073</v>
      </c>
      <c r="H44" s="35"/>
      <c r="I44" s="35">
        <f t="shared" si="0"/>
        <v>74.170000000000073</v>
      </c>
      <c r="J44" s="27">
        <f>H44/G44</f>
        <v>0</v>
      </c>
      <c r="K44" s="142"/>
      <c r="L44" s="142"/>
      <c r="M44" s="142"/>
      <c r="N44" s="142"/>
      <c r="O44" s="142"/>
      <c r="P44" s="143"/>
      <c r="Q44" s="29" t="s">
        <v>82</v>
      </c>
    </row>
    <row r="45" spans="2:17" ht="15.75" customHeight="1">
      <c r="B45" s="52"/>
      <c r="C45" s="61"/>
      <c r="D45" s="54"/>
      <c r="E45" s="55"/>
      <c r="F45" s="55"/>
      <c r="G45" s="55"/>
      <c r="H45" s="55"/>
      <c r="I45" s="55"/>
      <c r="J45" s="56"/>
      <c r="K45" s="55"/>
      <c r="L45" s="57">
        <f>SUM(L43)</f>
        <v>0</v>
      </c>
      <c r="M45" s="57"/>
      <c r="N45" s="57"/>
      <c r="O45" s="57"/>
      <c r="P45" s="58"/>
      <c r="Q45" s="83"/>
    </row>
    <row r="46" spans="2:17">
      <c r="B46" s="146" t="s">
        <v>147</v>
      </c>
      <c r="C46" s="148" t="s">
        <v>157</v>
      </c>
      <c r="D46" s="43" t="s">
        <v>0</v>
      </c>
      <c r="E46" s="35">
        <v>233</v>
      </c>
      <c r="F46" s="35"/>
      <c r="G46" s="35">
        <f>E46+F46</f>
        <v>233</v>
      </c>
      <c r="H46" s="112">
        <v>51.064</v>
      </c>
      <c r="I46" s="35">
        <f t="shared" si="0"/>
        <v>181.93600000000001</v>
      </c>
      <c r="J46" s="27">
        <f>H46/G46</f>
        <v>0.21915879828326179</v>
      </c>
      <c r="K46" s="142">
        <f>E46+E47</f>
        <v>245</v>
      </c>
      <c r="L46" s="142">
        <f>F46+F47</f>
        <v>0</v>
      </c>
      <c r="M46" s="142">
        <f>K46+L46</f>
        <v>245</v>
      </c>
      <c r="N46" s="142">
        <f>H46+H47</f>
        <v>51.064</v>
      </c>
      <c r="O46" s="142">
        <f>M46-N46</f>
        <v>193.93600000000001</v>
      </c>
      <c r="P46" s="143">
        <f>N46/M46</f>
        <v>0.20842448979591838</v>
      </c>
      <c r="Q46" s="29" t="s">
        <v>82</v>
      </c>
    </row>
    <row r="47" spans="2:17">
      <c r="B47" s="146"/>
      <c r="C47" s="148"/>
      <c r="D47" s="43" t="s">
        <v>1</v>
      </c>
      <c r="E47" s="35">
        <v>12</v>
      </c>
      <c r="F47" s="35"/>
      <c r="G47" s="35">
        <f>E47+F47+I46</f>
        <v>193.93600000000001</v>
      </c>
      <c r="H47" s="35"/>
      <c r="I47" s="35">
        <f t="shared" si="0"/>
        <v>193.93600000000001</v>
      </c>
      <c r="J47" s="27">
        <f>H47/G47</f>
        <v>0</v>
      </c>
      <c r="K47" s="142"/>
      <c r="L47" s="142"/>
      <c r="M47" s="142"/>
      <c r="N47" s="142"/>
      <c r="O47" s="142"/>
      <c r="P47" s="143"/>
      <c r="Q47" s="29" t="s">
        <v>82</v>
      </c>
    </row>
    <row r="48" spans="2:17" ht="15.75" customHeight="1">
      <c r="B48" s="52"/>
      <c r="C48" s="61"/>
      <c r="D48" s="54"/>
      <c r="E48" s="55"/>
      <c r="F48" s="55"/>
      <c r="G48" s="55"/>
      <c r="H48" s="55"/>
      <c r="I48" s="55"/>
      <c r="J48" s="56"/>
      <c r="K48" s="55"/>
      <c r="L48" s="57">
        <f>SUM(L46)</f>
        <v>0</v>
      </c>
      <c r="M48" s="57"/>
      <c r="N48" s="57"/>
      <c r="O48" s="57"/>
      <c r="P48" s="58"/>
      <c r="Q48" s="83"/>
    </row>
    <row r="49" spans="2:17">
      <c r="B49" s="146" t="s">
        <v>148</v>
      </c>
      <c r="C49" s="148" t="s">
        <v>158</v>
      </c>
      <c r="D49" s="43" t="s">
        <v>0</v>
      </c>
      <c r="E49" s="35">
        <v>1208</v>
      </c>
      <c r="F49" s="35"/>
      <c r="G49" s="35">
        <f>E49+F49</f>
        <v>1208</v>
      </c>
      <c r="H49" s="112">
        <v>1434.623</v>
      </c>
      <c r="I49" s="35">
        <f t="shared" si="0"/>
        <v>-226.62300000000005</v>
      </c>
      <c r="J49" s="27">
        <f>H49/G49</f>
        <v>1.1876018211920529</v>
      </c>
      <c r="K49" s="142">
        <f>E49+E50</f>
        <v>1272</v>
      </c>
      <c r="L49" s="142">
        <f>F49+F50</f>
        <v>0</v>
      </c>
      <c r="M49" s="142">
        <f>K49+L49</f>
        <v>1272</v>
      </c>
      <c r="N49" s="142">
        <f>H49+H50</f>
        <v>1434.623</v>
      </c>
      <c r="O49" s="142">
        <f>M49-N49</f>
        <v>-162.62300000000005</v>
      </c>
      <c r="P49" s="143">
        <f>N49/M49</f>
        <v>1.1278482704402517</v>
      </c>
      <c r="Q49" s="29">
        <v>44240</v>
      </c>
    </row>
    <row r="50" spans="2:17">
      <c r="B50" s="146"/>
      <c r="C50" s="148"/>
      <c r="D50" s="43" t="s">
        <v>1</v>
      </c>
      <c r="E50" s="35">
        <v>64</v>
      </c>
      <c r="F50" s="35"/>
      <c r="G50" s="35">
        <f>E50+F50+I49</f>
        <v>-162.62300000000005</v>
      </c>
      <c r="H50" s="35"/>
      <c r="I50" s="35">
        <f t="shared" si="0"/>
        <v>-162.62300000000005</v>
      </c>
      <c r="J50" s="27">
        <f>H50/G50</f>
        <v>0</v>
      </c>
      <c r="K50" s="142"/>
      <c r="L50" s="142"/>
      <c r="M50" s="142"/>
      <c r="N50" s="142"/>
      <c r="O50" s="142"/>
      <c r="P50" s="143"/>
      <c r="Q50" s="29" t="s">
        <v>82</v>
      </c>
    </row>
    <row r="51" spans="2:17" ht="15.75" customHeight="1">
      <c r="B51" s="52"/>
      <c r="C51" s="61"/>
      <c r="D51" s="54"/>
      <c r="E51" s="55"/>
      <c r="F51" s="55"/>
      <c r="G51" s="55"/>
      <c r="H51" s="55"/>
      <c r="I51" s="55"/>
      <c r="J51" s="56"/>
      <c r="K51" s="55"/>
      <c r="L51" s="57">
        <f>SUM(L49)</f>
        <v>0</v>
      </c>
      <c r="M51" s="57"/>
      <c r="N51" s="57"/>
      <c r="O51" s="57"/>
      <c r="P51" s="58"/>
      <c r="Q51" s="83"/>
    </row>
    <row r="52" spans="2:17">
      <c r="B52" s="146" t="s">
        <v>149</v>
      </c>
      <c r="C52" s="147" t="s">
        <v>25</v>
      </c>
      <c r="D52" s="43" t="s">
        <v>0</v>
      </c>
      <c r="E52" s="35">
        <v>123.786</v>
      </c>
      <c r="F52" s="35">
        <f>-120</f>
        <v>-120</v>
      </c>
      <c r="G52" s="35">
        <f>E52+F52</f>
        <v>3.7860000000000014</v>
      </c>
      <c r="H52" s="35"/>
      <c r="I52" s="35">
        <f t="shared" ref="I52:I57" si="3">G52-H52</f>
        <v>3.7860000000000014</v>
      </c>
      <c r="J52" s="27">
        <f>H52/G52</f>
        <v>0</v>
      </c>
      <c r="K52" s="142">
        <f>E52+E53</f>
        <v>130.30699999999999</v>
      </c>
      <c r="L52" s="142">
        <f>F52+F53</f>
        <v>-120</v>
      </c>
      <c r="M52" s="142">
        <f>K52+L52</f>
        <v>10.306999999999988</v>
      </c>
      <c r="N52" s="142">
        <f>H52+H53</f>
        <v>0</v>
      </c>
      <c r="O52" s="142">
        <f>M52-N52</f>
        <v>10.306999999999988</v>
      </c>
      <c r="P52" s="143">
        <f>N52/M52</f>
        <v>0</v>
      </c>
      <c r="Q52" s="84" t="s">
        <v>82</v>
      </c>
    </row>
    <row r="53" spans="2:17">
      <c r="B53" s="146"/>
      <c r="C53" s="147"/>
      <c r="D53" s="43" t="s">
        <v>1</v>
      </c>
      <c r="E53" s="35">
        <v>6.5209999999999999</v>
      </c>
      <c r="F53" s="35"/>
      <c r="G53" s="35">
        <f>E53+F53+I52</f>
        <v>10.307000000000002</v>
      </c>
      <c r="H53" s="35"/>
      <c r="I53" s="35">
        <f t="shared" si="3"/>
        <v>10.307000000000002</v>
      </c>
      <c r="J53" s="27">
        <f>H53/G53</f>
        <v>0</v>
      </c>
      <c r="K53" s="142"/>
      <c r="L53" s="142"/>
      <c r="M53" s="142"/>
      <c r="N53" s="142"/>
      <c r="O53" s="142"/>
      <c r="P53" s="143"/>
      <c r="Q53" s="84" t="s">
        <v>82</v>
      </c>
    </row>
    <row r="54" spans="2:17">
      <c r="B54" s="146"/>
      <c r="C54" s="147" t="s">
        <v>26</v>
      </c>
      <c r="D54" s="43" t="s">
        <v>0</v>
      </c>
      <c r="E54" s="35">
        <v>584.81299999999999</v>
      </c>
      <c r="F54" s="35">
        <f>-610-5</f>
        <v>-615</v>
      </c>
      <c r="G54" s="35">
        <f>E54+F54</f>
        <v>-30.187000000000012</v>
      </c>
      <c r="H54" s="35"/>
      <c r="I54" s="35">
        <f t="shared" si="3"/>
        <v>-30.187000000000012</v>
      </c>
      <c r="J54" s="27">
        <f t="shared" ref="J54:J67" si="4">H54/G54</f>
        <v>0</v>
      </c>
      <c r="K54" s="142">
        <f>E54+E55</f>
        <v>615.61900000000003</v>
      </c>
      <c r="L54" s="142">
        <f>F54+F55</f>
        <v>-615</v>
      </c>
      <c r="M54" s="142">
        <f>K54+L54</f>
        <v>0.61900000000002819</v>
      </c>
      <c r="N54" s="142">
        <f>H54+H55</f>
        <v>0</v>
      </c>
      <c r="O54" s="142">
        <f>M54-N54</f>
        <v>0.61900000000002819</v>
      </c>
      <c r="P54" s="143">
        <f>N54/M54</f>
        <v>0</v>
      </c>
      <c r="Q54" s="29">
        <v>44252</v>
      </c>
    </row>
    <row r="55" spans="2:17">
      <c r="B55" s="146"/>
      <c r="C55" s="147"/>
      <c r="D55" s="43" t="s">
        <v>1</v>
      </c>
      <c r="E55" s="35">
        <v>30.806000000000001</v>
      </c>
      <c r="F55" s="35"/>
      <c r="G55" s="35">
        <f>+I54+E55+F55</f>
        <v>0.61899999999998911</v>
      </c>
      <c r="H55" s="35"/>
      <c r="I55" s="35">
        <f t="shared" si="3"/>
        <v>0.61899999999998911</v>
      </c>
      <c r="J55" s="27">
        <v>0</v>
      </c>
      <c r="K55" s="142"/>
      <c r="L55" s="142"/>
      <c r="M55" s="142"/>
      <c r="N55" s="142"/>
      <c r="O55" s="142"/>
      <c r="P55" s="143"/>
      <c r="Q55" s="84" t="s">
        <v>82</v>
      </c>
    </row>
    <row r="56" spans="2:17">
      <c r="B56" s="146"/>
      <c r="C56" s="147" t="s">
        <v>27</v>
      </c>
      <c r="D56" s="43" t="s">
        <v>0</v>
      </c>
      <c r="E56" s="35">
        <v>3570.1190000000001</v>
      </c>
      <c r="F56" s="35">
        <f>-3690</f>
        <v>-3690</v>
      </c>
      <c r="G56" s="35">
        <f>E56+F56</f>
        <v>-119.88099999999986</v>
      </c>
      <c r="H56" s="35"/>
      <c r="I56" s="35">
        <f t="shared" si="3"/>
        <v>-119.88099999999986</v>
      </c>
      <c r="J56" s="27">
        <f t="shared" si="4"/>
        <v>0</v>
      </c>
      <c r="K56" s="142">
        <f>E56+E57</f>
        <v>3758.183</v>
      </c>
      <c r="L56" s="142">
        <f>F56+F57</f>
        <v>-3690</v>
      </c>
      <c r="M56" s="142">
        <f>K56+L56</f>
        <v>68.182999999999993</v>
      </c>
      <c r="N56" s="142">
        <f>H56+H57</f>
        <v>0</v>
      </c>
      <c r="O56" s="142">
        <f>M56-N56</f>
        <v>68.182999999999993</v>
      </c>
      <c r="P56" s="143">
        <f>N56/M56</f>
        <v>0</v>
      </c>
      <c r="Q56" s="29">
        <v>44264</v>
      </c>
    </row>
    <row r="57" spans="2:17">
      <c r="B57" s="146"/>
      <c r="C57" s="147"/>
      <c r="D57" s="43" t="s">
        <v>1</v>
      </c>
      <c r="E57" s="35">
        <v>188.06399999999999</v>
      </c>
      <c r="F57" s="35"/>
      <c r="G57" s="35">
        <f>E57+F57+I56</f>
        <v>68.183000000000135</v>
      </c>
      <c r="H57" s="35"/>
      <c r="I57" s="35">
        <f t="shared" si="3"/>
        <v>68.183000000000135</v>
      </c>
      <c r="J57" s="27">
        <f t="shared" si="4"/>
        <v>0</v>
      </c>
      <c r="K57" s="142"/>
      <c r="L57" s="142"/>
      <c r="M57" s="142"/>
      <c r="N57" s="142"/>
      <c r="O57" s="142"/>
      <c r="P57" s="143"/>
      <c r="Q57" s="84" t="s">
        <v>82</v>
      </c>
    </row>
    <row r="58" spans="2:17">
      <c r="B58" s="146"/>
      <c r="C58" s="147" t="s">
        <v>28</v>
      </c>
      <c r="D58" s="43" t="s">
        <v>0</v>
      </c>
      <c r="E58" s="35">
        <v>596.58000000000004</v>
      </c>
      <c r="F58" s="35">
        <f>-620</f>
        <v>-620</v>
      </c>
      <c r="G58" s="35">
        <f>E58+F58</f>
        <v>-23.419999999999959</v>
      </c>
      <c r="H58" s="35"/>
      <c r="I58" s="35">
        <f t="shared" si="0"/>
        <v>-23.419999999999959</v>
      </c>
      <c r="J58" s="27">
        <f>H58/G58</f>
        <v>0</v>
      </c>
      <c r="K58" s="142">
        <f>E58+E59</f>
        <v>628.00600000000009</v>
      </c>
      <c r="L58" s="142">
        <f>F58+F59</f>
        <v>-620</v>
      </c>
      <c r="M58" s="142">
        <f>K58+L58</f>
        <v>8.0060000000000855</v>
      </c>
      <c r="N58" s="142">
        <f>H58+H59</f>
        <v>0</v>
      </c>
      <c r="O58" s="142">
        <f>M58-N58</f>
        <v>8.0060000000000855</v>
      </c>
      <c r="P58" s="143">
        <f>((N58+L58)/K58)*-1</f>
        <v>0.98725171415559709</v>
      </c>
      <c r="Q58" s="29">
        <v>44252</v>
      </c>
    </row>
    <row r="59" spans="2:17" ht="12" customHeight="1">
      <c r="B59" s="146"/>
      <c r="C59" s="147"/>
      <c r="D59" s="43" t="s">
        <v>1</v>
      </c>
      <c r="E59" s="35">
        <v>31.425999999999998</v>
      </c>
      <c r="F59" s="35"/>
      <c r="G59" s="35">
        <f>E59+F59+I58</f>
        <v>8.0060000000000393</v>
      </c>
      <c r="H59" s="35"/>
      <c r="I59" s="35">
        <f t="shared" si="0"/>
        <v>8.0060000000000393</v>
      </c>
      <c r="J59" s="27">
        <f>H59/G59</f>
        <v>0</v>
      </c>
      <c r="K59" s="142"/>
      <c r="L59" s="142"/>
      <c r="M59" s="142"/>
      <c r="N59" s="142"/>
      <c r="O59" s="142"/>
      <c r="P59" s="143"/>
      <c r="Q59" s="84" t="s">
        <v>82</v>
      </c>
    </row>
    <row r="60" spans="2:17">
      <c r="B60" s="146"/>
      <c r="C60" s="147" t="s">
        <v>29</v>
      </c>
      <c r="D60" s="43" t="s">
        <v>0</v>
      </c>
      <c r="E60" s="35">
        <v>1891.6</v>
      </c>
      <c r="F60" s="35">
        <f>-1991</f>
        <v>-1991</v>
      </c>
      <c r="G60" s="35">
        <f>E60+F60</f>
        <v>-99.400000000000091</v>
      </c>
      <c r="H60" s="35"/>
      <c r="I60" s="35">
        <f t="shared" si="0"/>
        <v>-99.400000000000091</v>
      </c>
      <c r="J60" s="27">
        <f t="shared" si="4"/>
        <v>0</v>
      </c>
      <c r="K60" s="142">
        <f>E60+E61</f>
        <v>1991.2439999999999</v>
      </c>
      <c r="L60" s="142">
        <f>F60+F61</f>
        <v>-1991</v>
      </c>
      <c r="M60" s="142">
        <f>K60+L60</f>
        <v>0.24399999999991451</v>
      </c>
      <c r="N60" s="142">
        <f>H60+H61</f>
        <v>0</v>
      </c>
      <c r="O60" s="142">
        <f>M60-N60</f>
        <v>0.24399999999991451</v>
      </c>
      <c r="P60" s="143">
        <f>N60/M60</f>
        <v>0</v>
      </c>
      <c r="Q60" s="29">
        <v>44266</v>
      </c>
    </row>
    <row r="61" spans="2:17">
      <c r="B61" s="146"/>
      <c r="C61" s="147"/>
      <c r="D61" s="43" t="s">
        <v>1</v>
      </c>
      <c r="E61" s="35">
        <v>99.644000000000005</v>
      </c>
      <c r="F61" s="35"/>
      <c r="G61" s="35">
        <f>E61+F61+I60</f>
        <v>0.24399999999991451</v>
      </c>
      <c r="H61" s="35"/>
      <c r="I61" s="35">
        <f t="shared" si="0"/>
        <v>0.24399999999991451</v>
      </c>
      <c r="J61" s="27">
        <f t="shared" si="4"/>
        <v>0</v>
      </c>
      <c r="K61" s="142"/>
      <c r="L61" s="142"/>
      <c r="M61" s="142"/>
      <c r="N61" s="142"/>
      <c r="O61" s="142"/>
      <c r="P61" s="143"/>
      <c r="Q61" s="29">
        <v>44266</v>
      </c>
    </row>
    <row r="62" spans="2:17">
      <c r="B62" s="146"/>
      <c r="C62" s="147" t="s">
        <v>101</v>
      </c>
      <c r="D62" s="43" t="s">
        <v>0</v>
      </c>
      <c r="E62" s="35">
        <v>898.95299999999997</v>
      </c>
      <c r="F62" s="35">
        <f>-946.309</f>
        <v>-946.30899999999997</v>
      </c>
      <c r="G62" s="35">
        <f>E62+F62</f>
        <v>-47.355999999999995</v>
      </c>
      <c r="H62" s="35"/>
      <c r="I62" s="35">
        <f t="shared" si="0"/>
        <v>-47.355999999999995</v>
      </c>
      <c r="J62" s="27">
        <f t="shared" si="4"/>
        <v>0</v>
      </c>
      <c r="K62" s="142">
        <f>E62+E63</f>
        <v>946.30899999999997</v>
      </c>
      <c r="L62" s="142">
        <f>F62+F63</f>
        <v>-946.30899999999997</v>
      </c>
      <c r="M62" s="142">
        <f>K62+L62</f>
        <v>0</v>
      </c>
      <c r="N62" s="142">
        <f>H62+H63</f>
        <v>0</v>
      </c>
      <c r="O62" s="142">
        <f>M62-N62</f>
        <v>0</v>
      </c>
      <c r="P62" s="143" t="e">
        <f>N62/M62</f>
        <v>#DIV/0!</v>
      </c>
      <c r="Q62" s="29">
        <v>44252</v>
      </c>
    </row>
    <row r="63" spans="2:17">
      <c r="B63" s="146"/>
      <c r="C63" s="147"/>
      <c r="D63" s="43" t="s">
        <v>1</v>
      </c>
      <c r="E63" s="35">
        <v>47.356000000000002</v>
      </c>
      <c r="F63" s="35"/>
      <c r="G63" s="35">
        <f>E63+F63+I62</f>
        <v>0</v>
      </c>
      <c r="H63" s="35"/>
      <c r="I63" s="35">
        <f t="shared" si="0"/>
        <v>0</v>
      </c>
      <c r="J63" s="27">
        <v>0</v>
      </c>
      <c r="K63" s="142"/>
      <c r="L63" s="142"/>
      <c r="M63" s="142"/>
      <c r="N63" s="142"/>
      <c r="O63" s="142"/>
      <c r="P63" s="143"/>
      <c r="Q63" s="29">
        <v>44252</v>
      </c>
    </row>
    <row r="64" spans="2:17">
      <c r="B64" s="146"/>
      <c r="C64" s="147" t="s">
        <v>92</v>
      </c>
      <c r="D64" s="43" t="s">
        <v>0</v>
      </c>
      <c r="E64" s="35">
        <v>120.604</v>
      </c>
      <c r="F64" s="35">
        <f>-126</f>
        <v>-126</v>
      </c>
      <c r="G64" s="35">
        <f>E64+F64</f>
        <v>-5.3960000000000008</v>
      </c>
      <c r="H64" s="35"/>
      <c r="I64" s="35">
        <f t="shared" si="0"/>
        <v>-5.3960000000000008</v>
      </c>
      <c r="J64" s="27">
        <f t="shared" si="4"/>
        <v>0</v>
      </c>
      <c r="K64" s="142">
        <f>E64+E65</f>
        <v>126.95699999999999</v>
      </c>
      <c r="L64" s="142">
        <f>F64+F65</f>
        <v>-126</v>
      </c>
      <c r="M64" s="142">
        <f>K64+L64</f>
        <v>0.95699999999999363</v>
      </c>
      <c r="N64" s="142">
        <f>H64+H65</f>
        <v>0</v>
      </c>
      <c r="O64" s="142">
        <f>M64-N64</f>
        <v>0.95699999999999363</v>
      </c>
      <c r="P64" s="143">
        <f>N64/M64</f>
        <v>0</v>
      </c>
      <c r="Q64" s="84" t="s">
        <v>82</v>
      </c>
    </row>
    <row r="65" spans="2:17">
      <c r="B65" s="146"/>
      <c r="C65" s="147"/>
      <c r="D65" s="43" t="s">
        <v>1</v>
      </c>
      <c r="E65" s="35">
        <v>6.3529999999999998</v>
      </c>
      <c r="F65" s="35"/>
      <c r="G65" s="35">
        <f>E65+F65+I64</f>
        <v>0.95699999999999896</v>
      </c>
      <c r="H65" s="35"/>
      <c r="I65" s="35">
        <f t="shared" si="0"/>
        <v>0.95699999999999896</v>
      </c>
      <c r="J65" s="27">
        <f t="shared" si="4"/>
        <v>0</v>
      </c>
      <c r="K65" s="142"/>
      <c r="L65" s="142"/>
      <c r="M65" s="142"/>
      <c r="N65" s="142"/>
      <c r="O65" s="142"/>
      <c r="P65" s="143"/>
      <c r="Q65" s="84" t="s">
        <v>82</v>
      </c>
    </row>
    <row r="66" spans="2:17">
      <c r="B66" s="146"/>
      <c r="C66" s="147" t="s">
        <v>20</v>
      </c>
      <c r="D66" s="43" t="s">
        <v>0</v>
      </c>
      <c r="E66" s="35">
        <v>300.541</v>
      </c>
      <c r="F66" s="35"/>
      <c r="G66" s="35">
        <f>E66+F66</f>
        <v>300.541</v>
      </c>
      <c r="H66" s="112">
        <v>0.85</v>
      </c>
      <c r="I66" s="35">
        <f t="shared" si="0"/>
        <v>299.69099999999997</v>
      </c>
      <c r="J66" s="27">
        <f t="shared" si="4"/>
        <v>2.8282330863343102E-3</v>
      </c>
      <c r="K66" s="142">
        <f>E66+E67</f>
        <v>316.37099999999998</v>
      </c>
      <c r="L66" s="142">
        <f>F66+F67</f>
        <v>0</v>
      </c>
      <c r="M66" s="142">
        <f>K66+L66</f>
        <v>316.37099999999998</v>
      </c>
      <c r="N66" s="142">
        <f>H66+H67</f>
        <v>0.85</v>
      </c>
      <c r="O66" s="142">
        <f>M66-N66</f>
        <v>315.52099999999996</v>
      </c>
      <c r="P66" s="143">
        <f>N66/M66</f>
        <v>2.6867190734928296E-3</v>
      </c>
      <c r="Q66" s="84" t="s">
        <v>82</v>
      </c>
    </row>
    <row r="67" spans="2:17">
      <c r="B67" s="146"/>
      <c r="C67" s="147"/>
      <c r="D67" s="43" t="s">
        <v>1</v>
      </c>
      <c r="E67" s="35">
        <v>15.83</v>
      </c>
      <c r="F67" s="35"/>
      <c r="G67" s="35">
        <f>E67+F67+I66</f>
        <v>315.52099999999996</v>
      </c>
      <c r="H67" s="35"/>
      <c r="I67" s="35">
        <f t="shared" si="0"/>
        <v>315.52099999999996</v>
      </c>
      <c r="J67" s="27">
        <f t="shared" si="4"/>
        <v>0</v>
      </c>
      <c r="K67" s="142"/>
      <c r="L67" s="142"/>
      <c r="M67" s="142"/>
      <c r="N67" s="142"/>
      <c r="O67" s="142"/>
      <c r="P67" s="143"/>
      <c r="Q67" s="84" t="s">
        <v>82</v>
      </c>
    </row>
    <row r="68" spans="2:17" ht="15.75" customHeight="1">
      <c r="C68" s="61"/>
      <c r="D68" s="54"/>
      <c r="E68" s="55"/>
      <c r="F68" s="55"/>
      <c r="G68" s="55"/>
      <c r="H68" s="55"/>
      <c r="I68" s="55"/>
      <c r="J68" s="56"/>
      <c r="K68" s="55"/>
      <c r="L68" s="57"/>
      <c r="M68" s="57"/>
      <c r="N68" s="57"/>
      <c r="O68" s="57"/>
      <c r="P68" s="58"/>
      <c r="Q68" s="46"/>
    </row>
    <row r="69" spans="2:17">
      <c r="B69" s="43" t="s">
        <v>32</v>
      </c>
      <c r="C69" s="39" t="s">
        <v>159</v>
      </c>
      <c r="D69" s="43" t="s">
        <v>31</v>
      </c>
      <c r="E69" s="35">
        <v>327</v>
      </c>
      <c r="F69" s="35"/>
      <c r="G69" s="35">
        <f>E69+F69</f>
        <v>327</v>
      </c>
      <c r="H69" s="112">
        <v>3.9620000000000002</v>
      </c>
      <c r="I69" s="35">
        <f>G69-H69</f>
        <v>323.03800000000001</v>
      </c>
      <c r="J69" s="27">
        <f>H69/G69</f>
        <v>1.2116207951070337E-2</v>
      </c>
      <c r="K69" s="35">
        <f>E69</f>
        <v>327</v>
      </c>
      <c r="L69" s="35">
        <f>F69</f>
        <v>0</v>
      </c>
      <c r="M69" s="35">
        <f>K69+L69</f>
        <v>327</v>
      </c>
      <c r="N69" s="35">
        <f>H69</f>
        <v>3.9620000000000002</v>
      </c>
      <c r="O69" s="35">
        <f>M69-N69</f>
        <v>323.03800000000001</v>
      </c>
      <c r="P69" s="36">
        <f>N69/M69</f>
        <v>1.2116207951070337E-2</v>
      </c>
      <c r="Q69" s="17" t="s">
        <v>82</v>
      </c>
    </row>
    <row r="70" spans="2:17">
      <c r="C70" s="61"/>
      <c r="E70" s="57"/>
      <c r="F70" s="57"/>
      <c r="G70" s="57"/>
      <c r="H70" s="57"/>
      <c r="I70" s="57"/>
      <c r="J70" s="62"/>
      <c r="K70" s="57"/>
      <c r="L70" s="57">
        <f>SUM(L69)</f>
        <v>0</v>
      </c>
      <c r="M70" s="57"/>
      <c r="N70" s="57"/>
      <c r="O70" s="57"/>
      <c r="P70" s="58"/>
      <c r="Q70" s="46"/>
    </row>
    <row r="71" spans="2:17">
      <c r="B71" s="43" t="s">
        <v>33</v>
      </c>
      <c r="C71" s="39" t="s">
        <v>160</v>
      </c>
      <c r="D71" s="43" t="s">
        <v>31</v>
      </c>
      <c r="E71" s="35">
        <v>202</v>
      </c>
      <c r="F71" s="35"/>
      <c r="G71" s="35">
        <f>E71+F71</f>
        <v>202</v>
      </c>
      <c r="H71" s="112">
        <v>47.680999999999997</v>
      </c>
      <c r="I71" s="35">
        <f>G71-H71</f>
        <v>154.31900000000002</v>
      </c>
      <c r="J71" s="27">
        <f>H71/G71</f>
        <v>0.23604455445544553</v>
      </c>
      <c r="K71" s="35">
        <f>E71</f>
        <v>202</v>
      </c>
      <c r="L71" s="35">
        <f>F71</f>
        <v>0</v>
      </c>
      <c r="M71" s="35">
        <f>K71+L71</f>
        <v>202</v>
      </c>
      <c r="N71" s="35">
        <f>H71</f>
        <v>47.680999999999997</v>
      </c>
      <c r="O71" s="35">
        <f>M71-N71</f>
        <v>154.31900000000002</v>
      </c>
      <c r="P71" s="36">
        <f>N71/M71</f>
        <v>0.23604455445544553</v>
      </c>
      <c r="Q71" s="17" t="s">
        <v>82</v>
      </c>
    </row>
    <row r="73" spans="2:17" ht="15" customHeight="1"/>
    <row r="77" spans="2:17">
      <c r="C77" s="61"/>
    </row>
    <row r="78" spans="2:17">
      <c r="C78" s="61"/>
    </row>
    <row r="79" spans="2:17">
      <c r="C79" s="61"/>
    </row>
    <row r="80" spans="2:17">
      <c r="C80" s="61"/>
    </row>
    <row r="81" spans="3:3">
      <c r="C81" s="61"/>
    </row>
    <row r="82" spans="3:3">
      <c r="C82" s="61"/>
    </row>
  </sheetData>
  <mergeCells count="189">
    <mergeCell ref="B2:Q2"/>
    <mergeCell ref="O66:O67"/>
    <mergeCell ref="P66:P67"/>
    <mergeCell ref="L64:L65"/>
    <mergeCell ref="M64:M65"/>
    <mergeCell ref="N64:N65"/>
    <mergeCell ref="O64:O65"/>
    <mergeCell ref="P64:P65"/>
    <mergeCell ref="M60:M61"/>
    <mergeCell ref="N60:N61"/>
    <mergeCell ref="O60:O61"/>
    <mergeCell ref="C26:C27"/>
    <mergeCell ref="P62:P63"/>
    <mergeCell ref="O56:O57"/>
    <mergeCell ref="P56:P57"/>
    <mergeCell ref="L58:L59"/>
    <mergeCell ref="M58:M59"/>
    <mergeCell ref="N37:N38"/>
    <mergeCell ref="O37:O38"/>
    <mergeCell ref="P37:P38"/>
    <mergeCell ref="P54:P55"/>
    <mergeCell ref="N54:N55"/>
    <mergeCell ref="B3:Q3"/>
    <mergeCell ref="O62:O63"/>
    <mergeCell ref="N66:N67"/>
    <mergeCell ref="K64:K65"/>
    <mergeCell ref="K66:K67"/>
    <mergeCell ref="N58:N59"/>
    <mergeCell ref="K62:K63"/>
    <mergeCell ref="L66:L67"/>
    <mergeCell ref="M66:M67"/>
    <mergeCell ref="N62:N63"/>
    <mergeCell ref="L60:L61"/>
    <mergeCell ref="K58:K59"/>
    <mergeCell ref="L62:L63"/>
    <mergeCell ref="M62:M63"/>
    <mergeCell ref="K56:K57"/>
    <mergeCell ref="P60:P61"/>
    <mergeCell ref="O52:O53"/>
    <mergeCell ref="P52:P53"/>
    <mergeCell ref="L54:L55"/>
    <mergeCell ref="O58:O59"/>
    <mergeCell ref="K60:K61"/>
    <mergeCell ref="M54:M55"/>
    <mergeCell ref="P58:P59"/>
    <mergeCell ref="K52:K53"/>
    <mergeCell ref="K54:K55"/>
    <mergeCell ref="N52:N53"/>
    <mergeCell ref="L56:L57"/>
    <mergeCell ref="M56:M57"/>
    <mergeCell ref="N56:N57"/>
    <mergeCell ref="O54:O55"/>
    <mergeCell ref="L52:L53"/>
    <mergeCell ref="M52:M53"/>
    <mergeCell ref="C56:C57"/>
    <mergeCell ref="B43:B44"/>
    <mergeCell ref="B40:B41"/>
    <mergeCell ref="C40:C41"/>
    <mergeCell ref="C43:C44"/>
    <mergeCell ref="C52:C53"/>
    <mergeCell ref="B52:B67"/>
    <mergeCell ref="C66:C67"/>
    <mergeCell ref="C64:C65"/>
    <mergeCell ref="C60:C61"/>
    <mergeCell ref="C62:C63"/>
    <mergeCell ref="C58:C59"/>
    <mergeCell ref="P46:P47"/>
    <mergeCell ref="P43:P44"/>
    <mergeCell ref="K43:K44"/>
    <mergeCell ref="L43:L44"/>
    <mergeCell ref="P49:P50"/>
    <mergeCell ref="M43:M44"/>
    <mergeCell ref="N43:N44"/>
    <mergeCell ref="P40:P41"/>
    <mergeCell ref="C54:C55"/>
    <mergeCell ref="K46:K47"/>
    <mergeCell ref="L46:L47"/>
    <mergeCell ref="B37:B38"/>
    <mergeCell ref="K49:K50"/>
    <mergeCell ref="L49:L50"/>
    <mergeCell ref="M49:M50"/>
    <mergeCell ref="N49:N50"/>
    <mergeCell ref="O49:O50"/>
    <mergeCell ref="C46:C47"/>
    <mergeCell ref="C49:C50"/>
    <mergeCell ref="B46:B47"/>
    <mergeCell ref="O43:O44"/>
    <mergeCell ref="L40:L41"/>
    <mergeCell ref="M40:M41"/>
    <mergeCell ref="N40:N41"/>
    <mergeCell ref="O40:O41"/>
    <mergeCell ref="N46:N47"/>
    <mergeCell ref="O46:O47"/>
    <mergeCell ref="M46:M47"/>
    <mergeCell ref="B49:B50"/>
    <mergeCell ref="K40:K41"/>
    <mergeCell ref="M6:M7"/>
    <mergeCell ref="N6:N7"/>
    <mergeCell ref="O6:O7"/>
    <mergeCell ref="P6:P7"/>
    <mergeCell ref="L21:L22"/>
    <mergeCell ref="M21:M22"/>
    <mergeCell ref="N21:N22"/>
    <mergeCell ref="M14:M15"/>
    <mergeCell ref="L30:L31"/>
    <mergeCell ref="M30:M31"/>
    <mergeCell ref="O17:O18"/>
    <mergeCell ref="P17:P18"/>
    <mergeCell ref="M9:M10"/>
    <mergeCell ref="N9:N10"/>
    <mergeCell ref="O9:O10"/>
    <mergeCell ref="P9:P10"/>
    <mergeCell ref="P30:P31"/>
    <mergeCell ref="O30:O31"/>
    <mergeCell ref="N30:N31"/>
    <mergeCell ref="O14:O15"/>
    <mergeCell ref="P14:P15"/>
    <mergeCell ref="N19:N20"/>
    <mergeCell ref="O21:O22"/>
    <mergeCell ref="P21:P22"/>
    <mergeCell ref="K21:K22"/>
    <mergeCell ref="B6:B7"/>
    <mergeCell ref="B9:B10"/>
    <mergeCell ref="C6:C7"/>
    <mergeCell ref="C9:C10"/>
    <mergeCell ref="C14:C15"/>
    <mergeCell ref="C37:C38"/>
    <mergeCell ref="C34:C35"/>
    <mergeCell ref="M17:M18"/>
    <mergeCell ref="M19:M20"/>
    <mergeCell ref="M24:M25"/>
    <mergeCell ref="K17:K18"/>
    <mergeCell ref="L17:L18"/>
    <mergeCell ref="C17:C18"/>
    <mergeCell ref="C19:C20"/>
    <mergeCell ref="C21:C22"/>
    <mergeCell ref="C32:C33"/>
    <mergeCell ref="K32:K33"/>
    <mergeCell ref="L32:L33"/>
    <mergeCell ref="K6:K7"/>
    <mergeCell ref="L6:L7"/>
    <mergeCell ref="K14:K15"/>
    <mergeCell ref="K9:K10"/>
    <mergeCell ref="L9:L10"/>
    <mergeCell ref="K26:K27"/>
    <mergeCell ref="L26:L27"/>
    <mergeCell ref="M26:M27"/>
    <mergeCell ref="N26:N27"/>
    <mergeCell ref="L34:L35"/>
    <mergeCell ref="P32:P33"/>
    <mergeCell ref="L24:L25"/>
    <mergeCell ref="K37:K38"/>
    <mergeCell ref="L37:L38"/>
    <mergeCell ref="M37:M38"/>
    <mergeCell ref="N24:N25"/>
    <mergeCell ref="O24:O25"/>
    <mergeCell ref="K24:K25"/>
    <mergeCell ref="K30:K31"/>
    <mergeCell ref="P34:P35"/>
    <mergeCell ref="P24:P25"/>
    <mergeCell ref="N28:N29"/>
    <mergeCell ref="O28:O29"/>
    <mergeCell ref="P28:P29"/>
    <mergeCell ref="M32:M33"/>
    <mergeCell ref="N32:N33"/>
    <mergeCell ref="O19:O20"/>
    <mergeCell ref="O26:O27"/>
    <mergeCell ref="P26:P27"/>
    <mergeCell ref="B4:Q4"/>
    <mergeCell ref="O34:O35"/>
    <mergeCell ref="N14:N15"/>
    <mergeCell ref="B14:B15"/>
    <mergeCell ref="L14:L15"/>
    <mergeCell ref="B17:B22"/>
    <mergeCell ref="B24:B35"/>
    <mergeCell ref="C24:C25"/>
    <mergeCell ref="C30:C31"/>
    <mergeCell ref="K34:K35"/>
    <mergeCell ref="N17:N18"/>
    <mergeCell ref="M34:M35"/>
    <mergeCell ref="N34:N35"/>
    <mergeCell ref="P19:P20"/>
    <mergeCell ref="L19:L20"/>
    <mergeCell ref="K19:K20"/>
    <mergeCell ref="O32:O33"/>
    <mergeCell ref="C28:C29"/>
    <mergeCell ref="K28:K29"/>
    <mergeCell ref="L28:L29"/>
    <mergeCell ref="M28:M29"/>
  </mergeCells>
  <conditionalFormatting sqref="I6:I7">
    <cfRule type="cellIs" dxfId="14" priority="14" operator="lessThan">
      <formula>0</formula>
    </cfRule>
  </conditionalFormatting>
  <conditionalFormatting sqref="I9:I10">
    <cfRule type="cellIs" dxfId="13" priority="13" operator="lessThan">
      <formula>0</formula>
    </cfRule>
  </conditionalFormatting>
  <conditionalFormatting sqref="I12">
    <cfRule type="cellIs" dxfId="12" priority="12" operator="lessThan">
      <formula>0</formula>
    </cfRule>
  </conditionalFormatting>
  <conditionalFormatting sqref="I14:I15">
    <cfRule type="cellIs" dxfId="11" priority="11" operator="lessThan">
      <formula>0</formula>
    </cfRule>
  </conditionalFormatting>
  <conditionalFormatting sqref="I17:I22">
    <cfRule type="cellIs" dxfId="10" priority="10" operator="lessThan">
      <formula>0</formula>
    </cfRule>
  </conditionalFormatting>
  <conditionalFormatting sqref="I24:I35">
    <cfRule type="cellIs" dxfId="9" priority="9" operator="lessThan">
      <formula>0</formula>
    </cfRule>
  </conditionalFormatting>
  <conditionalFormatting sqref="I37:I38">
    <cfRule type="cellIs" dxfId="8" priority="8" operator="lessThan">
      <formula>0</formula>
    </cfRule>
  </conditionalFormatting>
  <conditionalFormatting sqref="I40:I41">
    <cfRule type="cellIs" dxfId="7" priority="7" operator="lessThan">
      <formula>0</formula>
    </cfRule>
  </conditionalFormatting>
  <conditionalFormatting sqref="I43:I44">
    <cfRule type="cellIs" dxfId="6" priority="6" operator="lessThan">
      <formula>0</formula>
    </cfRule>
  </conditionalFormatting>
  <conditionalFormatting sqref="I46:I47">
    <cfRule type="cellIs" dxfId="5" priority="5" operator="lessThan">
      <formula>0</formula>
    </cfRule>
  </conditionalFormatting>
  <conditionalFormatting sqref="I49:I50">
    <cfRule type="cellIs" dxfId="4" priority="4" operator="lessThan">
      <formula>0</formula>
    </cfRule>
  </conditionalFormatting>
  <conditionalFormatting sqref="I52:I67">
    <cfRule type="cellIs" dxfId="3" priority="3" operator="lessThan">
      <formula>0</formula>
    </cfRule>
  </conditionalFormatting>
  <conditionalFormatting sqref="I69">
    <cfRule type="cellIs" dxfId="2" priority="2" operator="lessThan">
      <formula>0</formula>
    </cfRule>
  </conditionalFormatting>
  <conditionalFormatting sqref="I71">
    <cfRule type="cellIs" dxfId="1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5 G16 G23 G34 M7:M8 M70 M57 G48 G51 M10:M11 M13 M15 M16 M18 M20 M22 M23 M25 M31 M33 M35:M36 M38:M39 M41:M42 M45 M47:M48 M50:M51 M53 M55 M59 M61 M65 M67 M44" formula="1"/>
    <ignoredError sqref="P16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37"/>
  <sheetViews>
    <sheetView showGridLines="0" tabSelected="1" zoomScaleNormal="100" workbookViewId="0">
      <pane ySplit="5" topLeftCell="A102" activePane="bottomLeft" state="frozen"/>
      <selection pane="bottomLeft" activeCell="F131" sqref="F131"/>
    </sheetView>
  </sheetViews>
  <sheetFormatPr baseColWidth="10" defaultColWidth="11.42578125" defaultRowHeight="12"/>
  <cols>
    <col min="1" max="1" width="6" style="61" customWidth="1"/>
    <col min="2" max="2" width="16.7109375" style="61" bestFit="1" customWidth="1"/>
    <col min="3" max="3" width="35.85546875" style="61" bestFit="1" customWidth="1"/>
    <col min="4" max="4" width="7" style="63" bestFit="1" customWidth="1"/>
    <col min="5" max="5" width="18" style="51" bestFit="1" customWidth="1"/>
    <col min="6" max="6" width="14.85546875" style="51" bestFit="1" customWidth="1"/>
    <col min="7" max="7" width="17" style="51" bestFit="1" customWidth="1"/>
    <col min="8" max="8" width="11.7109375" style="51" bestFit="1" customWidth="1"/>
    <col min="9" max="9" width="9.7109375" style="51" bestFit="1" customWidth="1"/>
    <col min="10" max="10" width="11.28515625" style="51" bestFit="1" customWidth="1"/>
    <col min="11" max="11" width="18" style="51" bestFit="1" customWidth="1"/>
    <col min="12" max="12" width="14.85546875" style="51" bestFit="1" customWidth="1"/>
    <col min="13" max="13" width="17" style="51" bestFit="1" customWidth="1"/>
    <col min="14" max="14" width="11.7109375" style="51" bestFit="1" customWidth="1"/>
    <col min="15" max="15" width="9.7109375" style="51" bestFit="1" customWidth="1"/>
    <col min="16" max="16" width="11.28515625" style="51" bestFit="1" customWidth="1"/>
    <col min="17" max="16384" width="11.42578125" style="61"/>
  </cols>
  <sheetData>
    <row r="1" spans="2:16">
      <c r="F1" s="61"/>
      <c r="G1" s="61"/>
      <c r="J1" s="61"/>
      <c r="K1" s="61"/>
      <c r="L1" s="61"/>
      <c r="M1" s="61"/>
      <c r="N1" s="61"/>
      <c r="O1" s="61"/>
      <c r="P1" s="61"/>
    </row>
    <row r="2" spans="2:16" s="46" customFormat="1" ht="19.899999999999999" customHeight="1">
      <c r="B2" s="174" t="s">
        <v>176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</row>
    <row r="3" spans="2:16" ht="15" customHeight="1">
      <c r="B3" s="152">
        <f>+RESUMEN!B3</f>
        <v>44452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2:16" ht="17.45" customHeight="1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2:16" ht="24">
      <c r="B5" s="50" t="s">
        <v>133</v>
      </c>
      <c r="C5" s="50" t="s">
        <v>161</v>
      </c>
      <c r="D5" s="50" t="s">
        <v>136</v>
      </c>
      <c r="E5" s="50" t="s">
        <v>111</v>
      </c>
      <c r="F5" s="50" t="s">
        <v>112</v>
      </c>
      <c r="G5" s="50" t="s">
        <v>113</v>
      </c>
      <c r="H5" s="50" t="s">
        <v>114</v>
      </c>
      <c r="I5" s="50" t="s">
        <v>115</v>
      </c>
      <c r="J5" s="50" t="s">
        <v>93</v>
      </c>
      <c r="K5" s="50" t="s">
        <v>111</v>
      </c>
      <c r="L5" s="50" t="s">
        <v>112</v>
      </c>
      <c r="M5" s="50" t="s">
        <v>113</v>
      </c>
      <c r="N5" s="50" t="s">
        <v>114</v>
      </c>
      <c r="O5" s="50" t="s">
        <v>115</v>
      </c>
      <c r="P5" s="50" t="s">
        <v>93</v>
      </c>
    </row>
    <row r="6" spans="2:16">
      <c r="B6" s="164" t="s">
        <v>162</v>
      </c>
      <c r="C6" s="161" t="s">
        <v>3</v>
      </c>
      <c r="D6" s="28" t="s">
        <v>0</v>
      </c>
      <c r="E6" s="35">
        <v>48431.964565399998</v>
      </c>
      <c r="F6" s="43">
        <f>-247.043+247.043</f>
        <v>0</v>
      </c>
      <c r="G6" s="35">
        <f>E6+F6</f>
        <v>48431.964565399998</v>
      </c>
      <c r="H6" s="119">
        <v>42642.999000000003</v>
      </c>
      <c r="I6" s="35">
        <f>G6-H6</f>
        <v>5788.9655653999944</v>
      </c>
      <c r="J6" s="27">
        <f>H6/G6</f>
        <v>0.88047221256980235</v>
      </c>
      <c r="K6" s="142">
        <f>E6+E7</f>
        <v>49420.300429499999</v>
      </c>
      <c r="L6" s="142">
        <f>F6+F7</f>
        <v>0</v>
      </c>
      <c r="M6" s="142">
        <f>K6+L6</f>
        <v>49420.300429499999</v>
      </c>
      <c r="N6" s="142">
        <f>H6+H7</f>
        <v>42642.999000000003</v>
      </c>
      <c r="O6" s="163">
        <f>M6-N6</f>
        <v>6777.3014294999957</v>
      </c>
      <c r="P6" s="143">
        <f>N6/M6</f>
        <v>0.86286401801283907</v>
      </c>
    </row>
    <row r="7" spans="2:16">
      <c r="B7" s="165"/>
      <c r="C7" s="161"/>
      <c r="D7" s="28" t="s">
        <v>1</v>
      </c>
      <c r="E7" s="35">
        <v>988.33586409999998</v>
      </c>
      <c r="F7" s="43"/>
      <c r="G7" s="35">
        <f>E7+F7+I6</f>
        <v>6777.3014294999939</v>
      </c>
      <c r="H7" s="43"/>
      <c r="I7" s="35">
        <f>G7-H7</f>
        <v>6777.3014294999939</v>
      </c>
      <c r="J7" s="27">
        <f t="shared" ref="J7:J19" si="0">H7/G7</f>
        <v>0</v>
      </c>
      <c r="K7" s="142"/>
      <c r="L7" s="142"/>
      <c r="M7" s="142"/>
      <c r="N7" s="142"/>
      <c r="O7" s="163"/>
      <c r="P7" s="143"/>
    </row>
    <row r="8" spans="2:16">
      <c r="B8" s="165"/>
      <c r="C8" s="161" t="s">
        <v>11</v>
      </c>
      <c r="D8" s="28" t="s">
        <v>0</v>
      </c>
      <c r="E8" s="35">
        <v>3210.6390000000001</v>
      </c>
      <c r="F8" s="35">
        <f>-3276.1575</f>
        <v>-3276.1574999999998</v>
      </c>
      <c r="G8" s="35">
        <f>E8+F8</f>
        <v>-65.518499999999676</v>
      </c>
      <c r="H8" s="43"/>
      <c r="I8" s="35">
        <f t="shared" ref="I8:I19" si="1">G8-H8</f>
        <v>-65.518499999999676</v>
      </c>
      <c r="J8" s="27">
        <f t="shared" si="0"/>
        <v>0</v>
      </c>
      <c r="K8" s="142">
        <f>E8+E9</f>
        <v>3276.1575000000003</v>
      </c>
      <c r="L8" s="142">
        <f>F8+F9</f>
        <v>-3276.1574999999998</v>
      </c>
      <c r="M8" s="142">
        <f>K8+L8</f>
        <v>0</v>
      </c>
      <c r="N8" s="142">
        <f>H8+H9</f>
        <v>0</v>
      </c>
      <c r="O8" s="162">
        <f>M8-N8</f>
        <v>0</v>
      </c>
      <c r="P8" s="143">
        <v>0</v>
      </c>
    </row>
    <row r="9" spans="2:16">
      <c r="B9" s="165"/>
      <c r="C9" s="161"/>
      <c r="D9" s="28" t="s">
        <v>1</v>
      </c>
      <c r="E9" s="35">
        <v>65.518500000000003</v>
      </c>
      <c r="F9" s="43"/>
      <c r="G9" s="35">
        <f>E9+F9+I8</f>
        <v>3.2684965844964609E-13</v>
      </c>
      <c r="H9" s="43"/>
      <c r="I9" s="35">
        <f t="shared" si="1"/>
        <v>3.2684965844964609E-13</v>
      </c>
      <c r="J9" s="27">
        <f t="shared" si="0"/>
        <v>0</v>
      </c>
      <c r="K9" s="142"/>
      <c r="L9" s="142"/>
      <c r="M9" s="142"/>
      <c r="N9" s="142"/>
      <c r="O9" s="162"/>
      <c r="P9" s="143"/>
    </row>
    <row r="10" spans="2:16">
      <c r="B10" s="165"/>
      <c r="C10" s="161" t="s">
        <v>185</v>
      </c>
      <c r="D10" s="28" t="s">
        <v>0</v>
      </c>
      <c r="E10" s="35">
        <v>10257.135434600001</v>
      </c>
      <c r="F10" s="43">
        <f>1192.103</f>
        <v>1192.1030000000001</v>
      </c>
      <c r="G10" s="35">
        <f>E10+F10</f>
        <v>11449.2384346</v>
      </c>
      <c r="H10" s="119">
        <v>9958.5059999999994</v>
      </c>
      <c r="I10" s="35">
        <f t="shared" si="1"/>
        <v>1490.7324346000005</v>
      </c>
      <c r="J10" s="27">
        <f t="shared" si="0"/>
        <v>0.86979636740772603</v>
      </c>
      <c r="K10" s="142">
        <f>E10+E11</f>
        <v>10466.449793600001</v>
      </c>
      <c r="L10" s="142">
        <f>F10+F11</f>
        <v>1192.1030000000001</v>
      </c>
      <c r="M10" s="142">
        <f>K10+L10</f>
        <v>11658.5527936</v>
      </c>
      <c r="N10" s="142">
        <f>H10+H11</f>
        <v>9958.5059999999994</v>
      </c>
      <c r="O10" s="163">
        <f>M10-N10</f>
        <v>1700.0467936000005</v>
      </c>
      <c r="P10" s="143">
        <f t="shared" ref="P10" si="2">N10/M10</f>
        <v>0.85418028946669555</v>
      </c>
    </row>
    <row r="11" spans="2:16">
      <c r="B11" s="165"/>
      <c r="C11" s="161"/>
      <c r="D11" s="28" t="s">
        <v>1</v>
      </c>
      <c r="E11" s="35">
        <v>209.314359</v>
      </c>
      <c r="F11" s="43"/>
      <c r="G11" s="35">
        <f>E11+F11+I10</f>
        <v>1700.0467936000005</v>
      </c>
      <c r="H11" s="43"/>
      <c r="I11" s="35">
        <f t="shared" si="1"/>
        <v>1700.0467936000005</v>
      </c>
      <c r="J11" s="27">
        <f t="shared" si="0"/>
        <v>0</v>
      </c>
      <c r="K11" s="142"/>
      <c r="L11" s="142"/>
      <c r="M11" s="142"/>
      <c r="N11" s="142"/>
      <c r="O11" s="163"/>
      <c r="P11" s="143"/>
    </row>
    <row r="12" spans="2:16">
      <c r="B12" s="165"/>
      <c r="C12" s="161" t="s">
        <v>4</v>
      </c>
      <c r="D12" s="28" t="s">
        <v>0</v>
      </c>
      <c r="E12" s="35">
        <v>2848.1475</v>
      </c>
      <c r="F12" s="35">
        <f>-2906.269</f>
        <v>-2906.2689999999998</v>
      </c>
      <c r="G12" s="35">
        <f>E12+F12</f>
        <v>-58.121499999999742</v>
      </c>
      <c r="H12" s="43"/>
      <c r="I12" s="35">
        <f t="shared" si="1"/>
        <v>-58.121499999999742</v>
      </c>
      <c r="J12" s="27">
        <f t="shared" si="0"/>
        <v>0</v>
      </c>
      <c r="K12" s="142">
        <f>E12+E13</f>
        <v>2906.2687500000002</v>
      </c>
      <c r="L12" s="142">
        <f>F12+F13</f>
        <v>-2906.2689999999998</v>
      </c>
      <c r="M12" s="142">
        <f>K12+L12</f>
        <v>-2.4999999959618435E-4</v>
      </c>
      <c r="N12" s="142">
        <f>H12+H13</f>
        <v>0</v>
      </c>
      <c r="O12" s="162">
        <f>M12-N12</f>
        <v>-2.4999999959618435E-4</v>
      </c>
      <c r="P12" s="143">
        <f t="shared" ref="P12" si="3">N12/M12</f>
        <v>0</v>
      </c>
    </row>
    <row r="13" spans="2:16">
      <c r="B13" s="165"/>
      <c r="C13" s="161"/>
      <c r="D13" s="28" t="s">
        <v>1</v>
      </c>
      <c r="E13" s="35">
        <v>58.121250000000003</v>
      </c>
      <c r="F13" s="43"/>
      <c r="G13" s="35">
        <f>E13+F13+I12</f>
        <v>-2.499999997382929E-4</v>
      </c>
      <c r="H13" s="43"/>
      <c r="I13" s="35">
        <f t="shared" si="1"/>
        <v>-2.499999997382929E-4</v>
      </c>
      <c r="J13" s="27">
        <f t="shared" si="0"/>
        <v>0</v>
      </c>
      <c r="K13" s="142"/>
      <c r="L13" s="142"/>
      <c r="M13" s="142"/>
      <c r="N13" s="142"/>
      <c r="O13" s="162"/>
      <c r="P13" s="143"/>
    </row>
    <row r="14" spans="2:16">
      <c r="B14" s="165"/>
      <c r="C14" s="161" t="s">
        <v>181</v>
      </c>
      <c r="D14" s="28" t="s">
        <v>0</v>
      </c>
      <c r="E14" s="35">
        <v>673.19849999999997</v>
      </c>
      <c r="F14" s="43">
        <f>-686.936</f>
        <v>-686.93600000000004</v>
      </c>
      <c r="G14" s="35">
        <f>E14+F14</f>
        <v>-13.737500000000068</v>
      </c>
      <c r="H14" s="43"/>
      <c r="I14" s="35">
        <f t="shared" si="1"/>
        <v>-13.737500000000068</v>
      </c>
      <c r="J14" s="27">
        <f t="shared" si="0"/>
        <v>0</v>
      </c>
      <c r="K14" s="142">
        <f>E14+E15</f>
        <v>686.93624999999997</v>
      </c>
      <c r="L14" s="142">
        <f>F14+F15</f>
        <v>-686.93600000000004</v>
      </c>
      <c r="M14" s="142">
        <f>K14+L14</f>
        <v>2.4999999993724487E-4</v>
      </c>
      <c r="N14" s="142">
        <f>H14+H15</f>
        <v>0</v>
      </c>
      <c r="O14" s="162">
        <f>M14-N14</f>
        <v>2.4999999993724487E-4</v>
      </c>
      <c r="P14" s="143">
        <f t="shared" ref="P14" si="4">N14/M14</f>
        <v>0</v>
      </c>
    </row>
    <row r="15" spans="2:16">
      <c r="B15" s="165"/>
      <c r="C15" s="161"/>
      <c r="D15" s="28" t="s">
        <v>1</v>
      </c>
      <c r="E15" s="35">
        <v>13.73775</v>
      </c>
      <c r="F15" s="43"/>
      <c r="G15" s="35">
        <f>E15+F15+I14</f>
        <v>2.499999999319158E-4</v>
      </c>
      <c r="H15" s="43"/>
      <c r="I15" s="35">
        <f t="shared" si="1"/>
        <v>2.499999999319158E-4</v>
      </c>
      <c r="J15" s="27">
        <f t="shared" si="0"/>
        <v>0</v>
      </c>
      <c r="K15" s="142"/>
      <c r="L15" s="142"/>
      <c r="M15" s="142"/>
      <c r="N15" s="142"/>
      <c r="O15" s="162"/>
      <c r="P15" s="143"/>
    </row>
    <row r="16" spans="2:16">
      <c r="B16" s="165"/>
      <c r="C16" s="161" t="s">
        <v>182</v>
      </c>
      <c r="D16" s="28" t="s">
        <v>0</v>
      </c>
      <c r="E16" s="35">
        <v>1967.8109999999999</v>
      </c>
      <c r="F16" s="35">
        <f>-1985.422</f>
        <v>-1985.422</v>
      </c>
      <c r="G16" s="35">
        <f>E16+F16</f>
        <v>-17.611000000000104</v>
      </c>
      <c r="H16" s="43"/>
      <c r="I16" s="35">
        <f t="shared" si="1"/>
        <v>-17.611000000000104</v>
      </c>
      <c r="J16" s="27">
        <f t="shared" si="0"/>
        <v>0</v>
      </c>
      <c r="K16" s="142">
        <f>E16+E17</f>
        <v>2007.9675</v>
      </c>
      <c r="L16" s="142">
        <f>F16+F17</f>
        <v>-1985.422</v>
      </c>
      <c r="M16" s="142">
        <f>K16+L16</f>
        <v>22.545499999999947</v>
      </c>
      <c r="N16" s="142">
        <f>H16+H17</f>
        <v>0</v>
      </c>
      <c r="O16" s="163">
        <f>M16-N16</f>
        <v>22.545499999999947</v>
      </c>
      <c r="P16" s="143">
        <f t="shared" ref="P16" si="5">N16/M16</f>
        <v>0</v>
      </c>
    </row>
    <row r="17" spans="2:16">
      <c r="B17" s="165"/>
      <c r="C17" s="161"/>
      <c r="D17" s="28" t="s">
        <v>1</v>
      </c>
      <c r="E17" s="35">
        <v>40.156500000000001</v>
      </c>
      <c r="F17" s="43"/>
      <c r="G17" s="35">
        <f>+I16+E17+F17</f>
        <v>22.545499999999898</v>
      </c>
      <c r="H17" s="43"/>
      <c r="I17" s="35">
        <f t="shared" si="1"/>
        <v>22.545499999999898</v>
      </c>
      <c r="J17" s="27">
        <f t="shared" si="0"/>
        <v>0</v>
      </c>
      <c r="K17" s="142"/>
      <c r="L17" s="142"/>
      <c r="M17" s="142"/>
      <c r="N17" s="142"/>
      <c r="O17" s="163"/>
      <c r="P17" s="143"/>
    </row>
    <row r="18" spans="2:16">
      <c r="B18" s="165"/>
      <c r="C18" s="161" t="s">
        <v>95</v>
      </c>
      <c r="D18" s="28" t="s">
        <v>0</v>
      </c>
      <c r="E18" s="35">
        <v>1657.104</v>
      </c>
      <c r="F18" s="35">
        <f>-1690.92</f>
        <v>-1690.92</v>
      </c>
      <c r="G18" s="35">
        <f>E18+F18</f>
        <v>-33.816000000000031</v>
      </c>
      <c r="H18" s="43"/>
      <c r="I18" s="35">
        <f t="shared" si="1"/>
        <v>-33.816000000000031</v>
      </c>
      <c r="J18" s="27">
        <f t="shared" si="0"/>
        <v>0</v>
      </c>
      <c r="K18" s="142">
        <f>E18+E19</f>
        <v>1690.92</v>
      </c>
      <c r="L18" s="142">
        <f>F18+F19</f>
        <v>-1690.92</v>
      </c>
      <c r="M18" s="142">
        <f>K18+L18</f>
        <v>0</v>
      </c>
      <c r="N18" s="142">
        <f>H18+H19</f>
        <v>0</v>
      </c>
      <c r="O18" s="162">
        <f>M18-N18</f>
        <v>0</v>
      </c>
      <c r="P18" s="143">
        <v>0</v>
      </c>
    </row>
    <row r="19" spans="2:16">
      <c r="B19" s="165"/>
      <c r="C19" s="161"/>
      <c r="D19" s="28" t="s">
        <v>1</v>
      </c>
      <c r="E19" s="35">
        <v>33.816000000000003</v>
      </c>
      <c r="F19" s="43"/>
      <c r="G19" s="35">
        <f>+I18+E19+F19</f>
        <v>-2.8421709430404007E-14</v>
      </c>
      <c r="H19" s="43"/>
      <c r="I19" s="35">
        <f t="shared" si="1"/>
        <v>-2.8421709430404007E-14</v>
      </c>
      <c r="J19" s="27">
        <f t="shared" si="0"/>
        <v>0</v>
      </c>
      <c r="K19" s="142"/>
      <c r="L19" s="142"/>
      <c r="M19" s="142"/>
      <c r="N19" s="142"/>
      <c r="O19" s="162"/>
      <c r="P19" s="143"/>
    </row>
    <row r="20" spans="2:16">
      <c r="B20" s="165"/>
      <c r="C20" s="161" t="s">
        <v>2</v>
      </c>
      <c r="D20" s="111" t="s">
        <v>0</v>
      </c>
      <c r="E20" s="109">
        <v>0</v>
      </c>
      <c r="F20" s="110">
        <f>247.043-247.043</f>
        <v>0</v>
      </c>
      <c r="G20" s="109">
        <f>E20+F20</f>
        <v>0</v>
      </c>
      <c r="H20" s="110"/>
      <c r="I20" s="109">
        <f t="shared" ref="I20:I21" si="6">G20-H20</f>
        <v>0</v>
      </c>
      <c r="J20" s="27" t="e">
        <f t="shared" ref="J20:J21" si="7">H20/G20</f>
        <v>#DIV/0!</v>
      </c>
      <c r="K20" s="142">
        <f>E20+E21</f>
        <v>0</v>
      </c>
      <c r="L20" s="142">
        <f>F20+F21</f>
        <v>0</v>
      </c>
      <c r="M20" s="142">
        <f>K20+L20</f>
        <v>0</v>
      </c>
      <c r="N20" s="142">
        <f>H20+H21</f>
        <v>0</v>
      </c>
      <c r="O20" s="162">
        <f>M20-N20</f>
        <v>0</v>
      </c>
      <c r="P20" s="143" t="e">
        <f>N20/M20</f>
        <v>#DIV/0!</v>
      </c>
    </row>
    <row r="21" spans="2:16">
      <c r="B21" s="165"/>
      <c r="C21" s="161"/>
      <c r="D21" s="111" t="s">
        <v>1</v>
      </c>
      <c r="E21" s="109">
        <v>0</v>
      </c>
      <c r="F21" s="110"/>
      <c r="G21" s="109">
        <f>+I20+E21+F21</f>
        <v>0</v>
      </c>
      <c r="H21" s="110"/>
      <c r="I21" s="109">
        <f t="shared" si="6"/>
        <v>0</v>
      </c>
      <c r="J21" s="27" t="e">
        <f t="shared" si="7"/>
        <v>#DIV/0!</v>
      </c>
      <c r="K21" s="142"/>
      <c r="L21" s="142"/>
      <c r="M21" s="142"/>
      <c r="N21" s="142"/>
      <c r="O21" s="162"/>
      <c r="P21" s="143"/>
    </row>
    <row r="22" spans="2:16">
      <c r="B22" s="165"/>
      <c r="C22" s="169" t="s">
        <v>99</v>
      </c>
      <c r="D22" s="30" t="s">
        <v>0</v>
      </c>
      <c r="E22" s="41">
        <f>E6+E8+E10+E12+E14+E16+E18+E20</f>
        <v>69046</v>
      </c>
      <c r="F22" s="41">
        <f>F6+F8+F10+F12+F14+F16+F18+F20</f>
        <v>-9353.6014999999989</v>
      </c>
      <c r="G22" s="41">
        <f>E22+F22</f>
        <v>59692.398500000003</v>
      </c>
      <c r="H22" s="41">
        <f>H6+H8+H10+H12+H14+H16+H18+H20</f>
        <v>52601.505000000005</v>
      </c>
      <c r="I22" s="41">
        <f>G22-H22</f>
        <v>7090.8934999999983</v>
      </c>
      <c r="J22" s="31">
        <f>H22/G22</f>
        <v>0.88120943908796023</v>
      </c>
      <c r="K22" s="171">
        <f>E22+E23</f>
        <v>70455.000223099996</v>
      </c>
      <c r="L22" s="171">
        <f>F22+F23</f>
        <v>-9353.6014999999989</v>
      </c>
      <c r="M22" s="171">
        <f>K22+L22</f>
        <v>61101.398723099999</v>
      </c>
      <c r="N22" s="171">
        <f>H22+H23</f>
        <v>52601.505000000005</v>
      </c>
      <c r="O22" s="179">
        <f>M22-N22</f>
        <v>8499.8937230999945</v>
      </c>
      <c r="P22" s="172">
        <f>N22/M22</f>
        <v>0.86088872103206826</v>
      </c>
    </row>
    <row r="23" spans="2:16">
      <c r="B23" s="166"/>
      <c r="C23" s="170"/>
      <c r="D23" s="30" t="s">
        <v>1</v>
      </c>
      <c r="E23" s="41">
        <f>E7+E9+E11+E13+E15+E17+E19+E21</f>
        <v>1409.0002230999999</v>
      </c>
      <c r="F23" s="41">
        <f>F7+F9+F11+F13+F15+F17+F19+F21</f>
        <v>0</v>
      </c>
      <c r="G23" s="41">
        <f>+I22+E23+F23</f>
        <v>8499.8937230999982</v>
      </c>
      <c r="H23" s="41">
        <f>H7+H9+H11+H13+H15+H17+H19+H21</f>
        <v>0</v>
      </c>
      <c r="I23" s="41">
        <f>G23-H23</f>
        <v>8499.8937230999982</v>
      </c>
      <c r="J23" s="31">
        <f>H23/G23</f>
        <v>0</v>
      </c>
      <c r="K23" s="171"/>
      <c r="L23" s="171"/>
      <c r="M23" s="171"/>
      <c r="N23" s="171"/>
      <c r="O23" s="179"/>
      <c r="P23" s="172"/>
    </row>
    <row r="24" spans="2:16" ht="15" customHeight="1">
      <c r="B24" s="64"/>
      <c r="C24" s="65"/>
      <c r="D24" s="66"/>
      <c r="E24" s="55"/>
      <c r="F24" s="54"/>
      <c r="G24" s="55"/>
      <c r="H24" s="54"/>
      <c r="I24" s="55"/>
      <c r="J24" s="56"/>
      <c r="K24" s="55"/>
      <c r="L24" s="55"/>
      <c r="M24" s="55"/>
      <c r="N24" s="55"/>
      <c r="O24" s="67"/>
      <c r="P24" s="68"/>
    </row>
    <row r="25" spans="2:16" ht="15" customHeight="1">
      <c r="C25" s="63"/>
      <c r="D25" s="61"/>
      <c r="E25" s="69"/>
      <c r="F25" s="69"/>
      <c r="G25" s="61"/>
      <c r="H25" s="61"/>
      <c r="I25" s="61"/>
      <c r="J25" s="61"/>
      <c r="K25" s="61"/>
      <c r="L25" s="69"/>
      <c r="M25" s="61"/>
      <c r="N25" s="61"/>
      <c r="O25" s="61"/>
      <c r="P25" s="61"/>
    </row>
    <row r="26" spans="2:16">
      <c r="B26" s="164" t="s">
        <v>163</v>
      </c>
      <c r="C26" s="161" t="s">
        <v>12</v>
      </c>
      <c r="D26" s="28" t="s">
        <v>0</v>
      </c>
      <c r="E26" s="35">
        <v>1184.3572380000001</v>
      </c>
      <c r="F26" s="43">
        <f>-1245</f>
        <v>-1245</v>
      </c>
      <c r="G26" s="35">
        <f>E26+F26</f>
        <v>-60.642761999999948</v>
      </c>
      <c r="H26" s="43"/>
      <c r="I26" s="35">
        <f>G26-H26</f>
        <v>-60.642761999999948</v>
      </c>
      <c r="J26" s="27">
        <f t="shared" ref="J26:J57" si="8">H26/G26</f>
        <v>0</v>
      </c>
      <c r="K26" s="142">
        <f>E26+E27</f>
        <v>1246.6565250000001</v>
      </c>
      <c r="L26" s="142">
        <f>F26+F27</f>
        <v>-1245</v>
      </c>
      <c r="M26" s="142">
        <f>K26+L26</f>
        <v>1.6565250000001015</v>
      </c>
      <c r="N26" s="142">
        <f t="shared" ref="N26:N46" si="9">H26+H27</f>
        <v>0</v>
      </c>
      <c r="O26" s="163">
        <f>M26-N26</f>
        <v>1.6565250000001015</v>
      </c>
      <c r="P26" s="143">
        <f>N26/M26</f>
        <v>0</v>
      </c>
    </row>
    <row r="27" spans="2:16">
      <c r="B27" s="165"/>
      <c r="C27" s="161"/>
      <c r="D27" s="28" t="s">
        <v>1</v>
      </c>
      <c r="E27" s="35">
        <v>62.299287</v>
      </c>
      <c r="F27" s="43"/>
      <c r="G27" s="35">
        <f>E27+F27+I26</f>
        <v>1.6565250000000518</v>
      </c>
      <c r="H27" s="43"/>
      <c r="I27" s="35">
        <f>G27-H27</f>
        <v>1.6565250000000518</v>
      </c>
      <c r="J27" s="27">
        <f t="shared" si="8"/>
        <v>0</v>
      </c>
      <c r="K27" s="142"/>
      <c r="L27" s="142"/>
      <c r="M27" s="142"/>
      <c r="N27" s="142"/>
      <c r="O27" s="163"/>
      <c r="P27" s="143"/>
    </row>
    <row r="28" spans="2:16">
      <c r="B28" s="165"/>
      <c r="C28" s="161" t="s">
        <v>2</v>
      </c>
      <c r="D28" s="28" t="s">
        <v>0</v>
      </c>
      <c r="E28" s="35">
        <v>3.6527250000000002</v>
      </c>
      <c r="F28" s="43"/>
      <c r="G28" s="35">
        <f>E28+F28</f>
        <v>3.6527250000000002</v>
      </c>
      <c r="H28" s="43"/>
      <c r="I28" s="35">
        <f t="shared" ref="I28:I57" si="10">G28-H28</f>
        <v>3.6527250000000002</v>
      </c>
      <c r="J28" s="27">
        <f t="shared" si="8"/>
        <v>0</v>
      </c>
      <c r="K28" s="142">
        <f>E28+E29</f>
        <v>3.8448650000000004</v>
      </c>
      <c r="L28" s="142">
        <f>F28+F29</f>
        <v>0</v>
      </c>
      <c r="M28" s="142">
        <f>K28+L28</f>
        <v>3.8448650000000004</v>
      </c>
      <c r="N28" s="142">
        <f t="shared" si="9"/>
        <v>0</v>
      </c>
      <c r="O28" s="163">
        <f>M28-N28</f>
        <v>3.8448650000000004</v>
      </c>
      <c r="P28" s="143">
        <f t="shared" ref="P28" si="11">N28/M28</f>
        <v>0</v>
      </c>
    </row>
    <row r="29" spans="2:16">
      <c r="B29" s="165"/>
      <c r="C29" s="161"/>
      <c r="D29" s="28" t="s">
        <v>1</v>
      </c>
      <c r="E29" s="35">
        <v>0.19214000000000001</v>
      </c>
      <c r="F29" s="43"/>
      <c r="G29" s="35">
        <f>E29+F29+I28</f>
        <v>3.8448650000000004</v>
      </c>
      <c r="H29" s="43"/>
      <c r="I29" s="35">
        <f t="shared" si="10"/>
        <v>3.8448650000000004</v>
      </c>
      <c r="J29" s="27">
        <f t="shared" si="8"/>
        <v>0</v>
      </c>
      <c r="K29" s="142"/>
      <c r="L29" s="142"/>
      <c r="M29" s="142"/>
      <c r="N29" s="142"/>
      <c r="O29" s="163"/>
      <c r="P29" s="143"/>
    </row>
    <row r="30" spans="2:16">
      <c r="B30" s="165"/>
      <c r="C30" s="161" t="s">
        <v>5</v>
      </c>
      <c r="D30" s="28" t="s">
        <v>0</v>
      </c>
      <c r="E30" s="35">
        <v>53.221587999999997</v>
      </c>
      <c r="F30" s="43"/>
      <c r="G30" s="35">
        <f>E30+F30</f>
        <v>53.221587999999997</v>
      </c>
      <c r="H30" s="43"/>
      <c r="I30" s="35">
        <f t="shared" si="10"/>
        <v>53.221587999999997</v>
      </c>
      <c r="J30" s="27">
        <f t="shared" si="8"/>
        <v>0</v>
      </c>
      <c r="K30" s="142">
        <f>E30+E31</f>
        <v>56.021137999999993</v>
      </c>
      <c r="L30" s="142">
        <f>F30+F31</f>
        <v>0</v>
      </c>
      <c r="M30" s="142">
        <f>K30+L30</f>
        <v>56.021137999999993</v>
      </c>
      <c r="N30" s="142">
        <f t="shared" si="9"/>
        <v>0</v>
      </c>
      <c r="O30" s="163">
        <f>M30-N30</f>
        <v>56.021137999999993</v>
      </c>
      <c r="P30" s="143">
        <f t="shared" ref="P30" si="12">N30/M30</f>
        <v>0</v>
      </c>
    </row>
    <row r="31" spans="2:16">
      <c r="B31" s="165"/>
      <c r="C31" s="161"/>
      <c r="D31" s="28" t="s">
        <v>1</v>
      </c>
      <c r="E31" s="35">
        <v>2.79955</v>
      </c>
      <c r="F31" s="43"/>
      <c r="G31" s="35">
        <f>E31+F31+I30</f>
        <v>56.021137999999993</v>
      </c>
      <c r="H31" s="43"/>
      <c r="I31" s="35">
        <f t="shared" si="10"/>
        <v>56.021137999999993</v>
      </c>
      <c r="J31" s="27">
        <f t="shared" si="8"/>
        <v>0</v>
      </c>
      <c r="K31" s="142"/>
      <c r="L31" s="142"/>
      <c r="M31" s="142"/>
      <c r="N31" s="142"/>
      <c r="O31" s="163"/>
      <c r="P31" s="143"/>
    </row>
    <row r="32" spans="2:16">
      <c r="B32" s="165"/>
      <c r="C32" s="161" t="s">
        <v>6</v>
      </c>
      <c r="D32" s="28" t="s">
        <v>0</v>
      </c>
      <c r="E32" s="35">
        <v>3223.94085</v>
      </c>
      <c r="F32" s="43">
        <f>-2000-1000</f>
        <v>-3000</v>
      </c>
      <c r="G32" s="35">
        <f>E32+F32</f>
        <v>223.94084999999995</v>
      </c>
      <c r="H32" s="43"/>
      <c r="I32" s="35">
        <f t="shared" si="10"/>
        <v>223.94084999999995</v>
      </c>
      <c r="J32" s="27">
        <f t="shared" si="8"/>
        <v>0</v>
      </c>
      <c r="K32" s="142">
        <f>E32+E33</f>
        <v>3393.5258450000001</v>
      </c>
      <c r="L32" s="142">
        <f>F32+F33</f>
        <v>-3000</v>
      </c>
      <c r="M32" s="142">
        <f>K32+L32</f>
        <v>393.52584500000012</v>
      </c>
      <c r="N32" s="142">
        <f t="shared" si="9"/>
        <v>0</v>
      </c>
      <c r="O32" s="163">
        <f>M32-N32</f>
        <v>393.52584500000012</v>
      </c>
      <c r="P32" s="143">
        <f t="shared" ref="P32" si="13">N32/M32</f>
        <v>0</v>
      </c>
    </row>
    <row r="33" spans="2:16">
      <c r="B33" s="165"/>
      <c r="C33" s="161"/>
      <c r="D33" s="28" t="s">
        <v>1</v>
      </c>
      <c r="E33" s="35">
        <v>169.58499499999999</v>
      </c>
      <c r="F33" s="43"/>
      <c r="G33" s="35">
        <f>E33+F33+I32</f>
        <v>393.52584499999995</v>
      </c>
      <c r="H33" s="43"/>
      <c r="I33" s="35">
        <f t="shared" si="10"/>
        <v>393.52584499999995</v>
      </c>
      <c r="J33" s="27">
        <f t="shared" si="8"/>
        <v>0</v>
      </c>
      <c r="K33" s="142"/>
      <c r="L33" s="142"/>
      <c r="M33" s="142"/>
      <c r="N33" s="142"/>
      <c r="O33" s="163"/>
      <c r="P33" s="143"/>
    </row>
    <row r="34" spans="2:16">
      <c r="B34" s="165"/>
      <c r="C34" s="161" t="s">
        <v>185</v>
      </c>
      <c r="D34" s="28" t="s">
        <v>0</v>
      </c>
      <c r="E34" s="35">
        <v>210.58962500000001</v>
      </c>
      <c r="F34" s="43">
        <f>-221.667</f>
        <v>-221.667</v>
      </c>
      <c r="G34" s="35">
        <f>E34+F34</f>
        <v>-11.077374999999989</v>
      </c>
      <c r="H34" s="43"/>
      <c r="I34" s="35">
        <f t="shared" si="10"/>
        <v>-11.077374999999989</v>
      </c>
      <c r="J34" s="27">
        <f t="shared" si="8"/>
        <v>0</v>
      </c>
      <c r="K34" s="142">
        <f>E34+E35</f>
        <v>221.667012</v>
      </c>
      <c r="L34" s="142">
        <f>F34+F35</f>
        <v>-221.667</v>
      </c>
      <c r="M34" s="142">
        <f>K34+L34</f>
        <v>1.1999999998124622E-5</v>
      </c>
      <c r="N34" s="142">
        <f t="shared" si="9"/>
        <v>0</v>
      </c>
      <c r="O34" s="162">
        <f>M34-N34</f>
        <v>1.1999999998124622E-5</v>
      </c>
      <c r="P34" s="143">
        <f t="shared" ref="P34" si="14">N34/M34</f>
        <v>0</v>
      </c>
    </row>
    <row r="35" spans="2:16">
      <c r="B35" s="165"/>
      <c r="C35" s="161"/>
      <c r="D35" s="28" t="s">
        <v>1</v>
      </c>
      <c r="E35" s="35">
        <v>11.077387</v>
      </c>
      <c r="F35" s="43"/>
      <c r="G35" s="35">
        <f>E35+F35+I34</f>
        <v>1.200000001055912E-5</v>
      </c>
      <c r="H35" s="43"/>
      <c r="I35" s="35">
        <f t="shared" si="10"/>
        <v>1.200000001055912E-5</v>
      </c>
      <c r="J35" s="27">
        <f t="shared" si="8"/>
        <v>0</v>
      </c>
      <c r="K35" s="142"/>
      <c r="L35" s="142"/>
      <c r="M35" s="142"/>
      <c r="N35" s="142"/>
      <c r="O35" s="162"/>
      <c r="P35" s="143"/>
    </row>
    <row r="36" spans="2:16">
      <c r="B36" s="165"/>
      <c r="C36" s="161" t="s">
        <v>7</v>
      </c>
      <c r="D36" s="28" t="s">
        <v>0</v>
      </c>
      <c r="E36" s="35">
        <v>675.03092500000002</v>
      </c>
      <c r="F36" s="35">
        <f>-624.458-66.906-89.208-89.208-89.208-89.208-133.812+66.906+89.208+89.208+89.208+89.208+133.812</f>
        <v>-624.45799999999986</v>
      </c>
      <c r="G36" s="35">
        <f>E36+F36</f>
        <v>50.572925000000168</v>
      </c>
      <c r="H36" s="43"/>
      <c r="I36" s="95">
        <f t="shared" si="10"/>
        <v>50.572925000000168</v>
      </c>
      <c r="J36" s="27">
        <f t="shared" si="8"/>
        <v>0</v>
      </c>
      <c r="K36" s="142">
        <f>E36+E37</f>
        <v>710.53874600000006</v>
      </c>
      <c r="L36" s="142">
        <f>F36+F37</f>
        <v>-624.45799999999986</v>
      </c>
      <c r="M36" s="142">
        <f>K36+L36</f>
        <v>86.080746000000204</v>
      </c>
      <c r="N36" s="142">
        <f t="shared" si="9"/>
        <v>0</v>
      </c>
      <c r="O36" s="163">
        <f>M36-N36</f>
        <v>86.080746000000204</v>
      </c>
      <c r="P36" s="143">
        <f t="shared" ref="P36" si="15">N36/M36</f>
        <v>0</v>
      </c>
    </row>
    <row r="37" spans="2:16">
      <c r="B37" s="165"/>
      <c r="C37" s="161"/>
      <c r="D37" s="28" t="s">
        <v>1</v>
      </c>
      <c r="E37" s="35">
        <v>35.507821</v>
      </c>
      <c r="F37" s="43"/>
      <c r="G37" s="35">
        <f>E37+F37+I36</f>
        <v>86.080746000000175</v>
      </c>
      <c r="H37" s="43"/>
      <c r="I37" s="95">
        <f t="shared" si="10"/>
        <v>86.080746000000175</v>
      </c>
      <c r="J37" s="27">
        <f t="shared" si="8"/>
        <v>0</v>
      </c>
      <c r="K37" s="142"/>
      <c r="L37" s="142"/>
      <c r="M37" s="142"/>
      <c r="N37" s="142"/>
      <c r="O37" s="163"/>
      <c r="P37" s="143"/>
    </row>
    <row r="38" spans="2:16">
      <c r="B38" s="165"/>
      <c r="C38" s="161" t="s">
        <v>67</v>
      </c>
      <c r="D38" s="28" t="s">
        <v>0</v>
      </c>
      <c r="E38" s="35">
        <v>582.06017499999996</v>
      </c>
      <c r="F38" s="43">
        <f>-600</f>
        <v>-600</v>
      </c>
      <c r="G38" s="35">
        <f>E38+F38</f>
        <v>-17.939825000000042</v>
      </c>
      <c r="H38" s="43"/>
      <c r="I38" s="35">
        <f t="shared" si="10"/>
        <v>-17.939825000000042</v>
      </c>
      <c r="J38" s="27">
        <f t="shared" si="8"/>
        <v>0</v>
      </c>
      <c r="K38" s="142">
        <f>E38+E39</f>
        <v>612.67756999999995</v>
      </c>
      <c r="L38" s="142">
        <f>F38+F39</f>
        <v>-600</v>
      </c>
      <c r="M38" s="142">
        <f>K38+L38</f>
        <v>12.677569999999946</v>
      </c>
      <c r="N38" s="142">
        <f t="shared" si="9"/>
        <v>0</v>
      </c>
      <c r="O38" s="163">
        <f>M38-N38</f>
        <v>12.677569999999946</v>
      </c>
      <c r="P38" s="143">
        <f t="shared" ref="P38" si="16">N38/M38</f>
        <v>0</v>
      </c>
    </row>
    <row r="39" spans="2:16">
      <c r="B39" s="165"/>
      <c r="C39" s="161"/>
      <c r="D39" s="28" t="s">
        <v>1</v>
      </c>
      <c r="E39" s="35">
        <v>30.617394999999998</v>
      </c>
      <c r="F39" s="43"/>
      <c r="G39" s="35">
        <f>E39+F39+I38</f>
        <v>12.677569999999957</v>
      </c>
      <c r="H39" s="43"/>
      <c r="I39" s="35">
        <f t="shared" si="10"/>
        <v>12.677569999999957</v>
      </c>
      <c r="J39" s="27">
        <f t="shared" si="8"/>
        <v>0</v>
      </c>
      <c r="K39" s="142"/>
      <c r="L39" s="142"/>
      <c r="M39" s="142"/>
      <c r="N39" s="142"/>
      <c r="O39" s="163"/>
      <c r="P39" s="143"/>
    </row>
    <row r="40" spans="2:16">
      <c r="B40" s="165"/>
      <c r="C40" s="161" t="s">
        <v>8</v>
      </c>
      <c r="D40" s="28" t="s">
        <v>0</v>
      </c>
      <c r="E40" s="35">
        <v>13.49785</v>
      </c>
      <c r="F40" s="43"/>
      <c r="G40" s="35">
        <f>E40+F40</f>
        <v>13.49785</v>
      </c>
      <c r="H40" s="43"/>
      <c r="I40" s="35">
        <f t="shared" si="10"/>
        <v>13.49785</v>
      </c>
      <c r="J40" s="27">
        <f t="shared" si="8"/>
        <v>0</v>
      </c>
      <c r="K40" s="142">
        <f>E40+E41</f>
        <v>14.207860999999999</v>
      </c>
      <c r="L40" s="142">
        <f>F40+F41</f>
        <v>0</v>
      </c>
      <c r="M40" s="142">
        <f>K40+L40</f>
        <v>14.207860999999999</v>
      </c>
      <c r="N40" s="142">
        <f t="shared" si="9"/>
        <v>0</v>
      </c>
      <c r="O40" s="163">
        <f>M40-N40</f>
        <v>14.207860999999999</v>
      </c>
      <c r="P40" s="143">
        <f t="shared" ref="P40" si="17">N40/M40</f>
        <v>0</v>
      </c>
    </row>
    <row r="41" spans="2:16">
      <c r="B41" s="165"/>
      <c r="C41" s="161"/>
      <c r="D41" s="28" t="s">
        <v>1</v>
      </c>
      <c r="E41" s="35">
        <v>0.71001099999999995</v>
      </c>
      <c r="F41" s="43"/>
      <c r="G41" s="35">
        <f>E41+F41+I40</f>
        <v>14.207860999999999</v>
      </c>
      <c r="H41" s="43"/>
      <c r="I41" s="35">
        <f t="shared" si="10"/>
        <v>14.207860999999999</v>
      </c>
      <c r="J41" s="27">
        <f t="shared" si="8"/>
        <v>0</v>
      </c>
      <c r="K41" s="142"/>
      <c r="L41" s="142"/>
      <c r="M41" s="142"/>
      <c r="N41" s="142"/>
      <c r="O41" s="163"/>
      <c r="P41" s="143"/>
    </row>
    <row r="42" spans="2:16">
      <c r="B42" s="165"/>
      <c r="C42" s="161" t="s">
        <v>9</v>
      </c>
      <c r="D42" s="28" t="s">
        <v>0</v>
      </c>
      <c r="E42" s="35">
        <v>99.595375000000004</v>
      </c>
      <c r="F42" s="35">
        <f>-6.393+6.245-0.14868-104.537</f>
        <v>-104.83368</v>
      </c>
      <c r="G42" s="35">
        <f>E42+F42</f>
        <v>-5.2383049999999969</v>
      </c>
      <c r="H42" s="43"/>
      <c r="I42" s="35">
        <f t="shared" si="10"/>
        <v>-5.2383049999999969</v>
      </c>
      <c r="J42" s="27">
        <f t="shared" si="8"/>
        <v>0</v>
      </c>
      <c r="K42" s="142">
        <f>E42+E43</f>
        <v>104.83426800000001</v>
      </c>
      <c r="L42" s="142">
        <f>F42+F43</f>
        <v>-104.83368</v>
      </c>
      <c r="M42" s="142">
        <f>K42+L42</f>
        <v>5.8800000000758246E-4</v>
      </c>
      <c r="N42" s="142">
        <f t="shared" si="9"/>
        <v>0</v>
      </c>
      <c r="O42" s="162">
        <f>M42-N42</f>
        <v>5.8800000000758246E-4</v>
      </c>
      <c r="P42" s="143">
        <f t="shared" ref="P42" si="18">N42/M42</f>
        <v>0</v>
      </c>
    </row>
    <row r="43" spans="2:16">
      <c r="B43" s="165"/>
      <c r="C43" s="161"/>
      <c r="D43" s="28" t="s">
        <v>1</v>
      </c>
      <c r="E43" s="35">
        <v>5.238893</v>
      </c>
      <c r="F43" s="35"/>
      <c r="G43" s="35">
        <f>E43+F43+I42</f>
        <v>5.8800000000314157E-4</v>
      </c>
      <c r="H43" s="43"/>
      <c r="I43" s="35">
        <f t="shared" si="10"/>
        <v>5.8800000000314157E-4</v>
      </c>
      <c r="J43" s="27">
        <f t="shared" si="8"/>
        <v>0</v>
      </c>
      <c r="K43" s="142"/>
      <c r="L43" s="142"/>
      <c r="M43" s="142"/>
      <c r="N43" s="142"/>
      <c r="O43" s="162"/>
      <c r="P43" s="143"/>
    </row>
    <row r="44" spans="2:16">
      <c r="B44" s="165"/>
      <c r="C44" s="161" t="s">
        <v>10</v>
      </c>
      <c r="D44" s="28" t="s">
        <v>0</v>
      </c>
      <c r="E44" s="35">
        <v>6562.0526630000004</v>
      </c>
      <c r="F44" s="43">
        <f>-4169</f>
        <v>-4169</v>
      </c>
      <c r="G44" s="35">
        <f>E44+F44</f>
        <v>2393.0526630000004</v>
      </c>
      <c r="H44" s="119">
        <v>2737.71</v>
      </c>
      <c r="I44" s="35">
        <f t="shared" si="10"/>
        <v>-344.65733699999964</v>
      </c>
      <c r="J44" s="27">
        <f t="shared" si="8"/>
        <v>1.1440241338307728</v>
      </c>
      <c r="K44" s="142">
        <f>E44+E45</f>
        <v>6907.228247</v>
      </c>
      <c r="L44" s="142">
        <f>F44+F45</f>
        <v>-4169</v>
      </c>
      <c r="M44" s="142">
        <f>K44+L44</f>
        <v>2738.228247</v>
      </c>
      <c r="N44" s="142">
        <f t="shared" si="9"/>
        <v>2737.71</v>
      </c>
      <c r="O44" s="163">
        <f>M44-N44</f>
        <v>0.51824699999997392</v>
      </c>
      <c r="P44" s="143">
        <f t="shared" ref="P44" si="19">N44/M44</f>
        <v>0.99981073637649898</v>
      </c>
    </row>
    <row r="45" spans="2:16">
      <c r="B45" s="165"/>
      <c r="C45" s="161"/>
      <c r="D45" s="28" t="s">
        <v>1</v>
      </c>
      <c r="E45" s="35">
        <v>345.17558400000001</v>
      </c>
      <c r="F45" s="43"/>
      <c r="G45" s="35">
        <f>E45+F45+I44</f>
        <v>0.51824700000037183</v>
      </c>
      <c r="H45" s="43"/>
      <c r="I45" s="35">
        <f t="shared" si="10"/>
        <v>0.51824700000037183</v>
      </c>
      <c r="J45" s="27">
        <f t="shared" si="8"/>
        <v>0</v>
      </c>
      <c r="K45" s="142"/>
      <c r="L45" s="142"/>
      <c r="M45" s="142"/>
      <c r="N45" s="142"/>
      <c r="O45" s="163"/>
      <c r="P45" s="143"/>
    </row>
    <row r="46" spans="2:16">
      <c r="B46" s="165"/>
      <c r="C46" s="161" t="s">
        <v>11</v>
      </c>
      <c r="D46" s="28" t="s">
        <v>0</v>
      </c>
      <c r="E46" s="35">
        <v>839.00239999999997</v>
      </c>
      <c r="F46" s="35">
        <f>-500.0142</f>
        <v>-500.01420000000002</v>
      </c>
      <c r="G46" s="35">
        <f>E46+F46</f>
        <v>338.98819999999995</v>
      </c>
      <c r="H46" s="119">
        <v>359.959</v>
      </c>
      <c r="I46" s="35">
        <f t="shared" si="10"/>
        <v>-20.970800000000054</v>
      </c>
      <c r="J46" s="27">
        <f t="shared" si="8"/>
        <v>1.0618629203022407</v>
      </c>
      <c r="K46" s="142">
        <f>E46+E47</f>
        <v>883.13541099999998</v>
      </c>
      <c r="L46" s="142">
        <f>F46+F47</f>
        <v>-500.01420000000002</v>
      </c>
      <c r="M46" s="142">
        <f>K46+L46</f>
        <v>383.12121099999996</v>
      </c>
      <c r="N46" s="142">
        <f t="shared" si="9"/>
        <v>359.959</v>
      </c>
      <c r="O46" s="163">
        <f>M46-N46</f>
        <v>23.162210999999957</v>
      </c>
      <c r="P46" s="143">
        <f t="shared" ref="P46" si="20">N46/M46</f>
        <v>0.93954338644017299</v>
      </c>
    </row>
    <row r="47" spans="2:16">
      <c r="B47" s="165"/>
      <c r="C47" s="161"/>
      <c r="D47" s="28" t="s">
        <v>1</v>
      </c>
      <c r="E47" s="35">
        <v>44.133011000000003</v>
      </c>
      <c r="F47" s="43"/>
      <c r="G47" s="35">
        <f>E47+F47+I46</f>
        <v>23.162210999999949</v>
      </c>
      <c r="H47" s="43"/>
      <c r="I47" s="35">
        <f t="shared" si="10"/>
        <v>23.162210999999949</v>
      </c>
      <c r="J47" s="27">
        <f t="shared" si="8"/>
        <v>0</v>
      </c>
      <c r="K47" s="142"/>
      <c r="L47" s="142"/>
      <c r="M47" s="142"/>
      <c r="N47" s="142"/>
      <c r="O47" s="163"/>
      <c r="P47" s="143"/>
    </row>
    <row r="48" spans="2:16">
      <c r="B48" s="165"/>
      <c r="C48" s="161" t="s">
        <v>95</v>
      </c>
      <c r="D48" s="28" t="s">
        <v>0</v>
      </c>
      <c r="E48" s="35">
        <v>678</v>
      </c>
      <c r="F48" s="35">
        <f>-713.664</f>
        <v>-713.66399999999999</v>
      </c>
      <c r="G48" s="35">
        <f>+E48+F48</f>
        <v>-35.663999999999987</v>
      </c>
      <c r="H48" s="43"/>
      <c r="I48" s="35">
        <f t="shared" ref="I48:I55" si="21">+G48-H48</f>
        <v>-35.663999999999987</v>
      </c>
      <c r="J48" s="27">
        <f t="shared" si="8"/>
        <v>0</v>
      </c>
      <c r="K48" s="142">
        <f>E48+E49</f>
        <v>713.66399999999999</v>
      </c>
      <c r="L48" s="142">
        <f>F48+F49</f>
        <v>-713.66399999999999</v>
      </c>
      <c r="M48" s="142">
        <f>K48+L48</f>
        <v>0</v>
      </c>
      <c r="N48" s="142">
        <f>H48+H49</f>
        <v>0</v>
      </c>
      <c r="O48" s="162">
        <f>M48-N48</f>
        <v>0</v>
      </c>
      <c r="P48" s="143">
        <v>0</v>
      </c>
    </row>
    <row r="49" spans="2:16">
      <c r="B49" s="165"/>
      <c r="C49" s="161"/>
      <c r="D49" s="28" t="s">
        <v>1</v>
      </c>
      <c r="E49" s="35">
        <v>35.664000000000001</v>
      </c>
      <c r="F49" s="43"/>
      <c r="G49" s="35">
        <f>+I48+E49+F49</f>
        <v>1.4210854715202004E-14</v>
      </c>
      <c r="H49" s="43"/>
      <c r="I49" s="35">
        <f t="shared" si="21"/>
        <v>1.4210854715202004E-14</v>
      </c>
      <c r="J49" s="27">
        <f t="shared" si="8"/>
        <v>0</v>
      </c>
      <c r="K49" s="142"/>
      <c r="L49" s="142"/>
      <c r="M49" s="142"/>
      <c r="N49" s="142"/>
      <c r="O49" s="162"/>
      <c r="P49" s="143"/>
    </row>
    <row r="50" spans="2:16">
      <c r="B50" s="165"/>
      <c r="C50" s="161" t="s">
        <v>203</v>
      </c>
      <c r="D50" s="87" t="s">
        <v>0</v>
      </c>
      <c r="E50" s="91">
        <v>0</v>
      </c>
      <c r="F50" s="93">
        <f>6.393-6.245</f>
        <v>0.14799999999999969</v>
      </c>
      <c r="G50" s="91">
        <f>+E50+F50</f>
        <v>0.14799999999999969</v>
      </c>
      <c r="H50" s="93"/>
      <c r="I50" s="91">
        <f t="shared" si="21"/>
        <v>0.14799999999999969</v>
      </c>
      <c r="J50" s="27">
        <f t="shared" si="8"/>
        <v>0</v>
      </c>
      <c r="K50" s="142">
        <f>E50+E51</f>
        <v>0</v>
      </c>
      <c r="L50" s="142">
        <f>F50+F51</f>
        <v>0.14799999999999969</v>
      </c>
      <c r="M50" s="142">
        <f>K50+L50</f>
        <v>0.14799999999999969</v>
      </c>
      <c r="N50" s="142">
        <f>H50+H51</f>
        <v>0</v>
      </c>
      <c r="O50" s="163">
        <f>M50-N50</f>
        <v>0.14799999999999969</v>
      </c>
      <c r="P50" s="143">
        <f t="shared" ref="P50" si="22">N50/M50</f>
        <v>0</v>
      </c>
    </row>
    <row r="51" spans="2:16">
      <c r="B51" s="165"/>
      <c r="C51" s="161"/>
      <c r="D51" s="87" t="s">
        <v>1</v>
      </c>
      <c r="E51" s="91">
        <v>0</v>
      </c>
      <c r="F51" s="93"/>
      <c r="G51" s="91">
        <f>+I50+E51+F51</f>
        <v>0.14799999999999969</v>
      </c>
      <c r="H51" s="93"/>
      <c r="I51" s="91">
        <f t="shared" si="21"/>
        <v>0.14799999999999969</v>
      </c>
      <c r="J51" s="27">
        <f t="shared" si="8"/>
        <v>0</v>
      </c>
      <c r="K51" s="142"/>
      <c r="L51" s="142"/>
      <c r="M51" s="142"/>
      <c r="N51" s="142"/>
      <c r="O51" s="163"/>
      <c r="P51" s="143"/>
    </row>
    <row r="52" spans="2:16">
      <c r="B52" s="165"/>
      <c r="C52" s="161" t="s">
        <v>204</v>
      </c>
      <c r="D52" s="87" t="s">
        <v>0</v>
      </c>
      <c r="E52" s="91">
        <v>0</v>
      </c>
      <c r="F52" s="93">
        <f>66.906+89.208+89.208+89.208+89.208+133.812-66.906-89.208-89.208-89.208-89.208-133.812</f>
        <v>0</v>
      </c>
      <c r="G52" s="91">
        <f>+E52+F52</f>
        <v>0</v>
      </c>
      <c r="H52" s="93"/>
      <c r="I52" s="91">
        <f t="shared" si="21"/>
        <v>0</v>
      </c>
      <c r="J52" s="27" t="e">
        <f t="shared" si="8"/>
        <v>#DIV/0!</v>
      </c>
      <c r="K52" s="142">
        <f>E52+E53</f>
        <v>0</v>
      </c>
      <c r="L52" s="142">
        <f>F52+F53</f>
        <v>0</v>
      </c>
      <c r="M52" s="142">
        <f>K52+L52</f>
        <v>0</v>
      </c>
      <c r="N52" s="142">
        <f>H52+H53</f>
        <v>0</v>
      </c>
      <c r="O52" s="162">
        <f>M52-N52</f>
        <v>0</v>
      </c>
      <c r="P52" s="143">
        <v>0</v>
      </c>
    </row>
    <row r="53" spans="2:16">
      <c r="B53" s="165"/>
      <c r="C53" s="161"/>
      <c r="D53" s="87" t="s">
        <v>1</v>
      </c>
      <c r="E53" s="91">
        <v>0</v>
      </c>
      <c r="F53" s="93"/>
      <c r="G53" s="91">
        <f>+I52+E53+F53</f>
        <v>0</v>
      </c>
      <c r="H53" s="93"/>
      <c r="I53" s="91">
        <f t="shared" si="21"/>
        <v>0</v>
      </c>
      <c r="J53" s="27" t="e">
        <f t="shared" si="8"/>
        <v>#DIV/0!</v>
      </c>
      <c r="K53" s="142"/>
      <c r="L53" s="142"/>
      <c r="M53" s="142"/>
      <c r="N53" s="142"/>
      <c r="O53" s="162"/>
      <c r="P53" s="143"/>
    </row>
    <row r="54" spans="2:16">
      <c r="B54" s="165"/>
      <c r="C54" s="161" t="s">
        <v>216</v>
      </c>
      <c r="D54" s="98" t="s">
        <v>0</v>
      </c>
      <c r="E54" s="96">
        <v>0</v>
      </c>
      <c r="F54" s="97">
        <f>0.14868</f>
        <v>0.14868000000000001</v>
      </c>
      <c r="G54" s="96">
        <f>+E54+F54</f>
        <v>0.14868000000000001</v>
      </c>
      <c r="H54" s="97"/>
      <c r="I54" s="96">
        <f t="shared" si="21"/>
        <v>0.14868000000000001</v>
      </c>
      <c r="J54" s="27">
        <f t="shared" si="8"/>
        <v>0</v>
      </c>
      <c r="K54" s="142">
        <f>E54+E55</f>
        <v>0</v>
      </c>
      <c r="L54" s="142">
        <f>F54+F55</f>
        <v>0.14868000000000001</v>
      </c>
      <c r="M54" s="142">
        <f>K54+L54</f>
        <v>0.14868000000000001</v>
      </c>
      <c r="N54" s="142">
        <f>H54+H55</f>
        <v>0</v>
      </c>
      <c r="O54" s="163">
        <f>M54-N54</f>
        <v>0.14868000000000001</v>
      </c>
      <c r="P54" s="143">
        <f t="shared" ref="P54" si="23">N54/M54</f>
        <v>0</v>
      </c>
    </row>
    <row r="55" spans="2:16">
      <c r="B55" s="165"/>
      <c r="C55" s="161"/>
      <c r="D55" s="98" t="s">
        <v>1</v>
      </c>
      <c r="E55" s="96">
        <v>0</v>
      </c>
      <c r="F55" s="97"/>
      <c r="G55" s="96">
        <f>+I54+E55+F55</f>
        <v>0.14868000000000001</v>
      </c>
      <c r="H55" s="97"/>
      <c r="I55" s="96">
        <f t="shared" si="21"/>
        <v>0.14868000000000001</v>
      </c>
      <c r="J55" s="27">
        <f t="shared" si="8"/>
        <v>0</v>
      </c>
      <c r="K55" s="142"/>
      <c r="L55" s="142"/>
      <c r="M55" s="142"/>
      <c r="N55" s="142"/>
      <c r="O55" s="163"/>
      <c r="P55" s="143"/>
    </row>
    <row r="56" spans="2:16">
      <c r="B56" s="165"/>
      <c r="C56" s="169" t="s">
        <v>99</v>
      </c>
      <c r="D56" s="30" t="s">
        <v>0</v>
      </c>
      <c r="E56" s="41">
        <f>E26+E28+E30+E32+E34+E36+E38+E40+E42+E44+E46+E48+E50+E52+E54</f>
        <v>14125.001413999998</v>
      </c>
      <c r="F56" s="92">
        <f>F26+F28+F30+F32+F34+F36+F38+F40+F42+F44+F46+F48+F50+F52+F54</f>
        <v>-11178.340200000001</v>
      </c>
      <c r="G56" s="41">
        <f>E56+F56</f>
        <v>2946.6612139999979</v>
      </c>
      <c r="H56" s="41">
        <f>H26+H28+H30+H32+H34+H36+H38+H40+H42+H44+H46+H48+H50+H52+H54</f>
        <v>3097.6689999999999</v>
      </c>
      <c r="I56" s="41">
        <f>G56-H56</f>
        <v>-151.00778600000194</v>
      </c>
      <c r="J56" s="31">
        <f>H56/G56</f>
        <v>1.0512470810293844</v>
      </c>
      <c r="K56" s="155">
        <f>E56+E57</f>
        <v>14868.001487999998</v>
      </c>
      <c r="L56" s="155">
        <f>F56+F57</f>
        <v>-11178.340200000001</v>
      </c>
      <c r="M56" s="155">
        <f>K56+L56</f>
        <v>3689.6612879999975</v>
      </c>
      <c r="N56" s="155">
        <f t="shared" ref="N56" si="24">H56+H57</f>
        <v>3097.6689999999999</v>
      </c>
      <c r="O56" s="157">
        <f>M56-N56</f>
        <v>591.99228799999764</v>
      </c>
      <c r="P56" s="159">
        <f t="shared" ref="P56" si="25">N56/M56</f>
        <v>0.83955375797628007</v>
      </c>
    </row>
    <row r="57" spans="2:16">
      <c r="B57" s="166"/>
      <c r="C57" s="170"/>
      <c r="D57" s="30" t="s">
        <v>1</v>
      </c>
      <c r="E57" s="41">
        <f>E27+E29+E31+E33+E35+E37+E39+E41+E43+E45+E47+E49+E51+E53+E55</f>
        <v>743.00007399999993</v>
      </c>
      <c r="F57" s="92">
        <f>F27+F29+F31+F33+F35+F37+F39+F41+F43+F45+F47+F49+F51+F53+F55</f>
        <v>0</v>
      </c>
      <c r="G57" s="41">
        <f>E57+F57+I56</f>
        <v>591.99228799999798</v>
      </c>
      <c r="H57" s="41">
        <f>H27+H29+H31+H33+H35+H37+H39+H41+H43+H45+H47+H49+H51+H53+H55</f>
        <v>0</v>
      </c>
      <c r="I57" s="41">
        <f t="shared" si="10"/>
        <v>591.99228799999798</v>
      </c>
      <c r="J57" s="31">
        <f t="shared" si="8"/>
        <v>0</v>
      </c>
      <c r="K57" s="156"/>
      <c r="L57" s="156"/>
      <c r="M57" s="156"/>
      <c r="N57" s="156"/>
      <c r="O57" s="158"/>
      <c r="P57" s="160"/>
    </row>
    <row r="58" spans="2:16" ht="15" customHeight="1">
      <c r="B58" s="64"/>
      <c r="C58" s="65"/>
      <c r="D58" s="66"/>
      <c r="E58" s="55"/>
      <c r="F58" s="54"/>
      <c r="G58" s="55"/>
      <c r="H58" s="54"/>
      <c r="I58" s="55"/>
      <c r="J58" s="56"/>
      <c r="K58" s="55"/>
      <c r="L58" s="55"/>
      <c r="M58" s="55"/>
      <c r="N58" s="55"/>
      <c r="O58" s="67"/>
      <c r="P58" s="68"/>
    </row>
    <row r="59" spans="2:16" ht="15" customHeight="1">
      <c r="B59" s="64"/>
      <c r="C59" s="65"/>
      <c r="D59" s="66"/>
      <c r="E59" s="55"/>
      <c r="F59" s="54"/>
      <c r="G59" s="55"/>
      <c r="H59" s="54"/>
      <c r="I59" s="55"/>
      <c r="J59" s="56"/>
      <c r="K59" s="55"/>
      <c r="L59" s="55"/>
      <c r="M59" s="55"/>
      <c r="N59" s="55"/>
      <c r="O59" s="67"/>
      <c r="P59" s="68"/>
    </row>
    <row r="60" spans="2:16" ht="15" customHeight="1">
      <c r="C60" s="63"/>
      <c r="D60" s="61"/>
      <c r="E60" s="70"/>
      <c r="F60" s="69"/>
      <c r="G60" s="61"/>
      <c r="H60" s="61"/>
      <c r="I60" s="61"/>
      <c r="J60" s="61"/>
      <c r="K60" s="61"/>
      <c r="L60" s="69"/>
      <c r="M60" s="61"/>
      <c r="N60" s="61"/>
      <c r="O60" s="61"/>
      <c r="P60" s="61"/>
    </row>
    <row r="61" spans="2:16">
      <c r="B61" s="164" t="s">
        <v>68</v>
      </c>
      <c r="C61" s="161" t="s">
        <v>12</v>
      </c>
      <c r="D61" s="28" t="s">
        <v>0</v>
      </c>
      <c r="E61" s="35">
        <v>37504.3416</v>
      </c>
      <c r="F61" s="35">
        <f>890+1245+4335</f>
        <v>6470</v>
      </c>
      <c r="G61" s="35">
        <f>E61+F61</f>
        <v>43974.3416</v>
      </c>
      <c r="H61" s="112">
        <v>44656.171999999999</v>
      </c>
      <c r="I61" s="94">
        <f t="shared" ref="I61:I74" si="26">G61-H61</f>
        <v>-681.83039999999892</v>
      </c>
      <c r="J61" s="27">
        <f t="shared" ref="J61:J126" si="27">H61/G61</f>
        <v>1.0155051872340028</v>
      </c>
      <c r="K61" s="142">
        <f>E61+E62</f>
        <v>38269.741199999997</v>
      </c>
      <c r="L61" s="142">
        <f>F61+F62</f>
        <v>6470</v>
      </c>
      <c r="M61" s="142">
        <f>K61+L61</f>
        <v>44739.741199999997</v>
      </c>
      <c r="N61" s="142">
        <f>H61+H62</f>
        <v>44656.171999999999</v>
      </c>
      <c r="O61" s="163">
        <f>M61-N61</f>
        <v>83.569199999998091</v>
      </c>
      <c r="P61" s="143">
        <f>N61/M61</f>
        <v>0.9981321036340729</v>
      </c>
    </row>
    <row r="62" spans="2:16">
      <c r="B62" s="165"/>
      <c r="C62" s="161"/>
      <c r="D62" s="28" t="s">
        <v>1</v>
      </c>
      <c r="E62" s="35">
        <v>765.39959999999996</v>
      </c>
      <c r="F62" s="43"/>
      <c r="G62" s="35">
        <f>E62+F62+I61</f>
        <v>83.569200000001047</v>
      </c>
      <c r="H62" s="43"/>
      <c r="I62" s="94">
        <f t="shared" si="26"/>
        <v>83.569200000001047</v>
      </c>
      <c r="J62" s="27">
        <f t="shared" si="27"/>
        <v>0</v>
      </c>
      <c r="K62" s="142"/>
      <c r="L62" s="142"/>
      <c r="M62" s="142"/>
      <c r="N62" s="142"/>
      <c r="O62" s="163"/>
      <c r="P62" s="143"/>
    </row>
    <row r="63" spans="2:16">
      <c r="B63" s="165"/>
      <c r="C63" s="161" t="s">
        <v>6</v>
      </c>
      <c r="D63" s="28" t="s">
        <v>0</v>
      </c>
      <c r="E63" s="35">
        <v>64667.462899999999</v>
      </c>
      <c r="F63" s="35">
        <f>2000+5000+1000+4000</f>
        <v>12000</v>
      </c>
      <c r="G63" s="35">
        <f>E63+F63</f>
        <v>76667.462899999999</v>
      </c>
      <c r="H63" s="119">
        <v>77820.956000000006</v>
      </c>
      <c r="I63" s="35">
        <f t="shared" si="26"/>
        <v>-1153.493100000007</v>
      </c>
      <c r="J63" s="27">
        <f t="shared" si="27"/>
        <v>1.0150454059175604</v>
      </c>
      <c r="K63" s="142">
        <f>E63+E64</f>
        <v>65987.215500000006</v>
      </c>
      <c r="L63" s="142">
        <f>F63+F64</f>
        <v>12000</v>
      </c>
      <c r="M63" s="142">
        <f>K63+L63</f>
        <v>77987.215500000006</v>
      </c>
      <c r="N63" s="142">
        <f>H63+H64</f>
        <v>77820.956000000006</v>
      </c>
      <c r="O63" s="163">
        <f>M63-N63</f>
        <v>166.25950000000012</v>
      </c>
      <c r="P63" s="143">
        <f t="shared" ref="P63" si="28">N63/M63</f>
        <v>0.99786811852514468</v>
      </c>
    </row>
    <row r="64" spans="2:16">
      <c r="B64" s="165"/>
      <c r="C64" s="161"/>
      <c r="D64" s="28" t="s">
        <v>1</v>
      </c>
      <c r="E64" s="35">
        <v>1319.7526</v>
      </c>
      <c r="F64" s="43"/>
      <c r="G64" s="35">
        <f>E64+F64+I63</f>
        <v>166.25949999999307</v>
      </c>
      <c r="H64" s="43"/>
      <c r="I64" s="35">
        <f t="shared" si="26"/>
        <v>166.25949999999307</v>
      </c>
      <c r="J64" s="27">
        <f t="shared" si="27"/>
        <v>0</v>
      </c>
      <c r="K64" s="142"/>
      <c r="L64" s="142"/>
      <c r="M64" s="142"/>
      <c r="N64" s="142"/>
      <c r="O64" s="163"/>
      <c r="P64" s="143"/>
    </row>
    <row r="65" spans="2:16">
      <c r="B65" s="165"/>
      <c r="C65" s="161" t="s">
        <v>11</v>
      </c>
      <c r="D65" s="28" t="s">
        <v>0</v>
      </c>
      <c r="E65" s="35">
        <v>52173.892500000002</v>
      </c>
      <c r="F65" s="35">
        <f>3276.1575+1151.40228+500.0142+4500.2459+400+443.716</f>
        <v>10271.535879999999</v>
      </c>
      <c r="G65" s="35">
        <f>E65+F65</f>
        <v>62445.428379999998</v>
      </c>
      <c r="H65" s="112">
        <v>62829.144999999997</v>
      </c>
      <c r="I65" s="35">
        <f t="shared" si="26"/>
        <v>-383.71661999999924</v>
      </c>
      <c r="J65" s="27">
        <f t="shared" si="27"/>
        <v>1.0061448312543388</v>
      </c>
      <c r="K65" s="142">
        <f>E65+E66</f>
        <v>53238.672600000005</v>
      </c>
      <c r="L65" s="142">
        <f>F65+F66</f>
        <v>10271.535879999999</v>
      </c>
      <c r="M65" s="142">
        <f>K65+L65</f>
        <v>63510.208480000001</v>
      </c>
      <c r="N65" s="142">
        <f>H65+H66</f>
        <v>62829.144999999997</v>
      </c>
      <c r="O65" s="163">
        <f>M65-N65</f>
        <v>681.06348000000435</v>
      </c>
      <c r="P65" s="143">
        <f t="shared" ref="P65" si="29">N65/M65</f>
        <v>0.98927631484292045</v>
      </c>
    </row>
    <row r="66" spans="2:16">
      <c r="B66" s="165"/>
      <c r="C66" s="161"/>
      <c r="D66" s="28" t="s">
        <v>1</v>
      </c>
      <c r="E66" s="35">
        <v>1064.7800999999999</v>
      </c>
      <c r="F66" s="43"/>
      <c r="G66" s="35">
        <f>E66+F66+I65</f>
        <v>681.06348000000071</v>
      </c>
      <c r="H66" s="43"/>
      <c r="I66" s="35">
        <f>G66-H66</f>
        <v>681.06348000000071</v>
      </c>
      <c r="J66" s="27">
        <f t="shared" si="27"/>
        <v>0</v>
      </c>
      <c r="K66" s="142"/>
      <c r="L66" s="142"/>
      <c r="M66" s="142"/>
      <c r="N66" s="142"/>
      <c r="O66" s="163"/>
      <c r="P66" s="143"/>
    </row>
    <row r="67" spans="2:16">
      <c r="B67" s="165"/>
      <c r="C67" s="161" t="s">
        <v>185</v>
      </c>
      <c r="D67" s="28" t="s">
        <v>0</v>
      </c>
      <c r="E67" s="35">
        <v>1868.1311000000001</v>
      </c>
      <c r="F67" s="35">
        <f>-1151.40228-754.854</f>
        <v>-1906.2562800000001</v>
      </c>
      <c r="G67" s="35">
        <f>E67+F67</f>
        <v>-38.12518</v>
      </c>
      <c r="H67" s="43"/>
      <c r="I67" s="35">
        <f t="shared" si="26"/>
        <v>-38.12518</v>
      </c>
      <c r="J67" s="27">
        <f t="shared" si="27"/>
        <v>0</v>
      </c>
      <c r="K67" s="142">
        <f>E67+E68</f>
        <v>1906.2565</v>
      </c>
      <c r="L67" s="142">
        <f>F67+F68</f>
        <v>-1906.2562800000001</v>
      </c>
      <c r="M67" s="142">
        <f>K67+L67</f>
        <v>2.1999999989930075E-4</v>
      </c>
      <c r="N67" s="142">
        <f>H67+H68</f>
        <v>0</v>
      </c>
      <c r="O67" s="162">
        <f>M67-N67</f>
        <v>2.1999999989930075E-4</v>
      </c>
      <c r="P67" s="143">
        <f t="shared" ref="P67" si="30">N67/M67</f>
        <v>0</v>
      </c>
    </row>
    <row r="68" spans="2:16">
      <c r="B68" s="165"/>
      <c r="C68" s="161"/>
      <c r="D68" s="28" t="s">
        <v>1</v>
      </c>
      <c r="E68" s="35">
        <v>38.125399999999999</v>
      </c>
      <c r="F68" s="43"/>
      <c r="G68" s="35">
        <f>E68+F68+I67</f>
        <v>2.1999999999877673E-4</v>
      </c>
      <c r="H68" s="43"/>
      <c r="I68" s="35">
        <f>G68-H68</f>
        <v>2.1999999999877673E-4</v>
      </c>
      <c r="J68" s="27">
        <f t="shared" si="27"/>
        <v>0</v>
      </c>
      <c r="K68" s="142"/>
      <c r="L68" s="142"/>
      <c r="M68" s="142"/>
      <c r="N68" s="142"/>
      <c r="O68" s="162"/>
      <c r="P68" s="143"/>
    </row>
    <row r="69" spans="2:16">
      <c r="B69" s="165"/>
      <c r="C69" s="161" t="s">
        <v>13</v>
      </c>
      <c r="D69" s="28" t="s">
        <v>0</v>
      </c>
      <c r="E69" s="35">
        <v>16900.0432</v>
      </c>
      <c r="F69" s="43">
        <f>600+2800-90.985</f>
        <v>3309.0149999999999</v>
      </c>
      <c r="G69" s="35">
        <f>E69+F69</f>
        <v>20209.058199999999</v>
      </c>
      <c r="H69" s="119">
        <v>20560.923999999999</v>
      </c>
      <c r="I69" s="35">
        <f t="shared" si="26"/>
        <v>-351.86579999999958</v>
      </c>
      <c r="J69" s="27">
        <f t="shared" si="27"/>
        <v>1.0174112913386533</v>
      </c>
      <c r="K69" s="142">
        <f>E69+E70</f>
        <v>17244.944200000002</v>
      </c>
      <c r="L69" s="142">
        <f>F69+F70</f>
        <v>3309.0149999999999</v>
      </c>
      <c r="M69" s="142">
        <f>K69+L69</f>
        <v>20553.959200000001</v>
      </c>
      <c r="N69" s="142">
        <f>H69+H70</f>
        <v>20560.923999999999</v>
      </c>
      <c r="O69" s="163">
        <f>M69-N69</f>
        <v>-6.964799999997922</v>
      </c>
      <c r="P69" s="143">
        <f t="shared" ref="P69" si="31">N69/M69</f>
        <v>1.0003388544237257</v>
      </c>
    </row>
    <row r="70" spans="2:16">
      <c r="B70" s="165"/>
      <c r="C70" s="161"/>
      <c r="D70" s="28" t="s">
        <v>1</v>
      </c>
      <c r="E70" s="35">
        <v>344.90100000000001</v>
      </c>
      <c r="F70" s="43"/>
      <c r="G70" s="35">
        <f>E70+F70+I69</f>
        <v>-6.9647999999995704</v>
      </c>
      <c r="H70" s="43"/>
      <c r="I70" s="35">
        <f t="shared" si="26"/>
        <v>-6.9647999999995704</v>
      </c>
      <c r="J70" s="27">
        <f t="shared" si="27"/>
        <v>0</v>
      </c>
      <c r="K70" s="142"/>
      <c r="L70" s="142"/>
      <c r="M70" s="142"/>
      <c r="N70" s="142"/>
      <c r="O70" s="163"/>
      <c r="P70" s="143"/>
    </row>
    <row r="71" spans="2:16">
      <c r="B71" s="165"/>
      <c r="C71" s="161" t="s">
        <v>7</v>
      </c>
      <c r="D71" s="28" t="s">
        <v>0</v>
      </c>
      <c r="E71" s="35">
        <v>32060.671200000001</v>
      </c>
      <c r="F71" s="43">
        <f>1985.422+624.458-376.359+191.369+4430+184.99</f>
        <v>7039.88</v>
      </c>
      <c r="G71" s="35">
        <f>E71+F71</f>
        <v>39100.551200000002</v>
      </c>
      <c r="H71" s="119">
        <v>39750.811999999998</v>
      </c>
      <c r="I71" s="35">
        <f t="shared" si="26"/>
        <v>-650.26079999999638</v>
      </c>
      <c r="J71" s="27">
        <f t="shared" si="27"/>
        <v>1.0166304765545096</v>
      </c>
      <c r="K71" s="142">
        <f>E71+E72</f>
        <v>32714.9748</v>
      </c>
      <c r="L71" s="142">
        <f>F71+F72</f>
        <v>7039.88</v>
      </c>
      <c r="M71" s="142">
        <f>K71+L71</f>
        <v>39754.854800000001</v>
      </c>
      <c r="N71" s="142">
        <f>H71+H72</f>
        <v>39750.811999999998</v>
      </c>
      <c r="O71" s="163">
        <f>M71-N71</f>
        <v>4.0428000000028987</v>
      </c>
      <c r="P71" s="143">
        <f t="shared" ref="P71" si="32">N71/M71</f>
        <v>0.99989830675975699</v>
      </c>
    </row>
    <row r="72" spans="2:16">
      <c r="B72" s="165"/>
      <c r="C72" s="161"/>
      <c r="D72" s="28" t="s">
        <v>1</v>
      </c>
      <c r="E72" s="35">
        <v>654.30359999999996</v>
      </c>
      <c r="F72" s="43"/>
      <c r="G72" s="35">
        <f>E72+F72+I71</f>
        <v>4.0428000000035809</v>
      </c>
      <c r="H72" s="43"/>
      <c r="I72" s="35">
        <f t="shared" si="26"/>
        <v>4.0428000000035809</v>
      </c>
      <c r="J72" s="27">
        <f t="shared" si="27"/>
        <v>0</v>
      </c>
      <c r="K72" s="142"/>
      <c r="L72" s="142"/>
      <c r="M72" s="142"/>
      <c r="N72" s="142"/>
      <c r="O72" s="163"/>
      <c r="P72" s="143"/>
    </row>
    <row r="73" spans="2:16">
      <c r="B73" s="165"/>
      <c r="C73" s="161" t="s">
        <v>14</v>
      </c>
      <c r="D73" s="28" t="s">
        <v>0</v>
      </c>
      <c r="E73" s="35">
        <v>2.6568000000000001</v>
      </c>
      <c r="F73" s="43"/>
      <c r="G73" s="35">
        <f>E73+F73</f>
        <v>2.6568000000000001</v>
      </c>
      <c r="H73" s="43"/>
      <c r="I73" s="35">
        <f t="shared" si="26"/>
        <v>2.6568000000000001</v>
      </c>
      <c r="J73" s="27">
        <f t="shared" si="27"/>
        <v>0</v>
      </c>
      <c r="K73" s="142">
        <f>E73+E74</f>
        <v>2.7109999999999999</v>
      </c>
      <c r="L73" s="142">
        <f>F73+F74</f>
        <v>0</v>
      </c>
      <c r="M73" s="142">
        <f>K73+L73</f>
        <v>2.7109999999999999</v>
      </c>
      <c r="N73" s="142">
        <f>H73+H74</f>
        <v>0</v>
      </c>
      <c r="O73" s="163">
        <f>M73-N73</f>
        <v>2.7109999999999999</v>
      </c>
      <c r="P73" s="143">
        <f t="shared" ref="P73" si="33">N73/M73</f>
        <v>0</v>
      </c>
    </row>
    <row r="74" spans="2:16">
      <c r="B74" s="165"/>
      <c r="C74" s="161"/>
      <c r="D74" s="28" t="s">
        <v>1</v>
      </c>
      <c r="E74" s="35">
        <v>5.4199999999999998E-2</v>
      </c>
      <c r="F74" s="43"/>
      <c r="G74" s="35">
        <f>E74+F74+I73</f>
        <v>2.7109999999999999</v>
      </c>
      <c r="H74" s="43"/>
      <c r="I74" s="35">
        <f t="shared" si="26"/>
        <v>2.7109999999999999</v>
      </c>
      <c r="J74" s="27">
        <f t="shared" si="27"/>
        <v>0</v>
      </c>
      <c r="K74" s="142"/>
      <c r="L74" s="142"/>
      <c r="M74" s="142"/>
      <c r="N74" s="142"/>
      <c r="O74" s="163"/>
      <c r="P74" s="143"/>
    </row>
    <row r="75" spans="2:16">
      <c r="B75" s="165"/>
      <c r="C75" s="161" t="s">
        <v>9</v>
      </c>
      <c r="D75" s="28" t="s">
        <v>0</v>
      </c>
      <c r="E75" s="35">
        <v>24713.3305</v>
      </c>
      <c r="F75" s="35">
        <f>3690+1991+686.936-4407.319+4400.94+399.3+2068.298-3.189+104.537+1811.488</f>
        <v>10741.990999999998</v>
      </c>
      <c r="G75" s="35">
        <f>E75+F75</f>
        <v>35455.321499999998</v>
      </c>
      <c r="H75" s="119">
        <v>35325.097000000002</v>
      </c>
      <c r="I75" s="35">
        <f t="shared" ref="I75:I134" si="34">G75-H75</f>
        <v>130.22449999999662</v>
      </c>
      <c r="J75" s="27">
        <f t="shared" si="27"/>
        <v>0.99632708167658279</v>
      </c>
      <c r="K75" s="142">
        <f>E75+E76</f>
        <v>25217.687399999999</v>
      </c>
      <c r="L75" s="142">
        <f>F75+F76</f>
        <v>10741.990999999998</v>
      </c>
      <c r="M75" s="142">
        <f>K75+L75</f>
        <v>35959.678399999997</v>
      </c>
      <c r="N75" s="142">
        <f>H75+H76</f>
        <v>35325.097000000002</v>
      </c>
      <c r="O75" s="163">
        <f>M75-N75</f>
        <v>634.58139999999548</v>
      </c>
      <c r="P75" s="143">
        <f t="shared" ref="P75" si="35">N75/M75</f>
        <v>0.98235297343482375</v>
      </c>
    </row>
    <row r="76" spans="2:16">
      <c r="B76" s="165"/>
      <c r="C76" s="161"/>
      <c r="D76" s="28" t="s">
        <v>1</v>
      </c>
      <c r="E76" s="35">
        <v>504.3569</v>
      </c>
      <c r="F76" s="43"/>
      <c r="G76" s="35">
        <f>E76+F76+I75</f>
        <v>634.58139999999662</v>
      </c>
      <c r="H76" s="43"/>
      <c r="I76" s="35">
        <f>G76-H76</f>
        <v>634.58139999999662</v>
      </c>
      <c r="J76" s="27">
        <f t="shared" si="27"/>
        <v>0</v>
      </c>
      <c r="K76" s="142"/>
      <c r="L76" s="142"/>
      <c r="M76" s="142"/>
      <c r="N76" s="142"/>
      <c r="O76" s="163"/>
      <c r="P76" s="143"/>
    </row>
    <row r="77" spans="2:16">
      <c r="B77" s="165"/>
      <c r="C77" s="161" t="s">
        <v>4</v>
      </c>
      <c r="D77" s="28" t="s">
        <v>0</v>
      </c>
      <c r="E77" s="35">
        <v>79694.061300000001</v>
      </c>
      <c r="F77" s="35">
        <f>620+120+2970+946.309+610+70+1200+120+7500+2906.269+4169+3324+126</f>
        <v>24681.578000000001</v>
      </c>
      <c r="G77" s="35">
        <f>E77+F77</f>
        <v>104375.63930000001</v>
      </c>
      <c r="H77" s="119">
        <v>103177.909</v>
      </c>
      <c r="I77" s="35">
        <f t="shared" si="34"/>
        <v>1197.7303000000102</v>
      </c>
      <c r="J77" s="27">
        <f t="shared" si="27"/>
        <v>0.98852480992660119</v>
      </c>
      <c r="K77" s="142">
        <f>E77+E78</f>
        <v>81320.481100000005</v>
      </c>
      <c r="L77" s="142">
        <f>F77+F78</f>
        <v>24681.578000000001</v>
      </c>
      <c r="M77" s="142">
        <f>K77+L77</f>
        <v>106002.05910000001</v>
      </c>
      <c r="N77" s="142">
        <f>H77+H78</f>
        <v>103177.909</v>
      </c>
      <c r="O77" s="163">
        <f>M77-N77</f>
        <v>2824.1501000000135</v>
      </c>
      <c r="P77" s="143">
        <f t="shared" ref="P77" si="36">N77/M77</f>
        <v>0.97335759206964301</v>
      </c>
    </row>
    <row r="78" spans="2:16">
      <c r="B78" s="165"/>
      <c r="C78" s="161"/>
      <c r="D78" s="28" t="s">
        <v>1</v>
      </c>
      <c r="E78" s="35">
        <v>1626.4197999999999</v>
      </c>
      <c r="F78" s="43"/>
      <c r="G78" s="35">
        <f>E78+F78+I77</f>
        <v>2824.1501000000098</v>
      </c>
      <c r="H78" s="43"/>
      <c r="I78" s="35">
        <f t="shared" si="34"/>
        <v>2824.1501000000098</v>
      </c>
      <c r="J78" s="27">
        <f t="shared" si="27"/>
        <v>0</v>
      </c>
      <c r="K78" s="142"/>
      <c r="L78" s="142"/>
      <c r="M78" s="142"/>
      <c r="N78" s="142"/>
      <c r="O78" s="163"/>
      <c r="P78" s="143"/>
    </row>
    <row r="79" spans="2:16">
      <c r="B79" s="165"/>
      <c r="C79" s="161" t="s">
        <v>15</v>
      </c>
      <c r="D79" s="28" t="s">
        <v>0</v>
      </c>
      <c r="E79" s="35">
        <v>102.5539</v>
      </c>
      <c r="F79" s="43"/>
      <c r="G79" s="35">
        <f>E79+F79</f>
        <v>102.5539</v>
      </c>
      <c r="H79" s="43"/>
      <c r="I79" s="35">
        <f t="shared" si="34"/>
        <v>102.5539</v>
      </c>
      <c r="J79" s="27">
        <f t="shared" si="27"/>
        <v>0</v>
      </c>
      <c r="K79" s="142">
        <f>E79+E80</f>
        <v>104.6468</v>
      </c>
      <c r="L79" s="142">
        <f>F79+F80</f>
        <v>0</v>
      </c>
      <c r="M79" s="142">
        <f>K79+L79</f>
        <v>104.6468</v>
      </c>
      <c r="N79" s="142">
        <f>H79+H80</f>
        <v>0</v>
      </c>
      <c r="O79" s="163">
        <f>M79-N79</f>
        <v>104.6468</v>
      </c>
      <c r="P79" s="143">
        <f t="shared" ref="P79" si="37">N79/M79</f>
        <v>0</v>
      </c>
    </row>
    <row r="80" spans="2:16">
      <c r="B80" s="165"/>
      <c r="C80" s="161"/>
      <c r="D80" s="28" t="s">
        <v>1</v>
      </c>
      <c r="E80" s="35">
        <v>2.0929000000000002</v>
      </c>
      <c r="F80" s="43"/>
      <c r="G80" s="35">
        <f>E80+F80+I79</f>
        <v>104.6468</v>
      </c>
      <c r="H80" s="43"/>
      <c r="I80" s="35">
        <f t="shared" si="34"/>
        <v>104.6468</v>
      </c>
      <c r="J80" s="27">
        <f t="shared" si="27"/>
        <v>0</v>
      </c>
      <c r="K80" s="142"/>
      <c r="L80" s="142"/>
      <c r="M80" s="142"/>
      <c r="N80" s="142"/>
      <c r="O80" s="163"/>
      <c r="P80" s="143"/>
    </row>
    <row r="81" spans="2:16">
      <c r="B81" s="165"/>
      <c r="C81" s="161" t="s">
        <v>94</v>
      </c>
      <c r="D81" s="28" t="s">
        <v>0</v>
      </c>
      <c r="E81" s="35">
        <v>46.885399999999997</v>
      </c>
      <c r="F81" s="82">
        <f>3.1895+3.1895</f>
        <v>6.3789999999999996</v>
      </c>
      <c r="G81" s="35">
        <f>E81+F81</f>
        <v>53.264399999999995</v>
      </c>
      <c r="H81" s="119">
        <v>1.349</v>
      </c>
      <c r="I81" s="35">
        <f t="shared" si="34"/>
        <v>51.915399999999998</v>
      </c>
      <c r="J81" s="27">
        <f t="shared" si="27"/>
        <v>2.5326484481191944E-2</v>
      </c>
      <c r="K81" s="142">
        <f>E81+E82</f>
        <v>47.842299999999994</v>
      </c>
      <c r="L81" s="142">
        <f>F81+F82</f>
        <v>6.3789999999999996</v>
      </c>
      <c r="M81" s="142">
        <f>K81+L81</f>
        <v>54.221299999999992</v>
      </c>
      <c r="N81" s="142">
        <f>H81+H82</f>
        <v>1.349</v>
      </c>
      <c r="O81" s="163">
        <f>M81-N81</f>
        <v>52.872299999999996</v>
      </c>
      <c r="P81" s="143">
        <f t="shared" ref="P81" si="38">N81/M81</f>
        <v>2.4879521516452025E-2</v>
      </c>
    </row>
    <row r="82" spans="2:16">
      <c r="B82" s="165"/>
      <c r="C82" s="161"/>
      <c r="D82" s="28" t="s">
        <v>1</v>
      </c>
      <c r="E82" s="35">
        <v>0.95689999999999997</v>
      </c>
      <c r="F82" s="43"/>
      <c r="G82" s="35">
        <f>E82+F82+I81</f>
        <v>52.872299999999996</v>
      </c>
      <c r="H82" s="43"/>
      <c r="I82" s="35">
        <f t="shared" si="34"/>
        <v>52.872299999999996</v>
      </c>
      <c r="J82" s="27">
        <f t="shared" si="27"/>
        <v>0</v>
      </c>
      <c r="K82" s="142"/>
      <c r="L82" s="142"/>
      <c r="M82" s="142"/>
      <c r="N82" s="142"/>
      <c r="O82" s="163"/>
      <c r="P82" s="143"/>
    </row>
    <row r="83" spans="2:16">
      <c r="B83" s="165"/>
      <c r="C83" s="161" t="s">
        <v>104</v>
      </c>
      <c r="D83" s="28" t="s">
        <v>0</v>
      </c>
      <c r="E83" s="35">
        <v>3.1257000000000001</v>
      </c>
      <c r="F83" s="35">
        <f>-3.1895</f>
        <v>-3.1894999999999998</v>
      </c>
      <c r="G83" s="35">
        <f>E83+F83</f>
        <v>-6.3799999999999635E-2</v>
      </c>
      <c r="H83" s="43"/>
      <c r="I83" s="35">
        <f t="shared" ref="I83:I86" si="39">G83-H83</f>
        <v>-6.3799999999999635E-2</v>
      </c>
      <c r="J83" s="27">
        <f t="shared" si="27"/>
        <v>0</v>
      </c>
      <c r="K83" s="142">
        <f>E83+E84</f>
        <v>3.1895000000000002</v>
      </c>
      <c r="L83" s="142">
        <f>F83+F84</f>
        <v>-3.1894999999999998</v>
      </c>
      <c r="M83" s="142">
        <f>K83+L83</f>
        <v>0</v>
      </c>
      <c r="N83" s="142">
        <f>H83+H84</f>
        <v>0</v>
      </c>
      <c r="O83" s="162">
        <f>M83-N83</f>
        <v>0</v>
      </c>
      <c r="P83" s="143">
        <v>0</v>
      </c>
    </row>
    <row r="84" spans="2:16">
      <c r="B84" s="165"/>
      <c r="C84" s="161"/>
      <c r="D84" s="28" t="s">
        <v>1</v>
      </c>
      <c r="E84" s="35">
        <v>6.3799999999999996E-2</v>
      </c>
      <c r="F84" s="43"/>
      <c r="G84" s="35">
        <f>+I83+E84+F84</f>
        <v>3.6082248300317588E-16</v>
      </c>
      <c r="H84" s="43"/>
      <c r="I84" s="35">
        <f t="shared" si="39"/>
        <v>3.6082248300317588E-16</v>
      </c>
      <c r="J84" s="27">
        <f t="shared" si="27"/>
        <v>0</v>
      </c>
      <c r="K84" s="142"/>
      <c r="L84" s="142"/>
      <c r="M84" s="142"/>
      <c r="N84" s="142"/>
      <c r="O84" s="162"/>
      <c r="P84" s="143"/>
    </row>
    <row r="85" spans="2:16">
      <c r="B85" s="165"/>
      <c r="C85" s="161" t="s">
        <v>219</v>
      </c>
      <c r="D85" s="28" t="s">
        <v>0</v>
      </c>
      <c r="E85" s="35">
        <v>3.1257000000000001</v>
      </c>
      <c r="F85" s="109">
        <f>-3.1895</f>
        <v>-3.1894999999999998</v>
      </c>
      <c r="G85" s="35">
        <f>E85+F85</f>
        <v>-6.3799999999999635E-2</v>
      </c>
      <c r="H85" s="119">
        <v>5.0999999999999997E-2</v>
      </c>
      <c r="I85" s="35">
        <f t="shared" si="39"/>
        <v>-0.11479999999999962</v>
      </c>
      <c r="J85" s="27">
        <f t="shared" si="27"/>
        <v>-0.7993730407523556</v>
      </c>
      <c r="K85" s="142">
        <f>E85+E86</f>
        <v>3.1895000000000002</v>
      </c>
      <c r="L85" s="142">
        <f>F85+F86</f>
        <v>-3.1894999999999998</v>
      </c>
      <c r="M85" s="142">
        <f>K85+L85</f>
        <v>0</v>
      </c>
      <c r="N85" s="142">
        <f>H85+H86</f>
        <v>5.0999999999999997E-2</v>
      </c>
      <c r="O85" s="178">
        <f>M85-N85</f>
        <v>-5.0999999999999997E-2</v>
      </c>
      <c r="P85" s="177" t="e">
        <f t="shared" ref="P85" si="40">N85/M85</f>
        <v>#DIV/0!</v>
      </c>
    </row>
    <row r="86" spans="2:16">
      <c r="B86" s="165"/>
      <c r="C86" s="161"/>
      <c r="D86" s="28" t="s">
        <v>1</v>
      </c>
      <c r="E86" s="35">
        <v>6.3799999999999996E-2</v>
      </c>
      <c r="F86" s="43"/>
      <c r="G86" s="35">
        <f>E86+F86+I85</f>
        <v>-5.0999999999999629E-2</v>
      </c>
      <c r="H86" s="43"/>
      <c r="I86" s="35">
        <f t="shared" si="39"/>
        <v>-5.0999999999999629E-2</v>
      </c>
      <c r="J86" s="27">
        <f t="shared" si="27"/>
        <v>0</v>
      </c>
      <c r="K86" s="142"/>
      <c r="L86" s="142"/>
      <c r="M86" s="142"/>
      <c r="N86" s="142"/>
      <c r="O86" s="178"/>
      <c r="P86" s="177"/>
    </row>
    <row r="87" spans="2:16">
      <c r="B87" s="165"/>
      <c r="C87" s="161" t="s">
        <v>41</v>
      </c>
      <c r="D87" s="28" t="s">
        <v>0</v>
      </c>
      <c r="E87" s="35">
        <v>15.628500000000001</v>
      </c>
      <c r="F87" s="43"/>
      <c r="G87" s="35">
        <f>+E87+F87</f>
        <v>15.628500000000001</v>
      </c>
      <c r="H87" s="43"/>
      <c r="I87" s="35">
        <f t="shared" ref="I87:I100" si="41">+G87-H87</f>
        <v>15.628500000000001</v>
      </c>
      <c r="J87" s="27">
        <f t="shared" si="27"/>
        <v>0</v>
      </c>
      <c r="K87" s="142">
        <f>E87+E88</f>
        <v>15.947500000000002</v>
      </c>
      <c r="L87" s="142">
        <f>F87+F88</f>
        <v>0</v>
      </c>
      <c r="M87" s="142">
        <f>K87+L87</f>
        <v>15.947500000000002</v>
      </c>
      <c r="N87" s="142">
        <f>H87+H88</f>
        <v>0</v>
      </c>
      <c r="O87" s="163">
        <f>M87-N87</f>
        <v>15.947500000000002</v>
      </c>
      <c r="P87" s="143">
        <f t="shared" ref="P87" si="42">N87/M87</f>
        <v>0</v>
      </c>
    </row>
    <row r="88" spans="2:16">
      <c r="B88" s="165"/>
      <c r="C88" s="161"/>
      <c r="D88" s="28" t="s">
        <v>1</v>
      </c>
      <c r="E88" s="35">
        <v>0.31900000000000001</v>
      </c>
      <c r="F88" s="43"/>
      <c r="G88" s="35">
        <f>+I87+E88+F88</f>
        <v>15.947500000000002</v>
      </c>
      <c r="H88" s="43"/>
      <c r="I88" s="35">
        <f t="shared" si="41"/>
        <v>15.947500000000002</v>
      </c>
      <c r="J88" s="27">
        <f t="shared" si="27"/>
        <v>0</v>
      </c>
      <c r="K88" s="142"/>
      <c r="L88" s="142"/>
      <c r="M88" s="142"/>
      <c r="N88" s="142"/>
      <c r="O88" s="163"/>
      <c r="P88" s="143"/>
    </row>
    <row r="89" spans="2:16">
      <c r="B89" s="165"/>
      <c r="C89" s="161" t="s">
        <v>95</v>
      </c>
      <c r="D89" s="28" t="s">
        <v>0</v>
      </c>
      <c r="E89" s="35">
        <v>2813.1210000000001</v>
      </c>
      <c r="F89" s="43">
        <f>3537.192</f>
        <v>3537.192</v>
      </c>
      <c r="G89" s="35">
        <f>+E89+F89</f>
        <v>6350.3130000000001</v>
      </c>
      <c r="H89" s="119">
        <v>4705.4189999999999</v>
      </c>
      <c r="I89" s="105">
        <f t="shared" si="41"/>
        <v>1644.8940000000002</v>
      </c>
      <c r="J89" s="27">
        <f t="shared" si="27"/>
        <v>0.74097434252453376</v>
      </c>
      <c r="K89" s="142">
        <f>E89+E90</f>
        <v>2870.5320000000002</v>
      </c>
      <c r="L89" s="142">
        <f>F89+F90</f>
        <v>3537.192</v>
      </c>
      <c r="M89" s="142">
        <f>K89+L89</f>
        <v>6407.7240000000002</v>
      </c>
      <c r="N89" s="142">
        <f>H89+H90</f>
        <v>4705.4189999999999</v>
      </c>
      <c r="O89" s="163">
        <f>M89-N89</f>
        <v>1702.3050000000003</v>
      </c>
      <c r="P89" s="143">
        <f t="shared" ref="P89" si="43">N89/M89</f>
        <v>0.73433546763250102</v>
      </c>
    </row>
    <row r="90" spans="2:16">
      <c r="B90" s="165"/>
      <c r="C90" s="161"/>
      <c r="D90" s="28" t="s">
        <v>1</v>
      </c>
      <c r="E90" s="35">
        <v>57.411000000000001</v>
      </c>
      <c r="F90" s="43"/>
      <c r="G90" s="35">
        <f>+I89+E90+F90</f>
        <v>1702.3050000000003</v>
      </c>
      <c r="H90" s="43"/>
      <c r="I90" s="105">
        <f t="shared" si="41"/>
        <v>1702.3050000000003</v>
      </c>
      <c r="J90" s="27">
        <f t="shared" si="27"/>
        <v>0</v>
      </c>
      <c r="K90" s="142"/>
      <c r="L90" s="142"/>
      <c r="M90" s="142"/>
      <c r="N90" s="142"/>
      <c r="O90" s="163"/>
      <c r="P90" s="143"/>
    </row>
    <row r="91" spans="2:16">
      <c r="B91" s="165"/>
      <c r="C91" s="161" t="s">
        <v>203</v>
      </c>
      <c r="D91" s="87" t="s">
        <v>0</v>
      </c>
      <c r="E91" s="91">
        <v>0</v>
      </c>
      <c r="F91" s="100">
        <f>4407.319-4400.94-6.379</f>
        <v>8.1534778928471496E-13</v>
      </c>
      <c r="G91" s="91">
        <f>+E91+F91</f>
        <v>8.1534778928471496E-13</v>
      </c>
      <c r="H91" s="93"/>
      <c r="I91" s="91">
        <f t="shared" si="41"/>
        <v>8.1534778928471496E-13</v>
      </c>
      <c r="J91" s="27">
        <f t="shared" si="27"/>
        <v>0</v>
      </c>
      <c r="K91" s="142">
        <f>E91+E92</f>
        <v>0</v>
      </c>
      <c r="L91" s="142">
        <f>F91+F92</f>
        <v>8.1534778928471496E-13</v>
      </c>
      <c r="M91" s="142">
        <f>K91+L91</f>
        <v>8.1534778928471496E-13</v>
      </c>
      <c r="N91" s="142">
        <f>H91+H92</f>
        <v>0</v>
      </c>
      <c r="O91" s="162">
        <f>M91-N91</f>
        <v>8.1534778928471496E-13</v>
      </c>
      <c r="P91" s="143">
        <f t="shared" ref="P91" si="44">N91/M91</f>
        <v>0</v>
      </c>
    </row>
    <row r="92" spans="2:16">
      <c r="B92" s="165"/>
      <c r="C92" s="161"/>
      <c r="D92" s="87" t="s">
        <v>1</v>
      </c>
      <c r="E92" s="91">
        <v>0</v>
      </c>
      <c r="F92" s="93"/>
      <c r="G92" s="91">
        <f>+I91+E92+F92</f>
        <v>8.1534778928471496E-13</v>
      </c>
      <c r="H92" s="93"/>
      <c r="I92" s="91">
        <f t="shared" si="41"/>
        <v>8.1534778928471496E-13</v>
      </c>
      <c r="J92" s="27">
        <f t="shared" si="27"/>
        <v>0</v>
      </c>
      <c r="K92" s="142"/>
      <c r="L92" s="142"/>
      <c r="M92" s="142"/>
      <c r="N92" s="142"/>
      <c r="O92" s="162"/>
      <c r="P92" s="143"/>
    </row>
    <row r="93" spans="2:16">
      <c r="B93" s="165"/>
      <c r="C93" s="161" t="s">
        <v>204</v>
      </c>
      <c r="D93" s="87" t="s">
        <v>0</v>
      </c>
      <c r="E93" s="91">
        <v>0</v>
      </c>
      <c r="F93" s="93">
        <f>376.359-191.369-184.99</f>
        <v>0</v>
      </c>
      <c r="G93" s="91">
        <f>+E93+F93</f>
        <v>0</v>
      </c>
      <c r="H93" s="93"/>
      <c r="I93" s="91">
        <f t="shared" si="41"/>
        <v>0</v>
      </c>
      <c r="J93" s="27" t="e">
        <f t="shared" si="27"/>
        <v>#DIV/0!</v>
      </c>
      <c r="K93" s="142">
        <f>E93+E94</f>
        <v>0</v>
      </c>
      <c r="L93" s="142">
        <f>F93+F94</f>
        <v>0</v>
      </c>
      <c r="M93" s="142">
        <f>K93+L93</f>
        <v>0</v>
      </c>
      <c r="N93" s="142">
        <f>H93+H94</f>
        <v>0</v>
      </c>
      <c r="O93" s="162">
        <f>M93-N93</f>
        <v>0</v>
      </c>
      <c r="P93" s="143" t="e">
        <f t="shared" ref="P93" si="45">N93/M93</f>
        <v>#DIV/0!</v>
      </c>
    </row>
    <row r="94" spans="2:16">
      <c r="B94" s="165"/>
      <c r="C94" s="161"/>
      <c r="D94" s="87" t="s">
        <v>1</v>
      </c>
      <c r="E94" s="91">
        <v>0</v>
      </c>
      <c r="F94" s="93"/>
      <c r="G94" s="91">
        <f>+I93+E94+F94</f>
        <v>0</v>
      </c>
      <c r="H94" s="93"/>
      <c r="I94" s="91">
        <f t="shared" si="41"/>
        <v>0</v>
      </c>
      <c r="J94" s="27" t="e">
        <f t="shared" si="27"/>
        <v>#DIV/0!</v>
      </c>
      <c r="K94" s="142"/>
      <c r="L94" s="142"/>
      <c r="M94" s="142"/>
      <c r="N94" s="142"/>
      <c r="O94" s="162"/>
      <c r="P94" s="143"/>
    </row>
    <row r="95" spans="2:16">
      <c r="B95" s="165"/>
      <c r="C95" s="161" t="s">
        <v>216</v>
      </c>
      <c r="D95" s="98" t="s">
        <v>0</v>
      </c>
      <c r="E95" s="96">
        <v>0</v>
      </c>
      <c r="F95" s="97">
        <f>3.189+6.379</f>
        <v>9.5679999999999996</v>
      </c>
      <c r="G95" s="96">
        <f>+E95+F95</f>
        <v>9.5679999999999996</v>
      </c>
      <c r="H95" s="97"/>
      <c r="I95" s="96">
        <f t="shared" si="41"/>
        <v>9.5679999999999996</v>
      </c>
      <c r="J95" s="27">
        <f t="shared" si="27"/>
        <v>0</v>
      </c>
      <c r="K95" s="142">
        <f>E95+E96</f>
        <v>0</v>
      </c>
      <c r="L95" s="142">
        <f>F95+F96</f>
        <v>9.5679999999999996</v>
      </c>
      <c r="M95" s="142">
        <f>K95+L95</f>
        <v>9.5679999999999996</v>
      </c>
      <c r="N95" s="142">
        <f>H95+H96</f>
        <v>0</v>
      </c>
      <c r="O95" s="163">
        <f>M95-N95</f>
        <v>9.5679999999999996</v>
      </c>
      <c r="P95" s="143">
        <f t="shared" ref="P95" si="46">N95/M95</f>
        <v>0</v>
      </c>
    </row>
    <row r="96" spans="2:16">
      <c r="B96" s="165"/>
      <c r="C96" s="161"/>
      <c r="D96" s="98" t="s">
        <v>1</v>
      </c>
      <c r="E96" s="96">
        <v>0</v>
      </c>
      <c r="F96" s="97"/>
      <c r="G96" s="96">
        <f>+I95+E96+F96</f>
        <v>9.5679999999999996</v>
      </c>
      <c r="H96" s="97"/>
      <c r="I96" s="96">
        <f t="shared" si="41"/>
        <v>9.5679999999999996</v>
      </c>
      <c r="J96" s="27">
        <f t="shared" si="27"/>
        <v>0</v>
      </c>
      <c r="K96" s="142"/>
      <c r="L96" s="142"/>
      <c r="M96" s="142"/>
      <c r="N96" s="142"/>
      <c r="O96" s="163"/>
      <c r="P96" s="143"/>
    </row>
    <row r="97" spans="2:16">
      <c r="B97" s="165"/>
      <c r="C97" s="161" t="s">
        <v>220</v>
      </c>
      <c r="D97" s="111" t="s">
        <v>0</v>
      </c>
      <c r="E97" s="109">
        <v>0</v>
      </c>
      <c r="F97" s="110">
        <f>184.99-184.99</f>
        <v>0</v>
      </c>
      <c r="G97" s="109">
        <f>+E97+F97</f>
        <v>0</v>
      </c>
      <c r="H97" s="110"/>
      <c r="I97" s="109">
        <f t="shared" si="41"/>
        <v>0</v>
      </c>
      <c r="J97" s="27" t="e">
        <f t="shared" si="27"/>
        <v>#DIV/0!</v>
      </c>
      <c r="K97" s="142">
        <f>E97+E98</f>
        <v>0</v>
      </c>
      <c r="L97" s="142">
        <f>F97+F98</f>
        <v>0</v>
      </c>
      <c r="M97" s="142">
        <f>K97+L97</f>
        <v>0</v>
      </c>
      <c r="N97" s="142">
        <f>H97+H98</f>
        <v>0</v>
      </c>
      <c r="O97" s="162">
        <f>M97-N97</f>
        <v>0</v>
      </c>
      <c r="P97" s="143" t="e">
        <f t="shared" ref="P97" si="47">N97/M97</f>
        <v>#DIV/0!</v>
      </c>
    </row>
    <row r="98" spans="2:16">
      <c r="B98" s="165"/>
      <c r="C98" s="161"/>
      <c r="D98" s="111" t="s">
        <v>1</v>
      </c>
      <c r="E98" s="109">
        <v>0</v>
      </c>
      <c r="F98" s="110"/>
      <c r="G98" s="109">
        <f>+I97+E98+F98</f>
        <v>0</v>
      </c>
      <c r="H98" s="110"/>
      <c r="I98" s="109">
        <f t="shared" si="41"/>
        <v>0</v>
      </c>
      <c r="J98" s="27" t="e">
        <f t="shared" si="27"/>
        <v>#DIV/0!</v>
      </c>
      <c r="K98" s="142"/>
      <c r="L98" s="142"/>
      <c r="M98" s="142"/>
      <c r="N98" s="142"/>
      <c r="O98" s="162"/>
      <c r="P98" s="143"/>
    </row>
    <row r="99" spans="2:16">
      <c r="B99" s="165"/>
      <c r="C99" s="169" t="s">
        <v>99</v>
      </c>
      <c r="D99" s="30" t="s">
        <v>0</v>
      </c>
      <c r="E99" s="41">
        <f>E61+E63+E65+E67+E69+E71+E73+E75+E77+E79+E81+E83+E85+E87+E89+E91+E93+E95+E97</f>
        <v>312569.03129999997</v>
      </c>
      <c r="F99" s="92">
        <f>F61+F63+F65+F67+F69+F71+F73+F75+F77+F79+F81+F83+F85+F87+F89+F91+F93+F95+F97</f>
        <v>76154.503599999996</v>
      </c>
      <c r="G99" s="41">
        <f>+E99+F99</f>
        <v>388723.53489999997</v>
      </c>
      <c r="H99" s="41">
        <f>H61+H63+H65+H67+H69+H71+H73+H75+H77+H79+H81+H83+H85+H87+H89+H91+H93+H95+H97</f>
        <v>388827.83399999992</v>
      </c>
      <c r="I99" s="41">
        <f t="shared" si="41"/>
        <v>-104.29909999994561</v>
      </c>
      <c r="J99" s="31">
        <f t="shared" si="27"/>
        <v>1.0002683117707982</v>
      </c>
      <c r="K99" s="168">
        <f>E99+E100</f>
        <v>318948.03189999994</v>
      </c>
      <c r="L99" s="168">
        <f>F99+F100</f>
        <v>76154.503599999996</v>
      </c>
      <c r="M99" s="168">
        <f>K99+L99</f>
        <v>395102.53549999994</v>
      </c>
      <c r="N99" s="168">
        <f>H99+H100</f>
        <v>388827.83399999992</v>
      </c>
      <c r="O99" s="173">
        <f>M99-N99</f>
        <v>6274.7015000000247</v>
      </c>
      <c r="P99" s="172">
        <f t="shared" ref="P99" si="48">N99/M99</f>
        <v>0.9841188022444366</v>
      </c>
    </row>
    <row r="100" spans="2:16">
      <c r="B100" s="166"/>
      <c r="C100" s="170"/>
      <c r="D100" s="30" t="s">
        <v>1</v>
      </c>
      <c r="E100" s="41">
        <f>E62+E64+E66+E68+E70+E72+E74+E76+E78+E80+E82+E84+E86+E88+E90+E92+E94+E96+E98</f>
        <v>6379.0005999999985</v>
      </c>
      <c r="F100" s="92">
        <f>F62+F64+F66+F68+F70+F72+F74+F76+F78+F80+F82+F84+F86+F88+F90+F92+F94+F96+F98</f>
        <v>0</v>
      </c>
      <c r="G100" s="41">
        <f>+I99+E100+F100</f>
        <v>6274.7015000000529</v>
      </c>
      <c r="H100" s="41">
        <f>H62+H64+H66+H68+H70+H72+H74+H76+H78+H80+H82+H84+H86+H88+H90+H92+H94+H96+H98</f>
        <v>0</v>
      </c>
      <c r="I100" s="41">
        <f t="shared" si="41"/>
        <v>6274.7015000000529</v>
      </c>
      <c r="J100" s="31">
        <f t="shared" si="27"/>
        <v>0</v>
      </c>
      <c r="K100" s="168"/>
      <c r="L100" s="168"/>
      <c r="M100" s="168"/>
      <c r="N100" s="168"/>
      <c r="O100" s="173"/>
      <c r="P100" s="172"/>
    </row>
    <row r="101" spans="2:16" ht="15" customHeight="1">
      <c r="B101" s="64"/>
      <c r="C101" s="65"/>
      <c r="D101" s="66"/>
      <c r="E101" s="55"/>
      <c r="F101" s="54"/>
      <c r="G101" s="55"/>
      <c r="H101" s="54"/>
      <c r="I101" s="55"/>
      <c r="J101" s="56"/>
      <c r="K101" s="55"/>
      <c r="L101" s="55"/>
      <c r="M101" s="55"/>
      <c r="N101" s="55"/>
      <c r="O101" s="67"/>
      <c r="P101" s="68"/>
    </row>
    <row r="102" spans="2:16" ht="15" customHeight="1">
      <c r="C102" s="63"/>
      <c r="D102" s="61"/>
      <c r="E102" s="69"/>
      <c r="F102" s="69"/>
      <c r="G102" s="61"/>
      <c r="H102" s="69"/>
      <c r="I102" s="61"/>
      <c r="J102" s="61"/>
      <c r="K102" s="61"/>
      <c r="L102" s="69"/>
      <c r="M102" s="61"/>
      <c r="N102" s="61"/>
      <c r="O102" s="61"/>
      <c r="P102" s="61"/>
    </row>
    <row r="103" spans="2:16">
      <c r="B103" s="164" t="s">
        <v>69</v>
      </c>
      <c r="C103" s="161" t="s">
        <v>12</v>
      </c>
      <c r="D103" s="28" t="s">
        <v>0</v>
      </c>
      <c r="E103" s="35">
        <v>4252.0544</v>
      </c>
      <c r="F103" s="35">
        <f>-4335</f>
        <v>-4335</v>
      </c>
      <c r="G103" s="35">
        <f>E103+F103</f>
        <v>-82.945600000000013</v>
      </c>
      <c r="H103" s="35"/>
      <c r="I103" s="35">
        <f t="shared" si="34"/>
        <v>-82.945600000000013</v>
      </c>
      <c r="J103" s="27">
        <f t="shared" si="27"/>
        <v>0</v>
      </c>
      <c r="K103" s="142">
        <f>E103+E104</f>
        <v>4338.7991000000002</v>
      </c>
      <c r="L103" s="142">
        <f>F103+F104</f>
        <v>-4335</v>
      </c>
      <c r="M103" s="142">
        <f>K103+L103</f>
        <v>3.7991000000001804</v>
      </c>
      <c r="N103" s="142">
        <f>H103+H104</f>
        <v>0</v>
      </c>
      <c r="O103" s="163">
        <f>M103-N103</f>
        <v>3.7991000000001804</v>
      </c>
      <c r="P103" s="143">
        <f>N103/M103</f>
        <v>0</v>
      </c>
    </row>
    <row r="104" spans="2:16">
      <c r="B104" s="165"/>
      <c r="C104" s="161"/>
      <c r="D104" s="28" t="s">
        <v>1</v>
      </c>
      <c r="E104" s="35">
        <v>86.744699999999995</v>
      </c>
      <c r="F104" s="35"/>
      <c r="G104" s="35">
        <f>E104+F104+I103</f>
        <v>3.7990999999999815</v>
      </c>
      <c r="H104" s="35"/>
      <c r="I104" s="35">
        <f t="shared" si="34"/>
        <v>3.7990999999999815</v>
      </c>
      <c r="J104" s="27">
        <f t="shared" si="27"/>
        <v>0</v>
      </c>
      <c r="K104" s="142"/>
      <c r="L104" s="142"/>
      <c r="M104" s="142"/>
      <c r="N104" s="142"/>
      <c r="O104" s="163"/>
      <c r="P104" s="143"/>
    </row>
    <row r="105" spans="2:16">
      <c r="B105" s="165"/>
      <c r="C105" s="161" t="s">
        <v>5</v>
      </c>
      <c r="D105" s="28" t="s">
        <v>0</v>
      </c>
      <c r="E105" s="35">
        <v>37.599499999999999</v>
      </c>
      <c r="F105" s="35"/>
      <c r="G105" s="35">
        <f>E105+F105</f>
        <v>37.599499999999999</v>
      </c>
      <c r="H105" s="35"/>
      <c r="I105" s="35">
        <f t="shared" si="34"/>
        <v>37.599499999999999</v>
      </c>
      <c r="J105" s="27">
        <f t="shared" si="27"/>
        <v>0</v>
      </c>
      <c r="K105" s="142">
        <f>E105+E106</f>
        <v>38.366599999999998</v>
      </c>
      <c r="L105" s="142">
        <f>F105+F106</f>
        <v>0</v>
      </c>
      <c r="M105" s="142">
        <f>K105+L105</f>
        <v>38.366599999999998</v>
      </c>
      <c r="N105" s="142">
        <f>H105+H106</f>
        <v>0</v>
      </c>
      <c r="O105" s="163">
        <f>M105-N105</f>
        <v>38.366599999999998</v>
      </c>
      <c r="P105" s="143">
        <f t="shared" ref="P105" si="49">N105/M105</f>
        <v>0</v>
      </c>
    </row>
    <row r="106" spans="2:16">
      <c r="B106" s="165"/>
      <c r="C106" s="161"/>
      <c r="D106" s="28" t="s">
        <v>1</v>
      </c>
      <c r="E106" s="35">
        <v>0.7671</v>
      </c>
      <c r="F106" s="35"/>
      <c r="G106" s="35">
        <f>E106+F106+I105</f>
        <v>38.366599999999998</v>
      </c>
      <c r="H106" s="35"/>
      <c r="I106" s="35">
        <f t="shared" si="34"/>
        <v>38.366599999999998</v>
      </c>
      <c r="J106" s="27">
        <f t="shared" si="27"/>
        <v>0</v>
      </c>
      <c r="K106" s="142"/>
      <c r="L106" s="142"/>
      <c r="M106" s="142"/>
      <c r="N106" s="142"/>
      <c r="O106" s="163"/>
      <c r="P106" s="143"/>
    </row>
    <row r="107" spans="2:16">
      <c r="B107" s="165"/>
      <c r="C107" s="161" t="s">
        <v>11</v>
      </c>
      <c r="D107" s="28" t="s">
        <v>0</v>
      </c>
      <c r="E107" s="35">
        <v>6012.8099000000002</v>
      </c>
      <c r="F107" s="35">
        <f>-4500.2459-400-443.716</f>
        <v>-5343.9619000000002</v>
      </c>
      <c r="G107" s="35">
        <f>E107+F107</f>
        <v>668.84799999999996</v>
      </c>
      <c r="H107" s="112">
        <v>779.34199999999998</v>
      </c>
      <c r="I107" s="35">
        <f t="shared" si="34"/>
        <v>-110.49400000000003</v>
      </c>
      <c r="J107" s="27">
        <f t="shared" si="27"/>
        <v>1.1652004640815252</v>
      </c>
      <c r="K107" s="142">
        <f>E107+E108</f>
        <v>6135.4751999999999</v>
      </c>
      <c r="L107" s="142">
        <f>F107+F108</f>
        <v>-5343.9619000000002</v>
      </c>
      <c r="M107" s="142">
        <f>K107+L107</f>
        <v>791.51329999999962</v>
      </c>
      <c r="N107" s="142">
        <f>H107+H108</f>
        <v>779.34199999999998</v>
      </c>
      <c r="O107" s="163">
        <f>M107-N107</f>
        <v>12.171299999999633</v>
      </c>
      <c r="P107" s="143">
        <f t="shared" ref="P107" si="50">N107/M107</f>
        <v>0.98462274733728461</v>
      </c>
    </row>
    <row r="108" spans="2:16">
      <c r="B108" s="165"/>
      <c r="C108" s="161"/>
      <c r="D108" s="28" t="s">
        <v>1</v>
      </c>
      <c r="E108" s="35">
        <v>122.6653</v>
      </c>
      <c r="F108" s="35"/>
      <c r="G108" s="35">
        <f>E108+F108+I107</f>
        <v>12.171299999999974</v>
      </c>
      <c r="H108" s="35"/>
      <c r="I108" s="35">
        <f t="shared" si="34"/>
        <v>12.171299999999974</v>
      </c>
      <c r="J108" s="27">
        <f t="shared" si="27"/>
        <v>0</v>
      </c>
      <c r="K108" s="142"/>
      <c r="L108" s="142"/>
      <c r="M108" s="142"/>
      <c r="N108" s="142"/>
      <c r="O108" s="163"/>
      <c r="P108" s="143"/>
    </row>
    <row r="109" spans="2:16">
      <c r="B109" s="165"/>
      <c r="C109" s="161" t="s">
        <v>102</v>
      </c>
      <c r="D109" s="28" t="s">
        <v>0</v>
      </c>
      <c r="E109" s="35">
        <v>1.48</v>
      </c>
      <c r="F109" s="35"/>
      <c r="G109" s="35">
        <f>E109+F109</f>
        <v>1.48</v>
      </c>
      <c r="H109" s="35"/>
      <c r="I109" s="35">
        <f t="shared" si="34"/>
        <v>1.48</v>
      </c>
      <c r="J109" s="27">
        <f t="shared" si="27"/>
        <v>0</v>
      </c>
      <c r="K109" s="142">
        <f>E109+E110</f>
        <v>1.5102</v>
      </c>
      <c r="L109" s="142">
        <f>F109+F110</f>
        <v>0</v>
      </c>
      <c r="M109" s="142">
        <f>K109+L109</f>
        <v>1.5102</v>
      </c>
      <c r="N109" s="142">
        <f>H109+H110</f>
        <v>0</v>
      </c>
      <c r="O109" s="163">
        <f>M109-N109</f>
        <v>1.5102</v>
      </c>
      <c r="P109" s="143">
        <f t="shared" ref="P109" si="51">N109/M109</f>
        <v>0</v>
      </c>
    </row>
    <row r="110" spans="2:16">
      <c r="B110" s="165"/>
      <c r="C110" s="161"/>
      <c r="D110" s="28" t="s">
        <v>1</v>
      </c>
      <c r="E110" s="35">
        <v>3.0200000000000001E-2</v>
      </c>
      <c r="F110" s="35"/>
      <c r="G110" s="35">
        <f>E110+F110+I109</f>
        <v>1.5102</v>
      </c>
      <c r="H110" s="35"/>
      <c r="I110" s="35">
        <f t="shared" si="34"/>
        <v>1.5102</v>
      </c>
      <c r="J110" s="27">
        <f t="shared" si="27"/>
        <v>0</v>
      </c>
      <c r="K110" s="142"/>
      <c r="L110" s="142"/>
      <c r="M110" s="142"/>
      <c r="N110" s="142"/>
      <c r="O110" s="163"/>
      <c r="P110" s="143"/>
    </row>
    <row r="111" spans="2:16">
      <c r="B111" s="165"/>
      <c r="C111" s="161" t="s">
        <v>6</v>
      </c>
      <c r="D111" s="28" t="s">
        <v>0</v>
      </c>
      <c r="E111" s="35">
        <v>9035.5161000000007</v>
      </c>
      <c r="F111" s="35">
        <f>-5000-4000</f>
        <v>-9000</v>
      </c>
      <c r="G111" s="35">
        <f>E111+F111</f>
        <v>35.516100000000733</v>
      </c>
      <c r="H111" s="35"/>
      <c r="I111" s="35">
        <f t="shared" si="34"/>
        <v>35.516100000000733</v>
      </c>
      <c r="J111" s="27">
        <f t="shared" si="27"/>
        <v>0</v>
      </c>
      <c r="K111" s="142">
        <f>E111+E112</f>
        <v>9219.8466000000008</v>
      </c>
      <c r="L111" s="142">
        <f>F111+F112</f>
        <v>-9000</v>
      </c>
      <c r="M111" s="142">
        <f>K111+L111</f>
        <v>219.84660000000076</v>
      </c>
      <c r="N111" s="142">
        <f>H111+H112</f>
        <v>0</v>
      </c>
      <c r="O111" s="163">
        <f>M111-N111</f>
        <v>219.84660000000076</v>
      </c>
      <c r="P111" s="143">
        <f t="shared" ref="P111" si="52">N111/M111</f>
        <v>0</v>
      </c>
    </row>
    <row r="112" spans="2:16">
      <c r="B112" s="165"/>
      <c r="C112" s="161"/>
      <c r="D112" s="28" t="s">
        <v>1</v>
      </c>
      <c r="E112" s="35">
        <v>184.3305</v>
      </c>
      <c r="F112" s="35"/>
      <c r="G112" s="35">
        <f>E112+F112+I111</f>
        <v>219.84660000000073</v>
      </c>
      <c r="H112" s="35"/>
      <c r="I112" s="35">
        <f t="shared" si="34"/>
        <v>219.84660000000073</v>
      </c>
      <c r="J112" s="27">
        <f t="shared" si="27"/>
        <v>0</v>
      </c>
      <c r="K112" s="142"/>
      <c r="L112" s="142"/>
      <c r="M112" s="142"/>
      <c r="N112" s="142"/>
      <c r="O112" s="163"/>
      <c r="P112" s="143"/>
    </row>
    <row r="113" spans="2:16">
      <c r="B113" s="165"/>
      <c r="C113" s="161" t="s">
        <v>185</v>
      </c>
      <c r="D113" s="28" t="s">
        <v>0</v>
      </c>
      <c r="E113" s="35">
        <v>211.27189999999999</v>
      </c>
      <c r="F113" s="35">
        <f>-215.582</f>
        <v>-215.58199999999999</v>
      </c>
      <c r="G113" s="35">
        <f>E113+F113</f>
        <v>-4.3101000000000056</v>
      </c>
      <c r="H113" s="35"/>
      <c r="I113" s="35">
        <f t="shared" si="34"/>
        <v>-4.3101000000000056</v>
      </c>
      <c r="J113" s="27">
        <f t="shared" si="27"/>
        <v>0</v>
      </c>
      <c r="K113" s="142">
        <f>E113+E114</f>
        <v>215.58199999999999</v>
      </c>
      <c r="L113" s="142">
        <f>F113+F114</f>
        <v>-215.58199999999999</v>
      </c>
      <c r="M113" s="142">
        <f>K113+L113</f>
        <v>0</v>
      </c>
      <c r="N113" s="142">
        <f>H113+H114</f>
        <v>0</v>
      </c>
      <c r="O113" s="162">
        <f>M113-N113</f>
        <v>0</v>
      </c>
      <c r="P113" s="143">
        <v>0</v>
      </c>
    </row>
    <row r="114" spans="2:16">
      <c r="B114" s="165"/>
      <c r="C114" s="161"/>
      <c r="D114" s="28" t="s">
        <v>1</v>
      </c>
      <c r="E114" s="35">
        <v>4.3101000000000003</v>
      </c>
      <c r="F114" s="35"/>
      <c r="G114" s="35">
        <f>E114+F114+I113</f>
        <v>0</v>
      </c>
      <c r="H114" s="35"/>
      <c r="I114" s="35">
        <f t="shared" si="34"/>
        <v>0</v>
      </c>
      <c r="J114" s="27" t="e">
        <f t="shared" si="27"/>
        <v>#DIV/0!</v>
      </c>
      <c r="K114" s="142"/>
      <c r="L114" s="142"/>
      <c r="M114" s="142"/>
      <c r="N114" s="142"/>
      <c r="O114" s="162"/>
      <c r="P114" s="143"/>
    </row>
    <row r="115" spans="2:16">
      <c r="B115" s="165"/>
      <c r="C115" s="161" t="s">
        <v>13</v>
      </c>
      <c r="D115" s="28" t="s">
        <v>0</v>
      </c>
      <c r="E115" s="35">
        <v>2760.9375</v>
      </c>
      <c r="F115" s="35">
        <f>-2800</f>
        <v>-2800</v>
      </c>
      <c r="G115" s="35">
        <f>E115+F115</f>
        <v>-39.0625</v>
      </c>
      <c r="H115" s="35"/>
      <c r="I115" s="35">
        <f t="shared" si="34"/>
        <v>-39.0625</v>
      </c>
      <c r="J115" s="27">
        <f t="shared" si="27"/>
        <v>0</v>
      </c>
      <c r="K115" s="142">
        <f>E115+E116</f>
        <v>2817.2624999999998</v>
      </c>
      <c r="L115" s="142">
        <f>F115+F116</f>
        <v>-2800</v>
      </c>
      <c r="M115" s="142">
        <f>K115+L115</f>
        <v>17.262499999999818</v>
      </c>
      <c r="N115" s="142">
        <f>H115+H116</f>
        <v>0</v>
      </c>
      <c r="O115" s="163">
        <f>M115-N115</f>
        <v>17.262499999999818</v>
      </c>
      <c r="P115" s="143">
        <f t="shared" ref="P115" si="53">N115/M115</f>
        <v>0</v>
      </c>
    </row>
    <row r="116" spans="2:16">
      <c r="B116" s="165"/>
      <c r="C116" s="161"/>
      <c r="D116" s="28" t="s">
        <v>1</v>
      </c>
      <c r="E116" s="35">
        <v>56.325000000000003</v>
      </c>
      <c r="F116" s="35"/>
      <c r="G116" s="35">
        <f>E116+F116+I115</f>
        <v>17.262500000000003</v>
      </c>
      <c r="H116" s="35"/>
      <c r="I116" s="35">
        <f t="shared" si="34"/>
        <v>17.262500000000003</v>
      </c>
      <c r="J116" s="27">
        <f t="shared" si="27"/>
        <v>0</v>
      </c>
      <c r="K116" s="142"/>
      <c r="L116" s="142"/>
      <c r="M116" s="142"/>
      <c r="N116" s="142"/>
      <c r="O116" s="163"/>
      <c r="P116" s="143"/>
    </row>
    <row r="117" spans="2:16">
      <c r="B117" s="165"/>
      <c r="C117" s="161" t="s">
        <v>7</v>
      </c>
      <c r="D117" s="28" t="s">
        <v>0</v>
      </c>
      <c r="E117" s="35">
        <v>4341.8091999999997</v>
      </c>
      <c r="F117" s="35">
        <f>-4430</f>
        <v>-4430</v>
      </c>
      <c r="G117" s="35">
        <f>E117+F117</f>
        <v>-88.190800000000309</v>
      </c>
      <c r="H117" s="35"/>
      <c r="I117" s="35">
        <f t="shared" si="34"/>
        <v>-88.190800000000309</v>
      </c>
      <c r="J117" s="27">
        <f t="shared" si="27"/>
        <v>0</v>
      </c>
      <c r="K117" s="142">
        <f>E117+E118</f>
        <v>4430.3849999999993</v>
      </c>
      <c r="L117" s="142">
        <f>F117+F118</f>
        <v>-4430</v>
      </c>
      <c r="M117" s="142">
        <f>K117+L117</f>
        <v>0.38499999999930878</v>
      </c>
      <c r="N117" s="142">
        <f>H117+H118</f>
        <v>0</v>
      </c>
      <c r="O117" s="163">
        <f>M117-N117</f>
        <v>0.38499999999930878</v>
      </c>
      <c r="P117" s="143">
        <f t="shared" ref="P117" si="54">N117/M117</f>
        <v>0</v>
      </c>
    </row>
    <row r="118" spans="2:16">
      <c r="B118" s="165"/>
      <c r="C118" s="161"/>
      <c r="D118" s="28" t="s">
        <v>1</v>
      </c>
      <c r="E118" s="35">
        <v>88.575800000000001</v>
      </c>
      <c r="F118" s="35"/>
      <c r="G118" s="35">
        <f>E118+F118+I117</f>
        <v>0.38499999999969248</v>
      </c>
      <c r="H118" s="35"/>
      <c r="I118" s="35">
        <f t="shared" si="34"/>
        <v>0.38499999999969248</v>
      </c>
      <c r="J118" s="27">
        <f t="shared" si="27"/>
        <v>0</v>
      </c>
      <c r="K118" s="142"/>
      <c r="L118" s="142"/>
      <c r="M118" s="142"/>
      <c r="N118" s="142"/>
      <c r="O118" s="163"/>
      <c r="P118" s="143"/>
    </row>
    <row r="119" spans="2:16">
      <c r="B119" s="165"/>
      <c r="C119" s="161" t="s">
        <v>41</v>
      </c>
      <c r="D119" s="28" t="s">
        <v>0</v>
      </c>
      <c r="E119" s="35">
        <v>0.37</v>
      </c>
      <c r="F119" s="35"/>
      <c r="G119" s="35">
        <f>E119+F119</f>
        <v>0.37</v>
      </c>
      <c r="H119" s="35"/>
      <c r="I119" s="35">
        <f t="shared" si="34"/>
        <v>0.37</v>
      </c>
      <c r="J119" s="27">
        <f t="shared" si="27"/>
        <v>0</v>
      </c>
      <c r="K119" s="142">
        <f>E119+E120</f>
        <v>0.3775</v>
      </c>
      <c r="L119" s="142">
        <f>F119+F120</f>
        <v>0</v>
      </c>
      <c r="M119" s="142">
        <f>K119+L119</f>
        <v>0.3775</v>
      </c>
      <c r="N119" s="142">
        <f>H119+H120</f>
        <v>0</v>
      </c>
      <c r="O119" s="163">
        <f>M119-N119</f>
        <v>0.3775</v>
      </c>
      <c r="P119" s="143">
        <f t="shared" ref="P119" si="55">N119/M119</f>
        <v>0</v>
      </c>
    </row>
    <row r="120" spans="2:16">
      <c r="B120" s="165"/>
      <c r="C120" s="161"/>
      <c r="D120" s="28" t="s">
        <v>1</v>
      </c>
      <c r="E120" s="35">
        <v>7.4999999999999997E-3</v>
      </c>
      <c r="F120" s="35"/>
      <c r="G120" s="35">
        <f>E120+F120+I119</f>
        <v>0.3775</v>
      </c>
      <c r="H120" s="35"/>
      <c r="I120" s="35">
        <f t="shared" si="34"/>
        <v>0.3775</v>
      </c>
      <c r="J120" s="27">
        <f t="shared" si="27"/>
        <v>0</v>
      </c>
      <c r="K120" s="142"/>
      <c r="L120" s="142"/>
      <c r="M120" s="142"/>
      <c r="N120" s="142"/>
      <c r="O120" s="163"/>
      <c r="P120" s="143"/>
    </row>
    <row r="121" spans="2:16">
      <c r="B121" s="165"/>
      <c r="C121" s="161" t="s">
        <v>9</v>
      </c>
      <c r="D121" s="28" t="s">
        <v>0</v>
      </c>
      <c r="E121" s="35">
        <v>4200.9961000000003</v>
      </c>
      <c r="F121" s="35">
        <f>-1818.658+1815.548-399.3-2068.298-0.44416-1811.488</f>
        <v>-4282.6401599999999</v>
      </c>
      <c r="G121" s="35">
        <f>E121+F121</f>
        <v>-81.644059999999627</v>
      </c>
      <c r="H121" s="35"/>
      <c r="I121" s="35">
        <f>G121-H121</f>
        <v>-81.644059999999627</v>
      </c>
      <c r="J121" s="27">
        <f t="shared" si="27"/>
        <v>0</v>
      </c>
      <c r="K121" s="142">
        <f>E121+E122</f>
        <v>4286.6992</v>
      </c>
      <c r="L121" s="142">
        <f>F121+F122</f>
        <v>-4282.6401599999999</v>
      </c>
      <c r="M121" s="142">
        <f>K121+L121</f>
        <v>4.0590400000000955</v>
      </c>
      <c r="N121" s="142">
        <f>H121+H122</f>
        <v>0</v>
      </c>
      <c r="O121" s="163">
        <f>M121-N121</f>
        <v>4.0590400000000955</v>
      </c>
      <c r="P121" s="143">
        <f t="shared" ref="P121" si="56">N121/M121</f>
        <v>0</v>
      </c>
    </row>
    <row r="122" spans="2:16">
      <c r="B122" s="165"/>
      <c r="C122" s="161"/>
      <c r="D122" s="28" t="s">
        <v>1</v>
      </c>
      <c r="E122" s="35">
        <v>85.703100000000006</v>
      </c>
      <c r="F122" s="35"/>
      <c r="G122" s="35">
        <f>E122+F122+I121</f>
        <v>4.0590400000003797</v>
      </c>
      <c r="H122" s="35"/>
      <c r="I122" s="35">
        <f t="shared" si="34"/>
        <v>4.0590400000003797</v>
      </c>
      <c r="J122" s="27">
        <f t="shared" si="27"/>
        <v>0</v>
      </c>
      <c r="K122" s="142"/>
      <c r="L122" s="142"/>
      <c r="M122" s="142"/>
      <c r="N122" s="142"/>
      <c r="O122" s="163"/>
      <c r="P122" s="143"/>
    </row>
    <row r="123" spans="2:16">
      <c r="B123" s="165"/>
      <c r="C123" s="161" t="s">
        <v>4</v>
      </c>
      <c r="D123" s="28" t="s">
        <v>0</v>
      </c>
      <c r="E123" s="35">
        <v>11490.1036</v>
      </c>
      <c r="F123" s="35">
        <f>-7500-3324</f>
        <v>-10824</v>
      </c>
      <c r="G123" s="35">
        <f>E123+F123</f>
        <v>666.10360000000037</v>
      </c>
      <c r="H123" s="112">
        <v>899.74</v>
      </c>
      <c r="I123" s="35">
        <f t="shared" si="34"/>
        <v>-233.63639999999964</v>
      </c>
      <c r="J123" s="27">
        <f t="shared" si="27"/>
        <v>1.3507508441629794</v>
      </c>
      <c r="K123" s="142">
        <f>E123+E124</f>
        <v>11724.5093</v>
      </c>
      <c r="L123" s="142">
        <f>F123+F124</f>
        <v>-10824</v>
      </c>
      <c r="M123" s="142">
        <f>K123+L123</f>
        <v>900.50929999999971</v>
      </c>
      <c r="N123" s="142">
        <f>H123+H124</f>
        <v>899.74</v>
      </c>
      <c r="O123" s="163">
        <f>M123-N123</f>
        <v>0.76929999999970278</v>
      </c>
      <c r="P123" s="143">
        <f t="shared" ref="P123" si="57">N123/M123</f>
        <v>0.99914570565789862</v>
      </c>
    </row>
    <row r="124" spans="2:16">
      <c r="B124" s="165"/>
      <c r="C124" s="161"/>
      <c r="D124" s="28" t="s">
        <v>1</v>
      </c>
      <c r="E124" s="35">
        <v>234.4057</v>
      </c>
      <c r="F124" s="35"/>
      <c r="G124" s="35">
        <f>E124+F124+I123</f>
        <v>0.76930000000035648</v>
      </c>
      <c r="H124" s="35"/>
      <c r="I124" s="35">
        <f t="shared" si="34"/>
        <v>0.76930000000035648</v>
      </c>
      <c r="J124" s="27">
        <f t="shared" si="27"/>
        <v>0</v>
      </c>
      <c r="K124" s="142"/>
      <c r="L124" s="142"/>
      <c r="M124" s="142"/>
      <c r="N124" s="142"/>
      <c r="O124" s="163"/>
      <c r="P124" s="143"/>
    </row>
    <row r="125" spans="2:16">
      <c r="B125" s="165"/>
      <c r="C125" s="161" t="s">
        <v>15</v>
      </c>
      <c r="D125" s="28" t="s">
        <v>0</v>
      </c>
      <c r="E125" s="35">
        <v>73.083500000000001</v>
      </c>
      <c r="F125" s="35"/>
      <c r="G125" s="35">
        <f>+E125+F125</f>
        <v>73.083500000000001</v>
      </c>
      <c r="H125" s="112">
        <v>66.566999999999993</v>
      </c>
      <c r="I125" s="35">
        <f>+G125-H125</f>
        <v>6.5165000000000077</v>
      </c>
      <c r="J125" s="27">
        <f t="shared" si="27"/>
        <v>0.91083486696723603</v>
      </c>
      <c r="K125" s="142">
        <f>E125+E126</f>
        <v>74.5745</v>
      </c>
      <c r="L125" s="142">
        <f>F125+F126</f>
        <v>0</v>
      </c>
      <c r="M125" s="142">
        <f>K125+L125</f>
        <v>74.5745</v>
      </c>
      <c r="N125" s="142">
        <f>H125+H126</f>
        <v>66.566999999999993</v>
      </c>
      <c r="O125" s="163">
        <f>M125-N125</f>
        <v>8.0075000000000074</v>
      </c>
      <c r="P125" s="143">
        <f t="shared" ref="P125" si="58">N125/M125</f>
        <v>0.89262415436912068</v>
      </c>
    </row>
    <row r="126" spans="2:16">
      <c r="B126" s="165"/>
      <c r="C126" s="161"/>
      <c r="D126" s="28" t="s">
        <v>1</v>
      </c>
      <c r="E126" s="35">
        <v>1.4910000000000001</v>
      </c>
      <c r="F126" s="35"/>
      <c r="G126" s="35">
        <f>+E126+F126+I125</f>
        <v>8.0075000000000074</v>
      </c>
      <c r="H126" s="35"/>
      <c r="I126" s="35">
        <f>+G126-H126</f>
        <v>8.0075000000000074</v>
      </c>
      <c r="J126" s="27">
        <f t="shared" si="27"/>
        <v>0</v>
      </c>
      <c r="K126" s="142"/>
      <c r="L126" s="142"/>
      <c r="M126" s="142"/>
      <c r="N126" s="142"/>
      <c r="O126" s="163"/>
      <c r="P126" s="143"/>
    </row>
    <row r="127" spans="2:16">
      <c r="B127" s="165"/>
      <c r="C127" s="161" t="s">
        <v>95</v>
      </c>
      <c r="D127" s="28" t="s">
        <v>0</v>
      </c>
      <c r="E127" s="35">
        <v>1109.9639999999999</v>
      </c>
      <c r="F127" s="35">
        <f>-1132.608</f>
        <v>-1132.6079999999999</v>
      </c>
      <c r="G127" s="35">
        <f>E127+F127</f>
        <v>-22.644000000000005</v>
      </c>
      <c r="H127" s="35"/>
      <c r="I127" s="35">
        <f t="shared" si="34"/>
        <v>-22.644000000000005</v>
      </c>
      <c r="J127" s="27">
        <f t="shared" ref="J127:J134" si="59">H127/G127</f>
        <v>0</v>
      </c>
      <c r="K127" s="142">
        <f>E127+E128</f>
        <v>1132.6079999999999</v>
      </c>
      <c r="L127" s="142">
        <f>F127+F128</f>
        <v>-1132.6079999999999</v>
      </c>
      <c r="M127" s="142">
        <f>K127+L127</f>
        <v>0</v>
      </c>
      <c r="N127" s="142">
        <f>H127+H128</f>
        <v>0</v>
      </c>
      <c r="O127" s="162">
        <f>M127-N127</f>
        <v>0</v>
      </c>
      <c r="P127" s="143">
        <v>0</v>
      </c>
    </row>
    <row r="128" spans="2:16">
      <c r="B128" s="165"/>
      <c r="C128" s="161"/>
      <c r="D128" s="28" t="s">
        <v>1</v>
      </c>
      <c r="E128" s="35">
        <v>22.643999999999998</v>
      </c>
      <c r="F128" s="35"/>
      <c r="G128" s="35">
        <f>E128+F128+I127</f>
        <v>0</v>
      </c>
      <c r="H128" s="35"/>
      <c r="I128" s="35">
        <f t="shared" si="34"/>
        <v>0</v>
      </c>
      <c r="J128" s="27" t="e">
        <f t="shared" si="59"/>
        <v>#DIV/0!</v>
      </c>
      <c r="K128" s="142"/>
      <c r="L128" s="142"/>
      <c r="M128" s="142"/>
      <c r="N128" s="142"/>
      <c r="O128" s="162"/>
      <c r="P128" s="143"/>
    </row>
    <row r="129" spans="2:16">
      <c r="B129" s="165"/>
      <c r="C129" s="161" t="s">
        <v>203</v>
      </c>
      <c r="D129" s="87" t="s">
        <v>0</v>
      </c>
      <c r="E129" s="90">
        <v>0</v>
      </c>
      <c r="F129" s="90">
        <f>1818.658-1815.548-3.109</f>
        <v>9.9999999989996979E-4</v>
      </c>
      <c r="G129" s="91">
        <f>E129+F129</f>
        <v>9.9999999989996979E-4</v>
      </c>
      <c r="H129" s="90"/>
      <c r="I129" s="91">
        <f t="shared" si="34"/>
        <v>9.9999999989996979E-4</v>
      </c>
      <c r="J129" s="27">
        <f t="shared" si="59"/>
        <v>0</v>
      </c>
      <c r="K129" s="142">
        <f>E129+E130</f>
        <v>0</v>
      </c>
      <c r="L129" s="142">
        <f>F129+F130</f>
        <v>9.9999999989996979E-4</v>
      </c>
      <c r="M129" s="142">
        <f>K129+L129</f>
        <v>9.9999999989996979E-4</v>
      </c>
      <c r="N129" s="142">
        <f>H129+H130</f>
        <v>0</v>
      </c>
      <c r="O129" s="162">
        <f>M129-N129</f>
        <v>9.9999999989996979E-4</v>
      </c>
      <c r="P129" s="143">
        <f t="shared" ref="P129" si="60">N129/M129</f>
        <v>0</v>
      </c>
    </row>
    <row r="130" spans="2:16">
      <c r="B130" s="165"/>
      <c r="C130" s="161"/>
      <c r="D130" s="87" t="s">
        <v>1</v>
      </c>
      <c r="E130" s="90">
        <v>0</v>
      </c>
      <c r="F130" s="90"/>
      <c r="G130" s="91">
        <f>E130+F130+I129</f>
        <v>9.9999999989996979E-4</v>
      </c>
      <c r="H130" s="90"/>
      <c r="I130" s="91">
        <f t="shared" si="34"/>
        <v>9.9999999989996979E-4</v>
      </c>
      <c r="J130" s="27">
        <f t="shared" si="59"/>
        <v>0</v>
      </c>
      <c r="K130" s="142"/>
      <c r="L130" s="142"/>
      <c r="M130" s="142"/>
      <c r="N130" s="142"/>
      <c r="O130" s="162"/>
      <c r="P130" s="143"/>
    </row>
    <row r="131" spans="2:16">
      <c r="B131" s="165"/>
      <c r="C131" s="161" t="s">
        <v>216</v>
      </c>
      <c r="D131" s="98" t="s">
        <v>0</v>
      </c>
      <c r="E131" s="96">
        <v>0</v>
      </c>
      <c r="F131" s="96">
        <f>0.44416+3.109</f>
        <v>3.5531600000000001</v>
      </c>
      <c r="G131" s="96">
        <f>E131+F131</f>
        <v>3.5531600000000001</v>
      </c>
      <c r="H131" s="96"/>
      <c r="I131" s="96">
        <f t="shared" si="34"/>
        <v>3.5531600000000001</v>
      </c>
      <c r="J131" s="27">
        <f t="shared" si="59"/>
        <v>0</v>
      </c>
      <c r="K131" s="142">
        <f>E131+E132</f>
        <v>0</v>
      </c>
      <c r="L131" s="142">
        <f>F131+F132</f>
        <v>3.5531600000000001</v>
      </c>
      <c r="M131" s="142">
        <f>K131+L131</f>
        <v>3.5531600000000001</v>
      </c>
      <c r="N131" s="142">
        <f>H131+H132</f>
        <v>0</v>
      </c>
      <c r="O131" s="163">
        <f>M131-N131</f>
        <v>3.5531600000000001</v>
      </c>
      <c r="P131" s="143">
        <f t="shared" ref="P131" si="61">N131/M131</f>
        <v>0</v>
      </c>
    </row>
    <row r="132" spans="2:16">
      <c r="B132" s="165"/>
      <c r="C132" s="161"/>
      <c r="D132" s="98" t="s">
        <v>1</v>
      </c>
      <c r="E132" s="96">
        <v>0</v>
      </c>
      <c r="F132" s="96"/>
      <c r="G132" s="96">
        <f>E132+F132+I131</f>
        <v>3.5531600000000001</v>
      </c>
      <c r="H132" s="96"/>
      <c r="I132" s="96">
        <f t="shared" si="34"/>
        <v>3.5531600000000001</v>
      </c>
      <c r="J132" s="27">
        <f t="shared" si="59"/>
        <v>0</v>
      </c>
      <c r="K132" s="142"/>
      <c r="L132" s="142"/>
      <c r="M132" s="142"/>
      <c r="N132" s="142"/>
      <c r="O132" s="163"/>
      <c r="P132" s="143"/>
    </row>
    <row r="133" spans="2:16">
      <c r="B133" s="165"/>
      <c r="C133" s="167" t="s">
        <v>99</v>
      </c>
      <c r="D133" s="30" t="s">
        <v>0</v>
      </c>
      <c r="E133" s="86">
        <f>E103+E105+E107+E109+E111+E113+E115+E117+E119+E121+E123+E125+E127+E129+E131</f>
        <v>43527.995699999999</v>
      </c>
      <c r="F133" s="86">
        <f>F103+F105+F107+F109+F111+F113+F115+F117+F119+F121+F123+F125+F127+F129+F131</f>
        <v>-42360.2379</v>
      </c>
      <c r="G133" s="86">
        <f>E133+F133</f>
        <v>1167.7577999999994</v>
      </c>
      <c r="H133" s="86">
        <f>H103+H105+H107+H109+H111+H113+H115+H117+H119+H121+H123+H125+H127+H129+H131</f>
        <v>1745.6489999999999</v>
      </c>
      <c r="I133" s="86">
        <f t="shared" si="34"/>
        <v>-577.89120000000048</v>
      </c>
      <c r="J133" s="31">
        <f t="shared" si="59"/>
        <v>1.4948724812628105</v>
      </c>
      <c r="K133" s="168">
        <f>E133+E134</f>
        <v>44415.995699999999</v>
      </c>
      <c r="L133" s="168">
        <f>F133+F134</f>
        <v>-42360.2379</v>
      </c>
      <c r="M133" s="168">
        <f>K133+L133</f>
        <v>2055.7577999999994</v>
      </c>
      <c r="N133" s="168">
        <f>H133+H134</f>
        <v>1745.6489999999999</v>
      </c>
      <c r="O133" s="173">
        <f>M133-N133</f>
        <v>310.10879999999952</v>
      </c>
      <c r="P133" s="172">
        <f t="shared" ref="P133" si="62">N133/M133</f>
        <v>0.84915110136028693</v>
      </c>
    </row>
    <row r="134" spans="2:16">
      <c r="B134" s="166"/>
      <c r="C134" s="167"/>
      <c r="D134" s="30" t="s">
        <v>1</v>
      </c>
      <c r="E134" s="86">
        <f>E104+E106+E108+E110+E112+E114+E116+E118+E120+E122+E124+E126+E128+E130+E132</f>
        <v>888</v>
      </c>
      <c r="F134" s="86">
        <f>F104+F106+F108+F110+F112+F114+F116+F118+F120+F122+F124+F126+F128+F130+F132</f>
        <v>0</v>
      </c>
      <c r="G134" s="86">
        <f>E134+F134+I133</f>
        <v>310.10879999999952</v>
      </c>
      <c r="H134" s="86">
        <f>H104+H106+H108+H110+H112+H114+H116+H118+H120+H122+H124+H126+H128+H130+H132</f>
        <v>0</v>
      </c>
      <c r="I134" s="86">
        <f t="shared" si="34"/>
        <v>310.10879999999952</v>
      </c>
      <c r="J134" s="31">
        <f t="shared" si="59"/>
        <v>0</v>
      </c>
      <c r="K134" s="168"/>
      <c r="L134" s="168"/>
      <c r="M134" s="168"/>
      <c r="N134" s="168"/>
      <c r="O134" s="173"/>
      <c r="P134" s="172"/>
    </row>
    <row r="137" spans="2:16">
      <c r="L137" s="57"/>
    </row>
  </sheetData>
  <mergeCells count="434">
    <mergeCell ref="M20:M21"/>
    <mergeCell ref="N20:N21"/>
    <mergeCell ref="O20:O21"/>
    <mergeCell ref="P20:P21"/>
    <mergeCell ref="C97:C98"/>
    <mergeCell ref="K97:K98"/>
    <mergeCell ref="L97:L98"/>
    <mergeCell ref="M97:M98"/>
    <mergeCell ref="N97:N98"/>
    <mergeCell ref="O97:O98"/>
    <mergeCell ref="P97:P98"/>
    <mergeCell ref="C52:C53"/>
    <mergeCell ref="K52:K53"/>
    <mergeCell ref="L52:L53"/>
    <mergeCell ref="M52:M53"/>
    <mergeCell ref="N52:N53"/>
    <mergeCell ref="O52:O53"/>
    <mergeCell ref="P52:P53"/>
    <mergeCell ref="C93:C94"/>
    <mergeCell ref="K93:K94"/>
    <mergeCell ref="L93:L94"/>
    <mergeCell ref="M93:M94"/>
    <mergeCell ref="N93:N94"/>
    <mergeCell ref="O93:O94"/>
    <mergeCell ref="P93:P94"/>
    <mergeCell ref="N67:N68"/>
    <mergeCell ref="C67:C68"/>
    <mergeCell ref="M79:M80"/>
    <mergeCell ref="N79:N80"/>
    <mergeCell ref="K89:K90"/>
    <mergeCell ref="M69:M70"/>
    <mergeCell ref="N75:N76"/>
    <mergeCell ref="O75:O76"/>
    <mergeCell ref="L67:L68"/>
    <mergeCell ref="M67:M68"/>
    <mergeCell ref="C81:C82"/>
    <mergeCell ref="C91:C92"/>
    <mergeCell ref="K91:K92"/>
    <mergeCell ref="L91:L92"/>
    <mergeCell ref="M91:M92"/>
    <mergeCell ref="N91:N92"/>
    <mergeCell ref="O67:O68"/>
    <mergeCell ref="N69:N70"/>
    <mergeCell ref="O69:O70"/>
    <mergeCell ref="K75:K76"/>
    <mergeCell ref="K67:K68"/>
    <mergeCell ref="K77:K78"/>
    <mergeCell ref="L77:L78"/>
    <mergeCell ref="C117:C118"/>
    <mergeCell ref="C123:C124"/>
    <mergeCell ref="C127:C128"/>
    <mergeCell ref="P127:P128"/>
    <mergeCell ref="K127:K128"/>
    <mergeCell ref="L127:L128"/>
    <mergeCell ref="M127:M128"/>
    <mergeCell ref="N127:N128"/>
    <mergeCell ref="O127:O128"/>
    <mergeCell ref="K123:K124"/>
    <mergeCell ref="L123:L124"/>
    <mergeCell ref="M123:M124"/>
    <mergeCell ref="N123:N124"/>
    <mergeCell ref="P123:P124"/>
    <mergeCell ref="K125:K126"/>
    <mergeCell ref="K111:K112"/>
    <mergeCell ref="K105:K106"/>
    <mergeCell ref="L105:L106"/>
    <mergeCell ref="C129:C130"/>
    <mergeCell ref="K129:K130"/>
    <mergeCell ref="L129:L130"/>
    <mergeCell ref="M129:M130"/>
    <mergeCell ref="N129:N130"/>
    <mergeCell ref="P67:P68"/>
    <mergeCell ref="P73:P74"/>
    <mergeCell ref="P75:P76"/>
    <mergeCell ref="K73:K74"/>
    <mergeCell ref="L73:L74"/>
    <mergeCell ref="M73:M74"/>
    <mergeCell ref="N73:N74"/>
    <mergeCell ref="O73:O74"/>
    <mergeCell ref="P69:P70"/>
    <mergeCell ref="K71:K72"/>
    <mergeCell ref="L71:L72"/>
    <mergeCell ref="K69:K70"/>
    <mergeCell ref="M71:M72"/>
    <mergeCell ref="N71:N72"/>
    <mergeCell ref="O71:O72"/>
    <mergeCell ref="P71:P72"/>
    <mergeCell ref="C48:C49"/>
    <mergeCell ref="C125:C126"/>
    <mergeCell ref="C87:C88"/>
    <mergeCell ref="C89:C90"/>
    <mergeCell ref="C121:C122"/>
    <mergeCell ref="C105:C106"/>
    <mergeCell ref="C107:C108"/>
    <mergeCell ref="C109:C110"/>
    <mergeCell ref="C111:C112"/>
    <mergeCell ref="C119:C120"/>
    <mergeCell ref="C103:C104"/>
    <mergeCell ref="C73:C74"/>
    <mergeCell ref="C75:C76"/>
    <mergeCell ref="C69:C70"/>
    <mergeCell ref="C71:C72"/>
    <mergeCell ref="C113:C114"/>
    <mergeCell ref="C115:C116"/>
    <mergeCell ref="C83:C84"/>
    <mergeCell ref="C85:C86"/>
    <mergeCell ref="C77:C78"/>
    <mergeCell ref="C79:C80"/>
    <mergeCell ref="C63:C64"/>
    <mergeCell ref="C65:C66"/>
    <mergeCell ref="C50:C51"/>
    <mergeCell ref="C42:C43"/>
    <mergeCell ref="C44:C45"/>
    <mergeCell ref="C46:C47"/>
    <mergeCell ref="N46:N47"/>
    <mergeCell ref="O46:O47"/>
    <mergeCell ref="K44:K45"/>
    <mergeCell ref="K42:K43"/>
    <mergeCell ref="P42:P43"/>
    <mergeCell ref="K46:K47"/>
    <mergeCell ref="L46:L47"/>
    <mergeCell ref="O44:O45"/>
    <mergeCell ref="L42:L43"/>
    <mergeCell ref="M42:M43"/>
    <mergeCell ref="N42:N43"/>
    <mergeCell ref="O42:O43"/>
    <mergeCell ref="B3:P3"/>
    <mergeCell ref="C61:C62"/>
    <mergeCell ref="C6:C7"/>
    <mergeCell ref="C8:C9"/>
    <mergeCell ref="C12:C13"/>
    <mergeCell ref="P14:P15"/>
    <mergeCell ref="K12:K13"/>
    <mergeCell ref="L12:L13"/>
    <mergeCell ref="M12:M13"/>
    <mergeCell ref="N12:N13"/>
    <mergeCell ref="O12:O13"/>
    <mergeCell ref="M18:M19"/>
    <mergeCell ref="N18:N19"/>
    <mergeCell ref="O32:O33"/>
    <mergeCell ref="P32:P33"/>
    <mergeCell ref="N30:N31"/>
    <mergeCell ref="O30:O31"/>
    <mergeCell ref="L28:L29"/>
    <mergeCell ref="N28:N29"/>
    <mergeCell ref="P44:P45"/>
    <mergeCell ref="L32:L33"/>
    <mergeCell ref="M32:M33"/>
    <mergeCell ref="P46:P47"/>
    <mergeCell ref="N44:N45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K16:K17"/>
    <mergeCell ref="L16:L17"/>
    <mergeCell ref="L14:L15"/>
    <mergeCell ref="K26:K27"/>
    <mergeCell ref="K30:K31"/>
    <mergeCell ref="K32:K33"/>
    <mergeCell ref="C20:C21"/>
    <mergeCell ref="K20:K21"/>
    <mergeCell ref="L20:L21"/>
    <mergeCell ref="M14:M15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K14:K15"/>
    <mergeCell ref="K10:K11"/>
    <mergeCell ref="L10:L11"/>
    <mergeCell ref="M10:M11"/>
    <mergeCell ref="N10:N11"/>
    <mergeCell ref="O10:O11"/>
    <mergeCell ref="P10:P11"/>
    <mergeCell ref="O18:O19"/>
    <mergeCell ref="M44:M45"/>
    <mergeCell ref="L44:L45"/>
    <mergeCell ref="M46:M47"/>
    <mergeCell ref="O36:O37"/>
    <mergeCell ref="L30:L31"/>
    <mergeCell ref="N32:N33"/>
    <mergeCell ref="P18:P19"/>
    <mergeCell ref="P12:P13"/>
    <mergeCell ref="N14:N15"/>
    <mergeCell ref="O14:O15"/>
    <mergeCell ref="N16:N17"/>
    <mergeCell ref="O16:O17"/>
    <mergeCell ref="P16:P17"/>
    <mergeCell ref="M28:M29"/>
    <mergeCell ref="L26:L27"/>
    <mergeCell ref="M26:M27"/>
    <mergeCell ref="O28:O29"/>
    <mergeCell ref="N26:N27"/>
    <mergeCell ref="O26:O27"/>
    <mergeCell ref="P28:P29"/>
    <mergeCell ref="M16:M17"/>
    <mergeCell ref="P30:P31"/>
    <mergeCell ref="P34:P35"/>
    <mergeCell ref="C36:C37"/>
    <mergeCell ref="N40:N41"/>
    <mergeCell ref="C38:C39"/>
    <mergeCell ref="K40:K41"/>
    <mergeCell ref="O40:O41"/>
    <mergeCell ref="K38:K39"/>
    <mergeCell ref="L38:L39"/>
    <mergeCell ref="M38:M39"/>
    <mergeCell ref="N38:N39"/>
    <mergeCell ref="M36:M37"/>
    <mergeCell ref="N36:N37"/>
    <mergeCell ref="K36:K37"/>
    <mergeCell ref="L36:L37"/>
    <mergeCell ref="K61:K62"/>
    <mergeCell ref="N65:N66"/>
    <mergeCell ref="O65:O66"/>
    <mergeCell ref="P65:P66"/>
    <mergeCell ref="O61:O62"/>
    <mergeCell ref="N63:N64"/>
    <mergeCell ref="O63:O64"/>
    <mergeCell ref="L63:L64"/>
    <mergeCell ref="M63:M64"/>
    <mergeCell ref="L65:L66"/>
    <mergeCell ref="M65:M66"/>
    <mergeCell ref="P63:P64"/>
    <mergeCell ref="K65:K66"/>
    <mergeCell ref="N61:N62"/>
    <mergeCell ref="P61:P62"/>
    <mergeCell ref="K63:K64"/>
    <mergeCell ref="M75:M76"/>
    <mergeCell ref="M77:M78"/>
    <mergeCell ref="L69:L70"/>
    <mergeCell ref="L75:L76"/>
    <mergeCell ref="B4:P4"/>
    <mergeCell ref="O48:O49"/>
    <mergeCell ref="P48:P49"/>
    <mergeCell ref="C56:C57"/>
    <mergeCell ref="P36:P37"/>
    <mergeCell ref="L40:L41"/>
    <mergeCell ref="M40:M41"/>
    <mergeCell ref="P38:P39"/>
    <mergeCell ref="P40:P41"/>
    <mergeCell ref="L56:L57"/>
    <mergeCell ref="M56:M57"/>
    <mergeCell ref="O54:O55"/>
    <mergeCell ref="P54:P55"/>
    <mergeCell ref="N22:N23"/>
    <mergeCell ref="O22:O23"/>
    <mergeCell ref="P22:P23"/>
    <mergeCell ref="N50:N51"/>
    <mergeCell ref="O50:O51"/>
    <mergeCell ref="P50:P51"/>
    <mergeCell ref="B26:B57"/>
    <mergeCell ref="C10:C11"/>
    <mergeCell ref="C40:C41"/>
    <mergeCell ref="K34:K35"/>
    <mergeCell ref="L34:L35"/>
    <mergeCell ref="M125:M126"/>
    <mergeCell ref="N125:N126"/>
    <mergeCell ref="O125:O126"/>
    <mergeCell ref="P125:P126"/>
    <mergeCell ref="B2:P2"/>
    <mergeCell ref="K83:K84"/>
    <mergeCell ref="K85:K86"/>
    <mergeCell ref="L83:L84"/>
    <mergeCell ref="L85:L86"/>
    <mergeCell ref="P79:P80"/>
    <mergeCell ref="K81:K82"/>
    <mergeCell ref="P83:P84"/>
    <mergeCell ref="P85:P86"/>
    <mergeCell ref="O83:O84"/>
    <mergeCell ref="O85:O86"/>
    <mergeCell ref="M83:M84"/>
    <mergeCell ref="M85:M86"/>
    <mergeCell ref="N83:N84"/>
    <mergeCell ref="L61:L62"/>
    <mergeCell ref="M61:M62"/>
    <mergeCell ref="L79:L80"/>
    <mergeCell ref="K121:K122"/>
    <mergeCell ref="L121:L122"/>
    <mergeCell ref="M121:M122"/>
    <mergeCell ref="N121:N122"/>
    <mergeCell ref="P103:P104"/>
    <mergeCell ref="O123:O124"/>
    <mergeCell ref="K115:K116"/>
    <mergeCell ref="L115:L116"/>
    <mergeCell ref="L117:L118"/>
    <mergeCell ref="M117:M118"/>
    <mergeCell ref="N117:N118"/>
    <mergeCell ref="K117:K118"/>
    <mergeCell ref="O121:O122"/>
    <mergeCell ref="P121:P122"/>
    <mergeCell ref="K113:K114"/>
    <mergeCell ref="L113:L114"/>
    <mergeCell ref="M113:M114"/>
    <mergeCell ref="N113:N114"/>
    <mergeCell ref="O113:O114"/>
    <mergeCell ref="P113:P114"/>
    <mergeCell ref="M105:M106"/>
    <mergeCell ref="N105:N106"/>
    <mergeCell ref="O105:O106"/>
    <mergeCell ref="P109:P110"/>
    <mergeCell ref="K109:K110"/>
    <mergeCell ref="P105:P106"/>
    <mergeCell ref="K103:K104"/>
    <mergeCell ref="P107:P108"/>
    <mergeCell ref="L109:L110"/>
    <mergeCell ref="M109:M110"/>
    <mergeCell ref="N109:N110"/>
    <mergeCell ref="O109:O110"/>
    <mergeCell ref="L103:L104"/>
    <mergeCell ref="M103:M104"/>
    <mergeCell ref="N103:N104"/>
    <mergeCell ref="O103:O104"/>
    <mergeCell ref="N89:N90"/>
    <mergeCell ref="O89:O90"/>
    <mergeCell ref="M89:M90"/>
    <mergeCell ref="O91:O92"/>
    <mergeCell ref="M99:M100"/>
    <mergeCell ref="N99:N100"/>
    <mergeCell ref="O99:O100"/>
    <mergeCell ref="K107:K108"/>
    <mergeCell ref="L107:L108"/>
    <mergeCell ref="M107:M108"/>
    <mergeCell ref="N107:N108"/>
    <mergeCell ref="O107:O108"/>
    <mergeCell ref="M133:M134"/>
    <mergeCell ref="N133:N134"/>
    <mergeCell ref="O133:O134"/>
    <mergeCell ref="P133:P134"/>
    <mergeCell ref="L111:L112"/>
    <mergeCell ref="M111:M112"/>
    <mergeCell ref="N111:N112"/>
    <mergeCell ref="O111:O112"/>
    <mergeCell ref="N119:N120"/>
    <mergeCell ref="O119:O120"/>
    <mergeCell ref="P115:P116"/>
    <mergeCell ref="O129:O130"/>
    <mergeCell ref="P129:P130"/>
    <mergeCell ref="O117:O118"/>
    <mergeCell ref="M115:M116"/>
    <mergeCell ref="N115:N116"/>
    <mergeCell ref="N131:N132"/>
    <mergeCell ref="O131:O132"/>
    <mergeCell ref="P131:P132"/>
    <mergeCell ref="O115:O116"/>
    <mergeCell ref="P119:P120"/>
    <mergeCell ref="P111:P112"/>
    <mergeCell ref="P117:P118"/>
    <mergeCell ref="L125:L126"/>
    <mergeCell ref="P99:P100"/>
    <mergeCell ref="N77:N78"/>
    <mergeCell ref="O77:O78"/>
    <mergeCell ref="P77:P78"/>
    <mergeCell ref="K87:K88"/>
    <mergeCell ref="O79:O80"/>
    <mergeCell ref="P89:P90"/>
    <mergeCell ref="K79:K80"/>
    <mergeCell ref="N95:N96"/>
    <mergeCell ref="O95:O96"/>
    <mergeCell ref="P95:P96"/>
    <mergeCell ref="L81:L82"/>
    <mergeCell ref="M81:M82"/>
    <mergeCell ref="N81:N82"/>
    <mergeCell ref="O87:O88"/>
    <mergeCell ref="O81:O82"/>
    <mergeCell ref="P81:P82"/>
    <mergeCell ref="P87:P88"/>
    <mergeCell ref="P91:P92"/>
    <mergeCell ref="N85:N86"/>
    <mergeCell ref="L89:L90"/>
    <mergeCell ref="L87:L88"/>
    <mergeCell ref="M87:M88"/>
    <mergeCell ref="N87:N88"/>
    <mergeCell ref="B103:B134"/>
    <mergeCell ref="C133:C134"/>
    <mergeCell ref="K133:K134"/>
    <mergeCell ref="L133:L134"/>
    <mergeCell ref="B6:B23"/>
    <mergeCell ref="C22:C23"/>
    <mergeCell ref="K22:K23"/>
    <mergeCell ref="L22:L23"/>
    <mergeCell ref="M22:M23"/>
    <mergeCell ref="C131:C132"/>
    <mergeCell ref="K131:K132"/>
    <mergeCell ref="L131:L132"/>
    <mergeCell ref="M131:M132"/>
    <mergeCell ref="C95:C96"/>
    <mergeCell ref="K95:K96"/>
    <mergeCell ref="L95:L96"/>
    <mergeCell ref="M95:M96"/>
    <mergeCell ref="K119:K120"/>
    <mergeCell ref="L119:L120"/>
    <mergeCell ref="M119:M120"/>
    <mergeCell ref="B61:B100"/>
    <mergeCell ref="C99:C100"/>
    <mergeCell ref="K99:K100"/>
    <mergeCell ref="L99:L100"/>
    <mergeCell ref="N56:N57"/>
    <mergeCell ref="O56:O57"/>
    <mergeCell ref="P56:P57"/>
    <mergeCell ref="L48:L49"/>
    <mergeCell ref="M48:M49"/>
    <mergeCell ref="N48:N49"/>
    <mergeCell ref="P26:P27"/>
    <mergeCell ref="M30:M31"/>
    <mergeCell ref="C54:C55"/>
    <mergeCell ref="K54:K55"/>
    <mergeCell ref="L54:L55"/>
    <mergeCell ref="M54:M55"/>
    <mergeCell ref="N54:N55"/>
    <mergeCell ref="K48:K49"/>
    <mergeCell ref="K56:K57"/>
    <mergeCell ref="K28:K29"/>
    <mergeCell ref="K50:K51"/>
    <mergeCell ref="L50:L51"/>
    <mergeCell ref="M50:M51"/>
    <mergeCell ref="M34:M35"/>
    <mergeCell ref="N34:N35"/>
    <mergeCell ref="O34:O35"/>
    <mergeCell ref="O38:O39"/>
    <mergeCell ref="C34:C35"/>
  </mergeCells>
  <conditionalFormatting sqref="P6:P23">
    <cfRule type="cellIs" dxfId="0" priority="2" operator="greaterThan">
      <formula>0.95</formula>
    </cfRule>
  </conditionalFormatting>
  <pageMargins left="0.7" right="0.7" top="0.75" bottom="0.75" header="0.3" footer="0.3"/>
  <pageSetup paperSize="173" orientation="portrait" r:id="rId1"/>
  <ignoredErrors>
    <ignoredError sqref="M26:M43 G127:G128 M6:M7 G123:G124 M13 M9 M44:M47 M14:M1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zoomScaleNormal="100" workbookViewId="0">
      <selection activeCell="E19" sqref="E19:E23"/>
    </sheetView>
  </sheetViews>
  <sheetFormatPr baseColWidth="10" defaultColWidth="11.42578125" defaultRowHeight="12"/>
  <cols>
    <col min="1" max="1" width="22.28515625" style="22" customWidth="1"/>
    <col min="2" max="2" width="23" style="22" bestFit="1" customWidth="1"/>
    <col min="3" max="3" width="10.42578125" style="22" customWidth="1"/>
    <col min="4" max="4" width="14" style="22" bestFit="1" customWidth="1"/>
    <col min="5" max="5" width="20" style="22" bestFit="1" customWidth="1"/>
    <col min="6" max="6" width="20.28515625" style="22" customWidth="1"/>
    <col min="7" max="7" width="14.5703125" style="51" bestFit="1" customWidth="1"/>
    <col min="8" max="8" width="16.85546875" style="46" bestFit="1" customWidth="1"/>
    <col min="9" max="9" width="12.28515625" style="22" customWidth="1"/>
    <col min="10" max="10" width="14.5703125" style="22" bestFit="1" customWidth="1"/>
    <col min="11" max="16384" width="11.42578125" style="22"/>
  </cols>
  <sheetData>
    <row r="1" spans="1:10" ht="7.9" customHeight="1">
      <c r="B1" s="71"/>
      <c r="C1" s="71"/>
      <c r="D1" s="71"/>
      <c r="E1" s="71"/>
      <c r="F1" s="71"/>
      <c r="G1" s="72"/>
      <c r="H1" s="73"/>
      <c r="I1" s="71"/>
      <c r="J1" s="71"/>
    </row>
    <row r="2" spans="1:10" ht="17.45" customHeight="1">
      <c r="B2" s="194" t="s">
        <v>164</v>
      </c>
      <c r="C2" s="195"/>
      <c r="D2" s="195"/>
      <c r="E2" s="195"/>
      <c r="F2" s="195"/>
      <c r="G2" s="195"/>
      <c r="H2" s="195"/>
      <c r="I2" s="195"/>
      <c r="J2" s="196"/>
    </row>
    <row r="3" spans="1:10">
      <c r="B3" s="197">
        <f>+RESUMEN!B3</f>
        <v>44452</v>
      </c>
      <c r="C3" s="198"/>
      <c r="D3" s="198"/>
      <c r="E3" s="198"/>
      <c r="F3" s="198"/>
      <c r="G3" s="198"/>
      <c r="H3" s="198"/>
      <c r="I3" s="198"/>
      <c r="J3" s="199"/>
    </row>
    <row r="4" spans="1:10">
      <c r="A4" s="74"/>
      <c r="B4" s="200"/>
      <c r="C4" s="200"/>
      <c r="D4" s="200"/>
      <c r="E4" s="200"/>
      <c r="F4" s="200"/>
      <c r="G4" s="200"/>
      <c r="H4" s="200"/>
      <c r="I4" s="200"/>
      <c r="J4" s="200"/>
    </row>
    <row r="5" spans="1:10" ht="12" customHeight="1"/>
    <row r="6" spans="1:10" ht="13.5" customHeight="1"/>
    <row r="7" spans="1:10">
      <c r="B7" s="48" t="s">
        <v>87</v>
      </c>
      <c r="C7" s="48" t="s">
        <v>88</v>
      </c>
      <c r="D7" s="48" t="s">
        <v>89</v>
      </c>
      <c r="E7" s="48" t="s">
        <v>178</v>
      </c>
      <c r="F7" s="50" t="s">
        <v>96</v>
      </c>
      <c r="G7" s="48" t="s">
        <v>114</v>
      </c>
      <c r="H7" s="48" t="s">
        <v>177</v>
      </c>
      <c r="I7" s="48" t="s">
        <v>115</v>
      </c>
      <c r="J7" s="48" t="s">
        <v>93</v>
      </c>
    </row>
    <row r="8" spans="1:10">
      <c r="B8" s="201" t="s">
        <v>7</v>
      </c>
      <c r="C8" s="183">
        <v>693</v>
      </c>
      <c r="D8" s="184">
        <v>44264</v>
      </c>
      <c r="E8" s="183">
        <v>24474</v>
      </c>
      <c r="F8" s="28" t="s">
        <v>191</v>
      </c>
      <c r="G8" s="112">
        <v>9009.4599999999991</v>
      </c>
      <c r="H8" s="142">
        <f>G8+G9+G10</f>
        <v>24474</v>
      </c>
      <c r="I8" s="142">
        <f>E8-H8</f>
        <v>0</v>
      </c>
      <c r="J8" s="187">
        <f>H8/E8</f>
        <v>1</v>
      </c>
    </row>
    <row r="9" spans="1:10">
      <c r="B9" s="202"/>
      <c r="C9" s="183"/>
      <c r="D9" s="184"/>
      <c r="E9" s="183"/>
      <c r="F9" s="28" t="s">
        <v>192</v>
      </c>
      <c r="G9" s="112">
        <v>6682.201</v>
      </c>
      <c r="H9" s="183"/>
      <c r="I9" s="183"/>
      <c r="J9" s="187"/>
    </row>
    <row r="10" spans="1:10">
      <c r="B10" s="202"/>
      <c r="C10" s="183"/>
      <c r="D10" s="184"/>
      <c r="E10" s="183"/>
      <c r="F10" s="28" t="s">
        <v>193</v>
      </c>
      <c r="G10" s="112">
        <v>8782.3389999999999</v>
      </c>
      <c r="H10" s="183"/>
      <c r="I10" s="183"/>
      <c r="J10" s="187"/>
    </row>
    <row r="11" spans="1:10">
      <c r="B11" s="202"/>
      <c r="C11" s="183">
        <v>1696</v>
      </c>
      <c r="D11" s="184">
        <v>44384</v>
      </c>
      <c r="E11" s="183">
        <v>3339</v>
      </c>
      <c r="F11" s="101" t="s">
        <v>191</v>
      </c>
      <c r="G11" s="112">
        <v>2253.8719999999998</v>
      </c>
      <c r="H11" s="142">
        <f>G11+G12+G13</f>
        <v>3339</v>
      </c>
      <c r="I11" s="142">
        <f>E11-H11</f>
        <v>0</v>
      </c>
      <c r="J11" s="187">
        <f>H11/E11</f>
        <v>1</v>
      </c>
    </row>
    <row r="12" spans="1:10">
      <c r="B12" s="202"/>
      <c r="C12" s="183"/>
      <c r="D12" s="184"/>
      <c r="E12" s="183"/>
      <c r="F12" s="101" t="s">
        <v>192</v>
      </c>
      <c r="G12" s="112"/>
      <c r="H12" s="183"/>
      <c r="I12" s="183"/>
      <c r="J12" s="187"/>
    </row>
    <row r="13" spans="1:10">
      <c r="B13" s="203"/>
      <c r="C13" s="183"/>
      <c r="D13" s="184"/>
      <c r="E13" s="183"/>
      <c r="F13" s="101" t="s">
        <v>193</v>
      </c>
      <c r="G13" s="112">
        <v>1085.1279999999999</v>
      </c>
      <c r="H13" s="183"/>
      <c r="I13" s="183"/>
      <c r="J13" s="187"/>
    </row>
    <row r="14" spans="1:10">
      <c r="B14" s="180" t="s">
        <v>6</v>
      </c>
      <c r="C14" s="183">
        <v>852</v>
      </c>
      <c r="D14" s="184">
        <v>44273</v>
      </c>
      <c r="E14" s="183">
        <v>6440</v>
      </c>
      <c r="F14" s="28" t="s">
        <v>194</v>
      </c>
      <c r="G14" s="112">
        <v>2181.5509999999999</v>
      </c>
      <c r="H14" s="142">
        <f>G14+G15+G16+G17+G18</f>
        <v>6440</v>
      </c>
      <c r="I14" s="142">
        <f>E14-H14</f>
        <v>0</v>
      </c>
      <c r="J14" s="187">
        <f>H14/E14</f>
        <v>1</v>
      </c>
    </row>
    <row r="15" spans="1:10">
      <c r="B15" s="181"/>
      <c r="C15" s="183"/>
      <c r="D15" s="184"/>
      <c r="E15" s="183"/>
      <c r="F15" s="28" t="s">
        <v>195</v>
      </c>
      <c r="G15" s="112"/>
      <c r="H15" s="142"/>
      <c r="I15" s="142"/>
      <c r="J15" s="187"/>
    </row>
    <row r="16" spans="1:10">
      <c r="B16" s="181"/>
      <c r="C16" s="183"/>
      <c r="D16" s="184"/>
      <c r="E16" s="183"/>
      <c r="F16" s="28" t="s">
        <v>196</v>
      </c>
      <c r="G16" s="112"/>
      <c r="H16" s="142"/>
      <c r="I16" s="142"/>
      <c r="J16" s="187"/>
    </row>
    <row r="17" spans="2:10">
      <c r="B17" s="181"/>
      <c r="C17" s="183"/>
      <c r="D17" s="184"/>
      <c r="E17" s="183"/>
      <c r="F17" s="28" t="s">
        <v>197</v>
      </c>
      <c r="G17" s="112">
        <v>2088.8040000000001</v>
      </c>
      <c r="H17" s="142"/>
      <c r="I17" s="142"/>
      <c r="J17" s="187"/>
    </row>
    <row r="18" spans="2:10">
      <c r="B18" s="181"/>
      <c r="C18" s="183"/>
      <c r="D18" s="184"/>
      <c r="E18" s="183"/>
      <c r="F18" s="28" t="s">
        <v>198</v>
      </c>
      <c r="G18" s="112">
        <v>2169.645</v>
      </c>
      <c r="H18" s="142"/>
      <c r="I18" s="142"/>
      <c r="J18" s="187"/>
    </row>
    <row r="19" spans="2:10">
      <c r="B19" s="181"/>
      <c r="C19" s="134">
        <v>805</v>
      </c>
      <c r="D19" s="186">
        <v>44273</v>
      </c>
      <c r="E19" s="134">
        <v>5594</v>
      </c>
      <c r="F19" s="87" t="s">
        <v>194</v>
      </c>
      <c r="G19" s="112">
        <v>2260.08</v>
      </c>
      <c r="H19" s="142">
        <f>G19+G20+G21+G22+G23</f>
        <v>5594</v>
      </c>
      <c r="I19" s="142">
        <f>E19-H19</f>
        <v>0</v>
      </c>
      <c r="J19" s="187">
        <f>H19/E19</f>
        <v>1</v>
      </c>
    </row>
    <row r="20" spans="2:10">
      <c r="B20" s="181"/>
      <c r="C20" s="135"/>
      <c r="D20" s="190"/>
      <c r="E20" s="135"/>
      <c r="F20" s="87" t="s">
        <v>195</v>
      </c>
      <c r="G20" s="112"/>
      <c r="H20" s="142"/>
      <c r="I20" s="142"/>
      <c r="J20" s="187"/>
    </row>
    <row r="21" spans="2:10">
      <c r="B21" s="181"/>
      <c r="C21" s="135"/>
      <c r="D21" s="190"/>
      <c r="E21" s="135"/>
      <c r="F21" s="87" t="s">
        <v>196</v>
      </c>
      <c r="G21" s="112"/>
      <c r="H21" s="142"/>
      <c r="I21" s="142"/>
      <c r="J21" s="187"/>
    </row>
    <row r="22" spans="2:10">
      <c r="B22" s="181"/>
      <c r="C22" s="135"/>
      <c r="D22" s="190"/>
      <c r="E22" s="135"/>
      <c r="F22" s="87" t="s">
        <v>197</v>
      </c>
      <c r="G22" s="112">
        <v>1400.12</v>
      </c>
      <c r="H22" s="142"/>
      <c r="I22" s="142"/>
      <c r="J22" s="187"/>
    </row>
    <row r="23" spans="2:10">
      <c r="B23" s="181"/>
      <c r="C23" s="136"/>
      <c r="D23" s="191"/>
      <c r="E23" s="136"/>
      <c r="F23" s="87" t="s">
        <v>198</v>
      </c>
      <c r="G23" s="112">
        <v>1933.8</v>
      </c>
      <c r="H23" s="142"/>
      <c r="I23" s="142"/>
      <c r="J23" s="187"/>
    </row>
    <row r="24" spans="2:10">
      <c r="B24" s="181"/>
      <c r="C24" s="134">
        <v>1863</v>
      </c>
      <c r="D24" s="186">
        <v>44379</v>
      </c>
      <c r="E24" s="134">
        <v>1500</v>
      </c>
      <c r="F24" s="101" t="s">
        <v>194</v>
      </c>
      <c r="G24" s="112">
        <v>79.099999999999994</v>
      </c>
      <c r="H24" s="142">
        <f>G24+G25+G26+G27+G28</f>
        <v>1500</v>
      </c>
      <c r="I24" s="142">
        <f>E24-H24</f>
        <v>0</v>
      </c>
      <c r="J24" s="187">
        <f>H24/E24</f>
        <v>1</v>
      </c>
    </row>
    <row r="25" spans="2:10">
      <c r="B25" s="181"/>
      <c r="C25" s="135"/>
      <c r="D25" s="190"/>
      <c r="E25" s="135"/>
      <c r="F25" s="101" t="s">
        <v>195</v>
      </c>
      <c r="G25" s="112">
        <v>818.78499999999997</v>
      </c>
      <c r="H25" s="142"/>
      <c r="I25" s="142"/>
      <c r="J25" s="187"/>
    </row>
    <row r="26" spans="2:10">
      <c r="B26" s="181"/>
      <c r="C26" s="135"/>
      <c r="D26" s="190"/>
      <c r="E26" s="135"/>
      <c r="F26" s="101" t="s">
        <v>196</v>
      </c>
      <c r="G26" s="112">
        <v>602.11500000000001</v>
      </c>
      <c r="H26" s="142"/>
      <c r="I26" s="142"/>
      <c r="J26" s="187"/>
    </row>
    <row r="27" spans="2:10">
      <c r="B27" s="181"/>
      <c r="C27" s="135"/>
      <c r="D27" s="190"/>
      <c r="E27" s="135"/>
      <c r="F27" s="101" t="s">
        <v>197</v>
      </c>
      <c r="G27" s="112"/>
      <c r="H27" s="142"/>
      <c r="I27" s="142"/>
      <c r="J27" s="187"/>
    </row>
    <row r="28" spans="2:10">
      <c r="B28" s="182"/>
      <c r="C28" s="136"/>
      <c r="D28" s="191"/>
      <c r="E28" s="136"/>
      <c r="F28" s="101" t="s">
        <v>198</v>
      </c>
      <c r="G28" s="112"/>
      <c r="H28" s="142"/>
      <c r="I28" s="142"/>
      <c r="J28" s="187"/>
    </row>
    <row r="29" spans="2:10">
      <c r="B29" s="180" t="s">
        <v>181</v>
      </c>
      <c r="C29" s="183">
        <v>843</v>
      </c>
      <c r="D29" s="184">
        <v>44273</v>
      </c>
      <c r="E29" s="183">
        <v>2760</v>
      </c>
      <c r="F29" s="28" t="s">
        <v>199</v>
      </c>
      <c r="G29" s="112">
        <v>2100.5949999999998</v>
      </c>
      <c r="H29" s="142">
        <f>G29+G30+G31</f>
        <v>2760</v>
      </c>
      <c r="I29" s="142">
        <f>E29-H29</f>
        <v>0</v>
      </c>
      <c r="J29" s="187">
        <f>H29/E29</f>
        <v>1</v>
      </c>
    </row>
    <row r="30" spans="2:10">
      <c r="B30" s="181"/>
      <c r="C30" s="183"/>
      <c r="D30" s="184"/>
      <c r="E30" s="183"/>
      <c r="F30" s="28" t="s">
        <v>200</v>
      </c>
      <c r="G30" s="112">
        <v>659.40499999999997</v>
      </c>
      <c r="H30" s="142"/>
      <c r="I30" s="142"/>
      <c r="J30" s="187"/>
    </row>
    <row r="31" spans="2:10">
      <c r="B31" s="181"/>
      <c r="C31" s="183"/>
      <c r="D31" s="184"/>
      <c r="E31" s="183"/>
      <c r="F31" s="28" t="s">
        <v>201</v>
      </c>
      <c r="G31" s="112"/>
      <c r="H31" s="142"/>
      <c r="I31" s="142"/>
      <c r="J31" s="187"/>
    </row>
    <row r="32" spans="2:10">
      <c r="B32" s="181"/>
      <c r="C32" s="183">
        <v>813</v>
      </c>
      <c r="D32" s="184">
        <v>44273</v>
      </c>
      <c r="E32" s="183">
        <v>3500</v>
      </c>
      <c r="F32" s="87" t="s">
        <v>199</v>
      </c>
      <c r="G32" s="112">
        <v>373.91699999999997</v>
      </c>
      <c r="H32" s="142">
        <f>G32+G33+G34</f>
        <v>3500</v>
      </c>
      <c r="I32" s="142">
        <f>E32-H32</f>
        <v>0</v>
      </c>
      <c r="J32" s="187">
        <f>H32/E32</f>
        <v>1</v>
      </c>
    </row>
    <row r="33" spans="2:10">
      <c r="B33" s="181"/>
      <c r="C33" s="183"/>
      <c r="D33" s="184"/>
      <c r="E33" s="183"/>
      <c r="F33" s="87" t="s">
        <v>200</v>
      </c>
      <c r="G33" s="112">
        <v>3126.0830000000001</v>
      </c>
      <c r="H33" s="142"/>
      <c r="I33" s="142"/>
      <c r="J33" s="187"/>
    </row>
    <row r="34" spans="2:10">
      <c r="B34" s="181"/>
      <c r="C34" s="183"/>
      <c r="D34" s="184"/>
      <c r="E34" s="183"/>
      <c r="F34" s="87" t="s">
        <v>202</v>
      </c>
      <c r="G34" s="112"/>
      <c r="H34" s="142"/>
      <c r="I34" s="142"/>
      <c r="J34" s="187"/>
    </row>
    <row r="35" spans="2:10">
      <c r="B35" s="181"/>
      <c r="C35" s="183">
        <v>1838</v>
      </c>
      <c r="D35" s="184">
        <v>44365</v>
      </c>
      <c r="E35" s="183">
        <v>1500</v>
      </c>
      <c r="F35" s="106" t="s">
        <v>199</v>
      </c>
      <c r="G35" s="112"/>
      <c r="H35" s="142">
        <f>G35+G36+G37</f>
        <v>1462.51</v>
      </c>
      <c r="I35" s="142">
        <f>E35-H35</f>
        <v>37.490000000000009</v>
      </c>
      <c r="J35" s="185">
        <f>H35/E35</f>
        <v>0.97500666666666669</v>
      </c>
    </row>
    <row r="36" spans="2:10">
      <c r="B36" s="181"/>
      <c r="C36" s="183"/>
      <c r="D36" s="184"/>
      <c r="E36" s="183"/>
      <c r="F36" s="106" t="s">
        <v>200</v>
      </c>
      <c r="G36" s="112">
        <v>1462.51</v>
      </c>
      <c r="H36" s="142"/>
      <c r="I36" s="142"/>
      <c r="J36" s="185"/>
    </row>
    <row r="37" spans="2:10">
      <c r="B37" s="182"/>
      <c r="C37" s="183"/>
      <c r="D37" s="184"/>
      <c r="E37" s="183"/>
      <c r="F37" s="106" t="s">
        <v>201</v>
      </c>
      <c r="G37" s="112"/>
      <c r="H37" s="142"/>
      <c r="I37" s="142"/>
      <c r="J37" s="185"/>
    </row>
    <row r="38" spans="2:10">
      <c r="B38" s="180" t="s">
        <v>11</v>
      </c>
      <c r="C38" s="183">
        <v>1384</v>
      </c>
      <c r="D38" s="184">
        <v>44327</v>
      </c>
      <c r="E38" s="183">
        <v>3725</v>
      </c>
      <c r="F38" s="28" t="s">
        <v>205</v>
      </c>
      <c r="G38" s="112">
        <v>1521.5940000000001</v>
      </c>
      <c r="H38" s="142">
        <f>G38+G39+G40+G41+G42</f>
        <v>3725.0000000000005</v>
      </c>
      <c r="I38" s="142">
        <f>E38-H38</f>
        <v>0</v>
      </c>
      <c r="J38" s="187">
        <f>H38/E38</f>
        <v>1.0000000000000002</v>
      </c>
    </row>
    <row r="39" spans="2:10">
      <c r="B39" s="181"/>
      <c r="C39" s="183"/>
      <c r="D39" s="183"/>
      <c r="E39" s="183"/>
      <c r="F39" s="28" t="s">
        <v>206</v>
      </c>
      <c r="G39" s="112">
        <v>703.46900000000005</v>
      </c>
      <c r="H39" s="142"/>
      <c r="I39" s="142"/>
      <c r="J39" s="187"/>
    </row>
    <row r="40" spans="2:10">
      <c r="B40" s="181"/>
      <c r="C40" s="183"/>
      <c r="D40" s="183"/>
      <c r="E40" s="183"/>
      <c r="F40" s="28" t="s">
        <v>207</v>
      </c>
      <c r="G40" s="112">
        <v>607.226</v>
      </c>
      <c r="H40" s="142"/>
      <c r="I40" s="142"/>
      <c r="J40" s="187"/>
    </row>
    <row r="41" spans="2:10">
      <c r="B41" s="181"/>
      <c r="C41" s="183"/>
      <c r="D41" s="183"/>
      <c r="E41" s="183"/>
      <c r="F41" s="28" t="s">
        <v>208</v>
      </c>
      <c r="G41" s="112">
        <v>461.53199999999998</v>
      </c>
      <c r="H41" s="142"/>
      <c r="I41" s="142"/>
      <c r="J41" s="187"/>
    </row>
    <row r="42" spans="2:10">
      <c r="B42" s="181"/>
      <c r="C42" s="183"/>
      <c r="D42" s="183"/>
      <c r="E42" s="183"/>
      <c r="F42" s="28" t="s">
        <v>209</v>
      </c>
      <c r="G42" s="112">
        <v>431.17899999999997</v>
      </c>
      <c r="H42" s="142"/>
      <c r="I42" s="142"/>
      <c r="J42" s="187"/>
    </row>
    <row r="43" spans="2:10">
      <c r="B43" s="181"/>
      <c r="C43" s="183">
        <v>1693</v>
      </c>
      <c r="D43" s="184">
        <v>44350</v>
      </c>
      <c r="E43" s="183">
        <v>10000</v>
      </c>
      <c r="F43" s="87" t="s">
        <v>205</v>
      </c>
      <c r="G43" s="112">
        <v>1307.2049999999999</v>
      </c>
      <c r="H43" s="142">
        <f>G43+G44+G45+G46+G47</f>
        <v>10000</v>
      </c>
      <c r="I43" s="142">
        <f>E43-H43</f>
        <v>0</v>
      </c>
      <c r="J43" s="187">
        <f>H43/E43</f>
        <v>1</v>
      </c>
    </row>
    <row r="44" spans="2:10">
      <c r="B44" s="181"/>
      <c r="C44" s="183"/>
      <c r="D44" s="184"/>
      <c r="E44" s="183"/>
      <c r="F44" s="87" t="s">
        <v>206</v>
      </c>
      <c r="G44" s="112">
        <v>2360.1930000000002</v>
      </c>
      <c r="H44" s="142"/>
      <c r="I44" s="142"/>
      <c r="J44" s="187"/>
    </row>
    <row r="45" spans="2:10">
      <c r="B45" s="181"/>
      <c r="C45" s="183"/>
      <c r="D45" s="184"/>
      <c r="E45" s="183"/>
      <c r="F45" s="87" t="s">
        <v>207</v>
      </c>
      <c r="G45" s="112">
        <v>2070.9850000000001</v>
      </c>
      <c r="H45" s="142"/>
      <c r="I45" s="142"/>
      <c r="J45" s="187"/>
    </row>
    <row r="46" spans="2:10">
      <c r="B46" s="181"/>
      <c r="C46" s="183"/>
      <c r="D46" s="183"/>
      <c r="E46" s="183"/>
      <c r="F46" s="87" t="s">
        <v>208</v>
      </c>
      <c r="G46" s="112">
        <v>1965.135</v>
      </c>
      <c r="H46" s="142"/>
      <c r="I46" s="142"/>
      <c r="J46" s="187"/>
    </row>
    <row r="47" spans="2:10">
      <c r="B47" s="181"/>
      <c r="C47" s="183"/>
      <c r="D47" s="183"/>
      <c r="E47" s="183"/>
      <c r="F47" s="87" t="s">
        <v>209</v>
      </c>
      <c r="G47" s="112">
        <v>2296.482</v>
      </c>
      <c r="H47" s="142"/>
      <c r="I47" s="142"/>
      <c r="J47" s="187"/>
    </row>
    <row r="48" spans="2:10">
      <c r="B48" s="181"/>
      <c r="C48" s="183">
        <v>1862</v>
      </c>
      <c r="D48" s="184">
        <v>44369</v>
      </c>
      <c r="E48" s="183">
        <v>1520.77</v>
      </c>
      <c r="F48" s="106" t="s">
        <v>205</v>
      </c>
      <c r="G48" s="112">
        <v>582.67499999999995</v>
      </c>
      <c r="H48" s="142">
        <f>G48+G49+G50+G51+G52</f>
        <v>1520.77</v>
      </c>
      <c r="I48" s="142">
        <f>E48-H48</f>
        <v>0</v>
      </c>
      <c r="J48" s="187">
        <f>H48/E48</f>
        <v>1</v>
      </c>
    </row>
    <row r="49" spans="2:10">
      <c r="B49" s="181"/>
      <c r="C49" s="183"/>
      <c r="D49" s="184"/>
      <c r="E49" s="183"/>
      <c r="F49" s="106" t="s">
        <v>206</v>
      </c>
      <c r="G49" s="112"/>
      <c r="H49" s="142"/>
      <c r="I49" s="142"/>
      <c r="J49" s="187"/>
    </row>
    <row r="50" spans="2:10">
      <c r="B50" s="181"/>
      <c r="C50" s="183"/>
      <c r="D50" s="184"/>
      <c r="E50" s="183"/>
      <c r="F50" s="106" t="s">
        <v>207</v>
      </c>
      <c r="G50" s="112">
        <v>406.55599999999998</v>
      </c>
      <c r="H50" s="142"/>
      <c r="I50" s="142"/>
      <c r="J50" s="187"/>
    </row>
    <row r="51" spans="2:10">
      <c r="B51" s="181"/>
      <c r="C51" s="183"/>
      <c r="D51" s="183"/>
      <c r="E51" s="183"/>
      <c r="F51" s="106" t="s">
        <v>208</v>
      </c>
      <c r="G51" s="112">
        <v>531.53899999999999</v>
      </c>
      <c r="H51" s="142"/>
      <c r="I51" s="142"/>
      <c r="J51" s="187"/>
    </row>
    <row r="52" spans="2:10" ht="12.6" customHeight="1">
      <c r="B52" s="181"/>
      <c r="C52" s="183"/>
      <c r="D52" s="183"/>
      <c r="E52" s="183"/>
      <c r="F52" s="106" t="s">
        <v>209</v>
      </c>
      <c r="G52" s="112"/>
      <c r="H52" s="142"/>
      <c r="I52" s="142"/>
      <c r="J52" s="187"/>
    </row>
    <row r="53" spans="2:10" ht="12.6" customHeight="1">
      <c r="B53" s="181"/>
      <c r="C53" s="183">
        <v>2033</v>
      </c>
      <c r="D53" s="188">
        <v>44385</v>
      </c>
      <c r="E53" s="189">
        <v>4000</v>
      </c>
      <c r="F53" s="106" t="s">
        <v>205</v>
      </c>
      <c r="G53" s="112">
        <v>896.85900000000004</v>
      </c>
      <c r="H53" s="142">
        <f>G53+G54+G55+G56+G57</f>
        <v>4000.0000000000005</v>
      </c>
      <c r="I53" s="142">
        <f>E53-H53</f>
        <v>0</v>
      </c>
      <c r="J53" s="187">
        <f>H53/E53</f>
        <v>1.0000000000000002</v>
      </c>
    </row>
    <row r="54" spans="2:10" ht="12.6" customHeight="1">
      <c r="B54" s="181"/>
      <c r="C54" s="183"/>
      <c r="D54" s="189"/>
      <c r="E54" s="189"/>
      <c r="F54" s="106" t="s">
        <v>206</v>
      </c>
      <c r="G54" s="112"/>
      <c r="H54" s="142"/>
      <c r="I54" s="142"/>
      <c r="J54" s="187"/>
    </row>
    <row r="55" spans="2:10" ht="12.6" customHeight="1">
      <c r="B55" s="181"/>
      <c r="C55" s="183"/>
      <c r="D55" s="189"/>
      <c r="E55" s="189"/>
      <c r="F55" s="106" t="s">
        <v>207</v>
      </c>
      <c r="G55" s="112">
        <v>381.25099999999998</v>
      </c>
      <c r="H55" s="142"/>
      <c r="I55" s="142"/>
      <c r="J55" s="187"/>
    </row>
    <row r="56" spans="2:10" ht="12.6" customHeight="1">
      <c r="B56" s="181"/>
      <c r="C56" s="183"/>
      <c r="D56" s="189"/>
      <c r="E56" s="189"/>
      <c r="F56" s="106" t="s">
        <v>208</v>
      </c>
      <c r="G56" s="112">
        <v>1483.057</v>
      </c>
      <c r="H56" s="142"/>
      <c r="I56" s="142"/>
      <c r="J56" s="187"/>
    </row>
    <row r="57" spans="2:10" ht="12.6" customHeight="1">
      <c r="B57" s="182"/>
      <c r="C57" s="183"/>
      <c r="D57" s="189"/>
      <c r="E57" s="189"/>
      <c r="F57" s="106" t="s">
        <v>209</v>
      </c>
      <c r="G57" s="112">
        <v>1238.8330000000001</v>
      </c>
      <c r="H57" s="142"/>
      <c r="I57" s="142"/>
      <c r="J57" s="187"/>
    </row>
    <row r="58" spans="2:10">
      <c r="B58" s="180" t="s">
        <v>4</v>
      </c>
      <c r="C58" s="183">
        <v>837</v>
      </c>
      <c r="D58" s="184">
        <v>44273</v>
      </c>
      <c r="E58" s="183">
        <v>2875</v>
      </c>
      <c r="F58" s="28" t="s">
        <v>210</v>
      </c>
      <c r="G58" s="112">
        <v>576.89</v>
      </c>
      <c r="H58" s="142">
        <f>SUM(G58:G63)</f>
        <v>2875</v>
      </c>
      <c r="I58" s="142">
        <f>E58-H58</f>
        <v>0</v>
      </c>
      <c r="J58" s="187">
        <f>H58/E58</f>
        <v>1</v>
      </c>
    </row>
    <row r="59" spans="2:10">
      <c r="B59" s="181"/>
      <c r="C59" s="183"/>
      <c r="D59" s="184"/>
      <c r="E59" s="183"/>
      <c r="F59" s="87" t="s">
        <v>211</v>
      </c>
      <c r="G59" s="112">
        <v>427.84</v>
      </c>
      <c r="H59" s="142"/>
      <c r="I59" s="142"/>
      <c r="J59" s="187"/>
    </row>
    <row r="60" spans="2:10">
      <c r="B60" s="181"/>
      <c r="C60" s="183"/>
      <c r="D60" s="184"/>
      <c r="E60" s="183"/>
      <c r="F60" s="87" t="s">
        <v>212</v>
      </c>
      <c r="G60" s="112"/>
      <c r="H60" s="142"/>
      <c r="I60" s="142"/>
      <c r="J60" s="187"/>
    </row>
    <row r="61" spans="2:10">
      <c r="B61" s="181"/>
      <c r="C61" s="183"/>
      <c r="D61" s="183"/>
      <c r="E61" s="183"/>
      <c r="F61" s="28" t="s">
        <v>213</v>
      </c>
      <c r="G61" s="112">
        <v>602.97</v>
      </c>
      <c r="H61" s="142"/>
      <c r="I61" s="142"/>
      <c r="J61" s="187"/>
    </row>
    <row r="62" spans="2:10">
      <c r="B62" s="181"/>
      <c r="C62" s="183"/>
      <c r="D62" s="183"/>
      <c r="E62" s="183"/>
      <c r="F62" s="28" t="s">
        <v>214</v>
      </c>
      <c r="G62" s="112"/>
      <c r="H62" s="142"/>
      <c r="I62" s="142"/>
      <c r="J62" s="187"/>
    </row>
    <row r="63" spans="2:10">
      <c r="B63" s="181"/>
      <c r="C63" s="183"/>
      <c r="D63" s="183"/>
      <c r="E63" s="183"/>
      <c r="F63" s="28" t="s">
        <v>215</v>
      </c>
      <c r="G63" s="112">
        <v>1267.3</v>
      </c>
      <c r="H63" s="142"/>
      <c r="I63" s="142"/>
      <c r="J63" s="187"/>
    </row>
    <row r="64" spans="2:10">
      <c r="B64" s="181"/>
      <c r="C64" s="134">
        <v>1697</v>
      </c>
      <c r="D64" s="186">
        <v>44363</v>
      </c>
      <c r="E64" s="183">
        <v>3338</v>
      </c>
      <c r="F64" s="99" t="s">
        <v>210</v>
      </c>
      <c r="G64" s="112">
        <v>458.07</v>
      </c>
      <c r="H64" s="142">
        <f>SUM(G64:G69)</f>
        <v>3338</v>
      </c>
      <c r="I64" s="142">
        <f>E64-H64</f>
        <v>0</v>
      </c>
      <c r="J64" s="187">
        <f>H64/E64</f>
        <v>1</v>
      </c>
    </row>
    <row r="65" spans="2:10">
      <c r="B65" s="181"/>
      <c r="C65" s="135"/>
      <c r="D65" s="135"/>
      <c r="E65" s="183"/>
      <c r="F65" s="99" t="s">
        <v>211</v>
      </c>
      <c r="G65" s="112">
        <v>1339.2629999999999</v>
      </c>
      <c r="H65" s="142"/>
      <c r="I65" s="142"/>
      <c r="J65" s="187"/>
    </row>
    <row r="66" spans="2:10">
      <c r="B66" s="181"/>
      <c r="C66" s="135"/>
      <c r="D66" s="135"/>
      <c r="E66" s="183"/>
      <c r="F66" s="99" t="s">
        <v>212</v>
      </c>
      <c r="G66" s="112">
        <v>574.81500000000005</v>
      </c>
      <c r="H66" s="142"/>
      <c r="I66" s="142"/>
      <c r="J66" s="187"/>
    </row>
    <row r="67" spans="2:10">
      <c r="B67" s="181"/>
      <c r="C67" s="135"/>
      <c r="D67" s="135"/>
      <c r="E67" s="183"/>
      <c r="F67" s="99" t="s">
        <v>213</v>
      </c>
      <c r="G67" s="112">
        <v>516.52</v>
      </c>
      <c r="H67" s="142"/>
      <c r="I67" s="142"/>
      <c r="J67" s="187"/>
    </row>
    <row r="68" spans="2:10">
      <c r="B68" s="181"/>
      <c r="C68" s="135"/>
      <c r="D68" s="135"/>
      <c r="E68" s="183"/>
      <c r="F68" s="99" t="s">
        <v>214</v>
      </c>
      <c r="G68" s="112"/>
      <c r="H68" s="142"/>
      <c r="I68" s="142"/>
      <c r="J68" s="187"/>
    </row>
    <row r="69" spans="2:10">
      <c r="B69" s="182"/>
      <c r="C69" s="136"/>
      <c r="D69" s="136"/>
      <c r="E69" s="183"/>
      <c r="F69" s="99" t="s">
        <v>215</v>
      </c>
      <c r="G69" s="112">
        <v>449.33199999999999</v>
      </c>
      <c r="H69" s="142"/>
      <c r="I69" s="142"/>
      <c r="J69" s="187"/>
    </row>
    <row r="70" spans="2:10">
      <c r="B70" s="193" t="s">
        <v>217</v>
      </c>
      <c r="C70" s="183">
        <v>1671</v>
      </c>
      <c r="D70" s="184">
        <v>44344</v>
      </c>
      <c r="E70" s="183">
        <v>8670</v>
      </c>
      <c r="F70" s="28" t="s">
        <v>199</v>
      </c>
      <c r="G70" s="112">
        <v>4700.183</v>
      </c>
      <c r="H70" s="142">
        <f>SUM(G70+G71+G486)</f>
        <v>8659.8940000000002</v>
      </c>
      <c r="I70" s="142">
        <f>E70-H70</f>
        <v>10.105999999999767</v>
      </c>
      <c r="J70" s="187">
        <f>H70/E70</f>
        <v>0.99883437139561715</v>
      </c>
    </row>
    <row r="71" spans="2:10">
      <c r="B71" s="193"/>
      <c r="C71" s="183"/>
      <c r="D71" s="183"/>
      <c r="E71" s="183"/>
      <c r="F71" s="28" t="s">
        <v>200</v>
      </c>
      <c r="G71" s="112">
        <v>3959.7109999999998</v>
      </c>
      <c r="H71" s="142"/>
      <c r="I71" s="142"/>
      <c r="J71" s="187"/>
    </row>
    <row r="72" spans="2:10">
      <c r="B72" s="193"/>
      <c r="C72" s="183"/>
      <c r="D72" s="183"/>
      <c r="E72" s="183"/>
      <c r="F72" s="28" t="s">
        <v>202</v>
      </c>
      <c r="G72" s="112"/>
      <c r="H72" s="142"/>
      <c r="I72" s="142"/>
      <c r="J72" s="187"/>
    </row>
    <row r="73" spans="2:10">
      <c r="B73" s="193"/>
      <c r="C73" s="183"/>
      <c r="D73" s="184"/>
      <c r="E73" s="183"/>
      <c r="F73" s="28"/>
      <c r="G73" s="35"/>
      <c r="H73" s="142"/>
      <c r="I73" s="142"/>
      <c r="J73" s="185"/>
    </row>
    <row r="74" spans="2:10">
      <c r="B74" s="193"/>
      <c r="C74" s="183"/>
      <c r="D74" s="183"/>
      <c r="E74" s="183"/>
      <c r="F74" s="28"/>
      <c r="G74" s="35"/>
      <c r="H74" s="142"/>
      <c r="I74" s="142"/>
      <c r="J74" s="185"/>
    </row>
    <row r="75" spans="2:10">
      <c r="B75" s="193"/>
      <c r="C75" s="183"/>
      <c r="D75" s="183"/>
      <c r="E75" s="183"/>
      <c r="F75" s="28"/>
      <c r="G75" s="35"/>
      <c r="H75" s="142"/>
      <c r="I75" s="142"/>
      <c r="J75" s="185"/>
    </row>
    <row r="76" spans="2:10">
      <c r="B76" s="193"/>
      <c r="C76" s="183"/>
      <c r="D76" s="183"/>
      <c r="E76" s="183"/>
      <c r="F76" s="28"/>
      <c r="G76" s="35"/>
      <c r="H76" s="142"/>
      <c r="I76" s="142"/>
      <c r="J76" s="185"/>
    </row>
    <row r="77" spans="2:10">
      <c r="B77" s="193"/>
      <c r="C77" s="183"/>
      <c r="D77" s="183"/>
      <c r="E77" s="183"/>
      <c r="F77" s="28"/>
      <c r="G77" s="35"/>
      <c r="H77" s="142"/>
      <c r="I77" s="142"/>
      <c r="J77" s="185"/>
    </row>
    <row r="78" spans="2:10">
      <c r="B78" s="161"/>
      <c r="C78" s="183"/>
      <c r="D78" s="184"/>
      <c r="E78" s="183"/>
      <c r="F78" s="28"/>
      <c r="G78" s="35"/>
      <c r="H78" s="142"/>
      <c r="I78" s="142"/>
      <c r="J78" s="185"/>
    </row>
    <row r="79" spans="2:10">
      <c r="B79" s="161"/>
      <c r="C79" s="183"/>
      <c r="D79" s="183"/>
      <c r="E79" s="183"/>
      <c r="F79" s="28"/>
      <c r="G79" s="35"/>
      <c r="H79" s="142"/>
      <c r="I79" s="142"/>
      <c r="J79" s="185"/>
    </row>
    <row r="80" spans="2:10">
      <c r="B80" s="161"/>
      <c r="C80" s="183"/>
      <c r="D80" s="183"/>
      <c r="E80" s="183"/>
      <c r="F80" s="28"/>
      <c r="G80" s="35"/>
      <c r="H80" s="142"/>
      <c r="I80" s="142"/>
      <c r="J80" s="185"/>
    </row>
    <row r="81" spans="2:10">
      <c r="B81" s="161"/>
      <c r="C81" s="183"/>
      <c r="D81" s="183"/>
      <c r="E81" s="183"/>
      <c r="F81" s="28"/>
      <c r="G81" s="35"/>
      <c r="H81" s="142"/>
      <c r="I81" s="142"/>
      <c r="J81" s="185"/>
    </row>
    <row r="82" spans="2:10">
      <c r="B82" s="161"/>
      <c r="C82" s="183"/>
      <c r="D82" s="183"/>
      <c r="E82" s="183"/>
      <c r="F82" s="28"/>
      <c r="G82" s="35"/>
      <c r="H82" s="142"/>
      <c r="I82" s="142"/>
      <c r="J82" s="185"/>
    </row>
    <row r="83" spans="2:10">
      <c r="B83" s="161"/>
      <c r="C83" s="146"/>
      <c r="D83" s="192"/>
      <c r="E83" s="146"/>
      <c r="F83" s="28"/>
      <c r="G83" s="35"/>
      <c r="H83" s="142"/>
      <c r="I83" s="142"/>
      <c r="J83" s="185"/>
    </row>
    <row r="84" spans="2:10">
      <c r="B84" s="161"/>
      <c r="C84" s="146"/>
      <c r="D84" s="146"/>
      <c r="E84" s="146"/>
      <c r="F84" s="28"/>
      <c r="G84" s="35"/>
      <c r="H84" s="142"/>
      <c r="I84" s="142"/>
      <c r="J84" s="185"/>
    </row>
    <row r="85" spans="2:10">
      <c r="B85" s="161"/>
      <c r="C85" s="146"/>
      <c r="D85" s="146"/>
      <c r="E85" s="146"/>
      <c r="F85" s="28"/>
      <c r="G85" s="35"/>
      <c r="H85" s="142"/>
      <c r="I85" s="142"/>
      <c r="J85" s="185"/>
    </row>
    <row r="86" spans="2:10">
      <c r="B86" s="161"/>
      <c r="C86" s="146"/>
      <c r="D86" s="146"/>
      <c r="E86" s="146"/>
      <c r="F86" s="28"/>
      <c r="G86" s="35"/>
      <c r="H86" s="142"/>
      <c r="I86" s="142"/>
      <c r="J86" s="185"/>
    </row>
    <row r="87" spans="2:10">
      <c r="B87" s="161"/>
      <c r="C87" s="146"/>
      <c r="D87" s="146"/>
      <c r="E87" s="146"/>
      <c r="F87" s="28"/>
      <c r="G87" s="35"/>
      <c r="H87" s="142"/>
      <c r="I87" s="142"/>
      <c r="J87" s="185"/>
    </row>
    <row r="88" spans="2:10">
      <c r="B88" s="161"/>
      <c r="C88" s="146"/>
      <c r="D88" s="146"/>
      <c r="E88" s="146"/>
      <c r="F88" s="28"/>
      <c r="G88" s="35"/>
      <c r="H88" s="142"/>
      <c r="I88" s="142"/>
      <c r="J88" s="185"/>
    </row>
    <row r="89" spans="2:10">
      <c r="B89" s="161"/>
      <c r="C89" s="146"/>
      <c r="D89" s="192"/>
      <c r="E89" s="146"/>
      <c r="F89" s="28"/>
      <c r="G89" s="35"/>
      <c r="H89" s="142"/>
      <c r="I89" s="142"/>
      <c r="J89" s="185"/>
    </row>
    <row r="90" spans="2:10">
      <c r="B90" s="161"/>
      <c r="C90" s="146"/>
      <c r="D90" s="146"/>
      <c r="E90" s="146"/>
      <c r="F90" s="28"/>
      <c r="G90" s="35"/>
      <c r="H90" s="142"/>
      <c r="I90" s="142"/>
      <c r="J90" s="185"/>
    </row>
    <row r="91" spans="2:10">
      <c r="B91" s="161"/>
      <c r="C91" s="146"/>
      <c r="D91" s="146"/>
      <c r="E91" s="146"/>
      <c r="F91" s="28"/>
      <c r="G91" s="35"/>
      <c r="H91" s="142"/>
      <c r="I91" s="142"/>
      <c r="J91" s="185"/>
    </row>
    <row r="92" spans="2:10">
      <c r="B92" s="161"/>
      <c r="C92" s="146"/>
      <c r="D92" s="192"/>
      <c r="E92" s="146"/>
      <c r="F92" s="28"/>
      <c r="G92" s="35"/>
      <c r="H92" s="142"/>
      <c r="I92" s="142"/>
      <c r="J92" s="185"/>
    </row>
    <row r="93" spans="2:10">
      <c r="B93" s="161"/>
      <c r="C93" s="146"/>
      <c r="D93" s="146"/>
      <c r="E93" s="146"/>
      <c r="F93" s="28"/>
      <c r="G93" s="35"/>
      <c r="H93" s="142"/>
      <c r="I93" s="142"/>
      <c r="J93" s="185"/>
    </row>
    <row r="94" spans="2:10">
      <c r="B94" s="161"/>
      <c r="C94" s="146"/>
      <c r="D94" s="146"/>
      <c r="E94" s="146"/>
      <c r="F94" s="28"/>
      <c r="G94" s="35"/>
      <c r="H94" s="142"/>
      <c r="I94" s="142"/>
      <c r="J94" s="185"/>
    </row>
    <row r="95" spans="2:10">
      <c r="B95" s="161"/>
      <c r="C95" s="146"/>
      <c r="D95" s="146"/>
      <c r="E95" s="146"/>
      <c r="F95" s="28"/>
      <c r="G95" s="35"/>
      <c r="H95" s="142"/>
      <c r="I95" s="142"/>
      <c r="J95" s="185"/>
    </row>
    <row r="96" spans="2:10">
      <c r="B96" s="161"/>
      <c r="C96" s="146"/>
      <c r="D96" s="146"/>
      <c r="E96" s="146"/>
      <c r="F96" s="28"/>
      <c r="G96" s="35"/>
      <c r="H96" s="142"/>
      <c r="I96" s="142"/>
      <c r="J96" s="185"/>
    </row>
    <row r="97" spans="2:10">
      <c r="B97" s="161"/>
      <c r="C97" s="146"/>
      <c r="D97" s="192"/>
      <c r="E97" s="146"/>
      <c r="F97" s="28"/>
      <c r="G97" s="35"/>
      <c r="H97" s="142"/>
      <c r="I97" s="142"/>
      <c r="J97" s="185"/>
    </row>
    <row r="98" spans="2:10">
      <c r="B98" s="161"/>
      <c r="C98" s="146"/>
      <c r="D98" s="146"/>
      <c r="E98" s="146"/>
      <c r="F98" s="28"/>
      <c r="G98" s="35"/>
      <c r="H98" s="142"/>
      <c r="I98" s="142"/>
      <c r="J98" s="185"/>
    </row>
    <row r="99" spans="2:10">
      <c r="B99" s="161"/>
      <c r="C99" s="146"/>
      <c r="D99" s="146"/>
      <c r="E99" s="146"/>
      <c r="F99" s="28"/>
      <c r="G99" s="35"/>
      <c r="H99" s="142"/>
      <c r="I99" s="142"/>
      <c r="J99" s="185"/>
    </row>
    <row r="100" spans="2:10">
      <c r="B100" s="161"/>
      <c r="C100" s="146"/>
      <c r="D100" s="146"/>
      <c r="E100" s="146"/>
      <c r="F100" s="28"/>
      <c r="G100" s="35"/>
      <c r="H100" s="142"/>
      <c r="I100" s="142"/>
      <c r="J100" s="185"/>
    </row>
    <row r="101" spans="2:10">
      <c r="B101" s="161"/>
      <c r="C101" s="146"/>
      <c r="D101" s="146"/>
      <c r="E101" s="146"/>
      <c r="F101" s="28"/>
      <c r="G101" s="35"/>
      <c r="H101" s="142"/>
      <c r="I101" s="142"/>
      <c r="J101" s="185"/>
    </row>
    <row r="102" spans="2:10">
      <c r="B102" s="161"/>
      <c r="C102" s="146"/>
      <c r="D102" s="192"/>
      <c r="E102" s="146"/>
      <c r="F102" s="28"/>
      <c r="G102" s="35"/>
      <c r="H102" s="142"/>
      <c r="I102" s="142"/>
      <c r="J102" s="185"/>
    </row>
    <row r="103" spans="2:10">
      <c r="B103" s="161"/>
      <c r="C103" s="146"/>
      <c r="D103" s="146"/>
      <c r="E103" s="146"/>
      <c r="F103" s="28"/>
      <c r="G103" s="35"/>
      <c r="H103" s="142"/>
      <c r="I103" s="142"/>
      <c r="J103" s="185"/>
    </row>
    <row r="104" spans="2:10">
      <c r="B104" s="161"/>
      <c r="C104" s="146"/>
      <c r="D104" s="146"/>
      <c r="E104" s="146"/>
      <c r="F104" s="28"/>
      <c r="G104" s="35"/>
      <c r="H104" s="142"/>
      <c r="I104" s="142"/>
      <c r="J104" s="185"/>
    </row>
    <row r="105" spans="2:10">
      <c r="B105" s="161"/>
      <c r="C105" s="146"/>
      <c r="D105" s="146"/>
      <c r="E105" s="146"/>
      <c r="F105" s="28"/>
      <c r="G105" s="35"/>
      <c r="H105" s="142"/>
      <c r="I105" s="142"/>
      <c r="J105" s="185"/>
    </row>
    <row r="106" spans="2:10">
      <c r="B106" s="161"/>
      <c r="C106" s="146"/>
      <c r="D106" s="192"/>
      <c r="E106" s="146"/>
      <c r="F106" s="28"/>
      <c r="G106" s="35"/>
      <c r="H106" s="142"/>
      <c r="I106" s="142"/>
      <c r="J106" s="185"/>
    </row>
    <row r="107" spans="2:10">
      <c r="B107" s="161"/>
      <c r="C107" s="146"/>
      <c r="D107" s="146"/>
      <c r="E107" s="146"/>
      <c r="F107" s="28"/>
      <c r="G107" s="35"/>
      <c r="H107" s="142"/>
      <c r="I107" s="142"/>
      <c r="J107" s="185"/>
    </row>
    <row r="108" spans="2:10">
      <c r="B108" s="161"/>
      <c r="C108" s="146"/>
      <c r="D108" s="146"/>
      <c r="E108" s="146"/>
      <c r="F108" s="28"/>
      <c r="G108" s="35"/>
      <c r="H108" s="142"/>
      <c r="I108" s="142"/>
      <c r="J108" s="185"/>
    </row>
    <row r="109" spans="2:10" ht="17.25" customHeight="1">
      <c r="B109" s="161"/>
      <c r="C109" s="146"/>
      <c r="D109" s="192"/>
      <c r="E109" s="146"/>
      <c r="F109" s="28"/>
      <c r="G109" s="35"/>
      <c r="H109" s="142"/>
      <c r="I109" s="142"/>
      <c r="J109" s="185"/>
    </row>
    <row r="110" spans="2:10">
      <c r="B110" s="161"/>
      <c r="C110" s="146"/>
      <c r="D110" s="192"/>
      <c r="E110" s="146"/>
      <c r="F110" s="28"/>
      <c r="G110" s="35"/>
      <c r="H110" s="142"/>
      <c r="I110" s="142"/>
      <c r="J110" s="185"/>
    </row>
    <row r="111" spans="2:10">
      <c r="B111" s="161"/>
      <c r="C111" s="146"/>
      <c r="D111" s="192"/>
      <c r="E111" s="146"/>
      <c r="F111" s="28"/>
      <c r="G111" s="35"/>
      <c r="H111" s="142"/>
      <c r="I111" s="142"/>
      <c r="J111" s="185"/>
    </row>
    <row r="112" spans="2:10">
      <c r="B112" s="161"/>
      <c r="C112" s="146"/>
      <c r="D112" s="192"/>
      <c r="E112" s="146"/>
      <c r="F112" s="28"/>
      <c r="G112" s="35"/>
      <c r="H112" s="142"/>
      <c r="I112" s="142"/>
      <c r="J112" s="185"/>
    </row>
    <row r="113" spans="2:10">
      <c r="B113" s="161"/>
      <c r="C113" s="146"/>
      <c r="D113" s="192"/>
      <c r="E113" s="146"/>
      <c r="F113" s="28"/>
      <c r="G113" s="35"/>
      <c r="H113" s="142"/>
      <c r="I113" s="142"/>
      <c r="J113" s="185"/>
    </row>
    <row r="114" spans="2:10">
      <c r="B114" s="161"/>
      <c r="C114" s="146"/>
      <c r="D114" s="192"/>
      <c r="E114" s="146"/>
      <c r="F114" s="28"/>
      <c r="G114" s="35"/>
      <c r="H114" s="142"/>
      <c r="I114" s="142"/>
      <c r="J114" s="185"/>
    </row>
    <row r="115" spans="2:10">
      <c r="B115" s="161"/>
      <c r="C115" s="146"/>
      <c r="D115" s="192"/>
      <c r="E115" s="146"/>
      <c r="F115" s="28"/>
      <c r="G115" s="35"/>
      <c r="H115" s="142"/>
      <c r="I115" s="142"/>
      <c r="J115" s="185"/>
    </row>
    <row r="116" spans="2:10">
      <c r="B116" s="161"/>
      <c r="C116" s="146"/>
      <c r="D116" s="192"/>
      <c r="E116" s="146"/>
      <c r="F116" s="28"/>
      <c r="G116" s="35"/>
      <c r="H116" s="142"/>
      <c r="I116" s="142"/>
      <c r="J116" s="185"/>
    </row>
    <row r="117" spans="2:10">
      <c r="B117" s="161"/>
      <c r="C117" s="146"/>
      <c r="D117" s="192"/>
      <c r="E117" s="146"/>
      <c r="F117" s="28"/>
      <c r="G117" s="35"/>
      <c r="H117" s="142"/>
      <c r="I117" s="142"/>
      <c r="J117" s="185"/>
    </row>
    <row r="118" spans="2:10">
      <c r="B118" s="161"/>
      <c r="C118" s="146"/>
      <c r="D118" s="192"/>
      <c r="E118" s="146"/>
      <c r="F118" s="28"/>
      <c r="G118" s="35"/>
      <c r="H118" s="142"/>
      <c r="I118" s="142"/>
      <c r="J118" s="185"/>
    </row>
    <row r="119" spans="2:10" s="51" customFormat="1" ht="24" customHeight="1">
      <c r="B119" s="183"/>
      <c r="C119" s="183"/>
      <c r="D119" s="183"/>
      <c r="E119" s="43">
        <f>SUM(E8:E113)</f>
        <v>83235.76999999999</v>
      </c>
      <c r="F119" s="43"/>
      <c r="G119" s="35">
        <f>SUM(G8:G118)</f>
        <v>83188.174000000014</v>
      </c>
      <c r="H119" s="35">
        <f>SUM(H8:H118)</f>
        <v>83188.173999999999</v>
      </c>
      <c r="I119" s="35">
        <f>+E119-H119</f>
        <v>47.595999999990454</v>
      </c>
      <c r="J119" s="42">
        <f>H119/E119</f>
        <v>0.99942817853430088</v>
      </c>
    </row>
  </sheetData>
  <mergeCells count="170">
    <mergeCell ref="J102:J105"/>
    <mergeCell ref="I97:I101"/>
    <mergeCell ref="J97:J101"/>
    <mergeCell ref="B109:B113"/>
    <mergeCell ref="C109:C113"/>
    <mergeCell ref="D109:D113"/>
    <mergeCell ref="E109:E113"/>
    <mergeCell ref="I109:I113"/>
    <mergeCell ref="J109:J113"/>
    <mergeCell ref="H109:H113"/>
    <mergeCell ref="B106:B108"/>
    <mergeCell ref="C106:C108"/>
    <mergeCell ref="D106:D108"/>
    <mergeCell ref="E106:E108"/>
    <mergeCell ref="I106:I108"/>
    <mergeCell ref="J106:J108"/>
    <mergeCell ref="H106:H108"/>
    <mergeCell ref="E102:E105"/>
    <mergeCell ref="C102:C105"/>
    <mergeCell ref="D102:D105"/>
    <mergeCell ref="B102:B105"/>
    <mergeCell ref="H102:H105"/>
    <mergeCell ref="B114:B118"/>
    <mergeCell ref="C114:C118"/>
    <mergeCell ref="D114:D118"/>
    <mergeCell ref="E114:E118"/>
    <mergeCell ref="H114:H118"/>
    <mergeCell ref="I114:I118"/>
    <mergeCell ref="J114:J118"/>
    <mergeCell ref="H14:H18"/>
    <mergeCell ref="I14:I18"/>
    <mergeCell ref="J14:J18"/>
    <mergeCell ref="H29:H31"/>
    <mergeCell ref="I29:I31"/>
    <mergeCell ref="J29:J31"/>
    <mergeCell ref="I38:I42"/>
    <mergeCell ref="J38:J42"/>
    <mergeCell ref="C70:C72"/>
    <mergeCell ref="C58:C63"/>
    <mergeCell ref="H70:H72"/>
    <mergeCell ref="I32:I34"/>
    <mergeCell ref="I70:I72"/>
    <mergeCell ref="D38:D42"/>
    <mergeCell ref="E38:E42"/>
    <mergeCell ref="H38:H42"/>
    <mergeCell ref="I102:I105"/>
    <mergeCell ref="B2:J2"/>
    <mergeCell ref="B3:J3"/>
    <mergeCell ref="C8:C10"/>
    <mergeCell ref="D8:D10"/>
    <mergeCell ref="E8:E10"/>
    <mergeCell ref="H8:H10"/>
    <mergeCell ref="I8:I10"/>
    <mergeCell ref="J8:J10"/>
    <mergeCell ref="B4:J4"/>
    <mergeCell ref="B8:B13"/>
    <mergeCell ref="C11:C13"/>
    <mergeCell ref="D11:D13"/>
    <mergeCell ref="E11:E13"/>
    <mergeCell ref="H11:H13"/>
    <mergeCell ref="I11:I13"/>
    <mergeCell ref="J11:J13"/>
    <mergeCell ref="B119:D119"/>
    <mergeCell ref="C14:C18"/>
    <mergeCell ref="D14:D18"/>
    <mergeCell ref="E14:E18"/>
    <mergeCell ref="C29:C31"/>
    <mergeCell ref="D29:D31"/>
    <mergeCell ref="E29:E31"/>
    <mergeCell ref="C32:C34"/>
    <mergeCell ref="D32:D34"/>
    <mergeCell ref="C43:C47"/>
    <mergeCell ref="B78:B82"/>
    <mergeCell ref="C78:C82"/>
    <mergeCell ref="D78:D82"/>
    <mergeCell ref="E78:E82"/>
    <mergeCell ref="B70:B72"/>
    <mergeCell ref="B73:B77"/>
    <mergeCell ref="C73:C77"/>
    <mergeCell ref="D73:D77"/>
    <mergeCell ref="D89:D91"/>
    <mergeCell ref="E89:E91"/>
    <mergeCell ref="C19:C23"/>
    <mergeCell ref="D70:D72"/>
    <mergeCell ref="E70:E72"/>
    <mergeCell ref="B89:B91"/>
    <mergeCell ref="H78:H82"/>
    <mergeCell ref="I58:I63"/>
    <mergeCell ref="J58:J63"/>
    <mergeCell ref="E73:E77"/>
    <mergeCell ref="H73:H77"/>
    <mergeCell ref="I73:I77"/>
    <mergeCell ref="J73:J77"/>
    <mergeCell ref="I78:I82"/>
    <mergeCell ref="J78:J82"/>
    <mergeCell ref="E58:E63"/>
    <mergeCell ref="H58:H63"/>
    <mergeCell ref="J70:J72"/>
    <mergeCell ref="B14:B28"/>
    <mergeCell ref="B92:B96"/>
    <mergeCell ref="C92:C96"/>
    <mergeCell ref="D92:D96"/>
    <mergeCell ref="E92:E96"/>
    <mergeCell ref="H92:H96"/>
    <mergeCell ref="I92:I96"/>
    <mergeCell ref="J92:J96"/>
    <mergeCell ref="B97:B101"/>
    <mergeCell ref="C97:C101"/>
    <mergeCell ref="D97:D101"/>
    <mergeCell ref="E97:E101"/>
    <mergeCell ref="H97:H101"/>
    <mergeCell ref="C89:C91"/>
    <mergeCell ref="H89:H91"/>
    <mergeCell ref="J83:J88"/>
    <mergeCell ref="B83:B88"/>
    <mergeCell ref="C83:C88"/>
    <mergeCell ref="D83:D88"/>
    <mergeCell ref="E83:E88"/>
    <mergeCell ref="H83:H88"/>
    <mergeCell ref="I89:I91"/>
    <mergeCell ref="J89:J91"/>
    <mergeCell ref="I83:I88"/>
    <mergeCell ref="C38:C42"/>
    <mergeCell ref="E32:E34"/>
    <mergeCell ref="H32:H34"/>
    <mergeCell ref="D43:D47"/>
    <mergeCell ref="E43:E47"/>
    <mergeCell ref="H43:H47"/>
    <mergeCell ref="D19:D23"/>
    <mergeCell ref="J32:J34"/>
    <mergeCell ref="C24:C28"/>
    <mergeCell ref="D24:D28"/>
    <mergeCell ref="E24:E28"/>
    <mergeCell ref="H24:H28"/>
    <mergeCell ref="I24:I28"/>
    <mergeCell ref="J24:J28"/>
    <mergeCell ref="E53:E57"/>
    <mergeCell ref="H53:H57"/>
    <mergeCell ref="I53:I57"/>
    <mergeCell ref="J53:J57"/>
    <mergeCell ref="E19:E23"/>
    <mergeCell ref="H19:H23"/>
    <mergeCell ref="I19:I23"/>
    <mergeCell ref="J19:J23"/>
    <mergeCell ref="I43:I47"/>
    <mergeCell ref="J43:J47"/>
    <mergeCell ref="B29:B37"/>
    <mergeCell ref="C35:C37"/>
    <mergeCell ref="D35:D37"/>
    <mergeCell ref="E35:E37"/>
    <mergeCell ref="H35:H37"/>
    <mergeCell ref="I35:I37"/>
    <mergeCell ref="J35:J37"/>
    <mergeCell ref="B58:B69"/>
    <mergeCell ref="C64:C69"/>
    <mergeCell ref="D64:D69"/>
    <mergeCell ref="E64:E69"/>
    <mergeCell ref="H64:H69"/>
    <mergeCell ref="I64:I69"/>
    <mergeCell ref="J64:J69"/>
    <mergeCell ref="D58:D63"/>
    <mergeCell ref="C48:C52"/>
    <mergeCell ref="D48:D52"/>
    <mergeCell ref="E48:E52"/>
    <mergeCell ref="H48:H52"/>
    <mergeCell ref="I48:I52"/>
    <mergeCell ref="J48:J52"/>
    <mergeCell ref="B38:B57"/>
    <mergeCell ref="C53:C57"/>
    <mergeCell ref="D53:D5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3"/>
  <sheetViews>
    <sheetView showGridLines="0" topLeftCell="B1" workbookViewId="0">
      <selection activeCell="F38" sqref="F38"/>
    </sheetView>
  </sheetViews>
  <sheetFormatPr baseColWidth="10" defaultColWidth="11.42578125" defaultRowHeight="12"/>
  <cols>
    <col min="1" max="1" width="25.85546875" style="51" customWidth="1"/>
    <col min="2" max="2" width="16.5703125" style="51" customWidth="1"/>
    <col min="3" max="3" width="16.28515625" style="51" bestFit="1" customWidth="1"/>
    <col min="4" max="4" width="17.7109375" style="51" bestFit="1" customWidth="1"/>
    <col min="5" max="5" width="19.42578125" style="51" customWidth="1"/>
    <col min="6" max="6" width="18.28515625" style="51" customWidth="1"/>
    <col min="7" max="7" width="15.85546875" style="51" customWidth="1"/>
    <col min="8" max="8" width="19.28515625" style="51" customWidth="1"/>
    <col min="9" max="9" width="11.28515625" style="51" bestFit="1" customWidth="1"/>
    <col min="10" max="10" width="13.140625" style="51" bestFit="1" customWidth="1"/>
    <col min="11" max="16384" width="11.42578125" style="51"/>
  </cols>
  <sheetData>
    <row r="2" spans="3:10" ht="15.6" customHeight="1">
      <c r="C2" s="204" t="s">
        <v>165</v>
      </c>
      <c r="D2" s="205"/>
      <c r="E2" s="205"/>
      <c r="F2" s="205"/>
      <c r="G2" s="205"/>
      <c r="H2" s="205"/>
      <c r="I2" s="205"/>
      <c r="J2" s="206"/>
    </row>
    <row r="3" spans="3:10" ht="15" customHeight="1">
      <c r="C3" s="207">
        <f>+RESUMEN!B3</f>
        <v>44452</v>
      </c>
      <c r="D3" s="208"/>
      <c r="E3" s="208"/>
      <c r="F3" s="208"/>
      <c r="G3" s="208"/>
      <c r="H3" s="208"/>
      <c r="I3" s="208"/>
      <c r="J3" s="209"/>
    </row>
    <row r="4" spans="3:10">
      <c r="C4" s="144"/>
      <c r="D4" s="144"/>
      <c r="E4" s="144"/>
      <c r="F4" s="144"/>
      <c r="G4" s="144"/>
      <c r="H4" s="144"/>
    </row>
    <row r="5" spans="3:10">
      <c r="C5" s="210" t="s">
        <v>166</v>
      </c>
      <c r="D5" s="211"/>
      <c r="E5" s="211"/>
      <c r="F5" s="211"/>
      <c r="G5" s="212"/>
      <c r="I5" s="54"/>
    </row>
    <row r="6" spans="3:10">
      <c r="C6" s="48" t="s">
        <v>167</v>
      </c>
      <c r="D6" s="48" t="s">
        <v>111</v>
      </c>
      <c r="E6" s="77" t="s">
        <v>114</v>
      </c>
      <c r="F6" s="77" t="s">
        <v>115</v>
      </c>
      <c r="G6" s="48" t="s">
        <v>93</v>
      </c>
    </row>
    <row r="7" spans="3:10">
      <c r="C7" s="43" t="s">
        <v>57</v>
      </c>
      <c r="D7" s="35">
        <f>SUM(F11:F23)</f>
        <v>5047.9999999999991</v>
      </c>
      <c r="E7" s="112">
        <f>SUM(G11:G23)</f>
        <v>5222.8959999999997</v>
      </c>
      <c r="F7" s="35">
        <f>D7-E7</f>
        <v>-174.89600000000064</v>
      </c>
      <c r="G7" s="33">
        <f>E7/D7</f>
        <v>1.0346465927099844</v>
      </c>
    </row>
    <row r="8" spans="3:10">
      <c r="C8" s="54"/>
      <c r="D8" s="54"/>
      <c r="E8" s="54"/>
      <c r="F8" s="54"/>
      <c r="G8" s="54"/>
      <c r="H8" s="54"/>
      <c r="I8" s="75"/>
    </row>
    <row r="10" spans="3:10">
      <c r="C10" s="78" t="s">
        <v>168</v>
      </c>
      <c r="D10" s="79" t="s">
        <v>169</v>
      </c>
      <c r="E10" s="78" t="s">
        <v>170</v>
      </c>
      <c r="F10" s="78" t="s">
        <v>111</v>
      </c>
      <c r="G10" s="78" t="s">
        <v>114</v>
      </c>
      <c r="H10" s="78" t="s">
        <v>115</v>
      </c>
      <c r="I10" s="80" t="s">
        <v>171</v>
      </c>
      <c r="J10" s="78" t="s">
        <v>172</v>
      </c>
    </row>
    <row r="11" spans="3:10">
      <c r="C11" s="43" t="s">
        <v>186</v>
      </c>
      <c r="D11" s="43">
        <v>248</v>
      </c>
      <c r="E11" s="43" t="s">
        <v>57</v>
      </c>
      <c r="F11" s="35">
        <v>757.2</v>
      </c>
      <c r="G11" s="112"/>
      <c r="H11" s="35">
        <f>+F11-G11</f>
        <v>757.2</v>
      </c>
      <c r="I11" s="76">
        <f>G11/F11</f>
        <v>0</v>
      </c>
      <c r="J11" s="44">
        <v>44232</v>
      </c>
    </row>
    <row r="12" spans="3:10">
      <c r="C12" s="43" t="s">
        <v>186</v>
      </c>
      <c r="D12" s="43">
        <v>249</v>
      </c>
      <c r="E12" s="43" t="s">
        <v>57</v>
      </c>
      <c r="F12" s="35">
        <v>757.2</v>
      </c>
      <c r="G12" s="112">
        <v>1702.049</v>
      </c>
      <c r="H12" s="35">
        <f t="shared" ref="H12:H23" si="0">+F12-G12</f>
        <v>-944.84899999999993</v>
      </c>
      <c r="I12" s="76">
        <f>G12/F12</f>
        <v>2.247819598520866</v>
      </c>
      <c r="J12" s="44">
        <v>44232</v>
      </c>
    </row>
    <row r="13" spans="3:10">
      <c r="C13" s="43" t="s">
        <v>186</v>
      </c>
      <c r="D13" s="43">
        <v>250</v>
      </c>
      <c r="E13" s="43" t="s">
        <v>57</v>
      </c>
      <c r="F13" s="35">
        <v>504.8</v>
      </c>
      <c r="G13" s="112">
        <v>340.23</v>
      </c>
      <c r="H13" s="35">
        <f t="shared" si="0"/>
        <v>164.57</v>
      </c>
      <c r="I13" s="76">
        <f t="shared" ref="I13:I19" si="1">G13/F13</f>
        <v>0.67398969889064975</v>
      </c>
      <c r="J13" s="44">
        <v>44232</v>
      </c>
    </row>
    <row r="14" spans="3:10">
      <c r="C14" s="43" t="s">
        <v>187</v>
      </c>
      <c r="D14" s="43">
        <v>251</v>
      </c>
      <c r="E14" s="43" t="s">
        <v>57</v>
      </c>
      <c r="F14" s="35">
        <v>504.8</v>
      </c>
      <c r="G14" s="112">
        <v>587.02</v>
      </c>
      <c r="H14" s="35">
        <f t="shared" si="0"/>
        <v>-82.21999999999997</v>
      </c>
      <c r="I14" s="76">
        <f t="shared" si="1"/>
        <v>1.1628763866877971</v>
      </c>
      <c r="J14" s="44">
        <v>44235</v>
      </c>
    </row>
    <row r="15" spans="3:10">
      <c r="C15" s="43" t="s">
        <v>187</v>
      </c>
      <c r="D15" s="43">
        <v>252</v>
      </c>
      <c r="E15" s="43" t="s">
        <v>57</v>
      </c>
      <c r="F15" s="35">
        <v>504.8</v>
      </c>
      <c r="G15" s="112">
        <v>460.67</v>
      </c>
      <c r="H15" s="35">
        <f t="shared" si="0"/>
        <v>44.129999999999995</v>
      </c>
      <c r="I15" s="76">
        <f t="shared" si="1"/>
        <v>0.91257923930269413</v>
      </c>
      <c r="J15" s="44">
        <v>44235</v>
      </c>
    </row>
    <row r="16" spans="3:10">
      <c r="C16" s="43" t="s">
        <v>187</v>
      </c>
      <c r="D16" s="43">
        <v>253</v>
      </c>
      <c r="E16" s="43" t="s">
        <v>57</v>
      </c>
      <c r="F16" s="35">
        <v>252.4</v>
      </c>
      <c r="G16" s="112">
        <v>256.94</v>
      </c>
      <c r="H16" s="35">
        <f t="shared" si="0"/>
        <v>-4.539999999999992</v>
      </c>
      <c r="I16" s="76">
        <f t="shared" si="1"/>
        <v>1.0179873217115689</v>
      </c>
      <c r="J16" s="44">
        <v>44235</v>
      </c>
    </row>
    <row r="17" spans="3:10">
      <c r="C17" s="43" t="s">
        <v>187</v>
      </c>
      <c r="D17" s="43">
        <v>254</v>
      </c>
      <c r="E17" s="43" t="s">
        <v>57</v>
      </c>
      <c r="F17" s="35">
        <v>252.4</v>
      </c>
      <c r="G17" s="112">
        <v>279.93900000000002</v>
      </c>
      <c r="H17" s="35">
        <f t="shared" si="0"/>
        <v>-27.539000000000016</v>
      </c>
      <c r="I17" s="76">
        <f t="shared" si="1"/>
        <v>1.1091085578446911</v>
      </c>
      <c r="J17" s="44">
        <v>44235</v>
      </c>
    </row>
    <row r="18" spans="3:10">
      <c r="C18" s="43" t="s">
        <v>187</v>
      </c>
      <c r="D18" s="43">
        <v>255</v>
      </c>
      <c r="E18" s="43" t="s">
        <v>57</v>
      </c>
      <c r="F18" s="35">
        <v>252.4</v>
      </c>
      <c r="G18" s="112">
        <v>320.86</v>
      </c>
      <c r="H18" s="35">
        <f t="shared" si="0"/>
        <v>-68.460000000000008</v>
      </c>
      <c r="I18" s="76">
        <f t="shared" si="1"/>
        <v>1.2712361331220285</v>
      </c>
      <c r="J18" s="44">
        <v>44235</v>
      </c>
    </row>
    <row r="19" spans="3:10">
      <c r="C19" s="43" t="s">
        <v>187</v>
      </c>
      <c r="D19" s="43">
        <v>256</v>
      </c>
      <c r="E19" s="43" t="s">
        <v>57</v>
      </c>
      <c r="F19" s="35">
        <v>252.4</v>
      </c>
      <c r="G19" s="112">
        <v>130.35</v>
      </c>
      <c r="H19" s="35">
        <f t="shared" si="0"/>
        <v>122.05000000000001</v>
      </c>
      <c r="I19" s="76">
        <f t="shared" si="1"/>
        <v>0.51644215530903326</v>
      </c>
      <c r="J19" s="44">
        <v>44235</v>
      </c>
    </row>
    <row r="20" spans="3:10">
      <c r="C20" s="43" t="s">
        <v>188</v>
      </c>
      <c r="D20" s="43">
        <v>257</v>
      </c>
      <c r="E20" s="43" t="s">
        <v>57</v>
      </c>
      <c r="F20" s="35">
        <v>252.4</v>
      </c>
      <c r="G20" s="112">
        <v>258.77</v>
      </c>
      <c r="H20" s="35">
        <f t="shared" si="0"/>
        <v>-6.3699999999999761</v>
      </c>
      <c r="I20" s="76">
        <f>G20/F20</f>
        <v>1.0252377179080823</v>
      </c>
      <c r="J20" s="44">
        <v>44232</v>
      </c>
    </row>
    <row r="21" spans="3:10">
      <c r="C21" s="43" t="s">
        <v>189</v>
      </c>
      <c r="D21" s="43">
        <v>258</v>
      </c>
      <c r="E21" s="43" t="s">
        <v>57</v>
      </c>
      <c r="F21" s="35">
        <v>252.4</v>
      </c>
      <c r="G21" s="112">
        <v>310.21100000000001</v>
      </c>
      <c r="H21" s="35">
        <f t="shared" si="0"/>
        <v>-57.811000000000007</v>
      </c>
      <c r="I21" s="76">
        <f>G21/F21</f>
        <v>1.2290451664025357</v>
      </c>
      <c r="J21" s="44">
        <v>44232</v>
      </c>
    </row>
    <row r="22" spans="3:10">
      <c r="C22" s="43" t="s">
        <v>189</v>
      </c>
      <c r="D22" s="43">
        <v>259</v>
      </c>
      <c r="E22" s="43" t="s">
        <v>57</v>
      </c>
      <c r="F22" s="35">
        <v>252.4</v>
      </c>
      <c r="G22" s="112">
        <v>336.11700000000002</v>
      </c>
      <c r="H22" s="35">
        <f t="shared" si="0"/>
        <v>-83.717000000000013</v>
      </c>
      <c r="I22" s="76">
        <f>G22/F22</f>
        <v>1.3316838351822504</v>
      </c>
      <c r="J22" s="44">
        <v>44232</v>
      </c>
    </row>
    <row r="23" spans="3:10">
      <c r="C23" s="43" t="s">
        <v>189</v>
      </c>
      <c r="D23" s="43">
        <v>260</v>
      </c>
      <c r="E23" s="43" t="s">
        <v>57</v>
      </c>
      <c r="F23" s="35">
        <v>252.4</v>
      </c>
      <c r="G23" s="112">
        <v>239.74</v>
      </c>
      <c r="H23" s="35">
        <f t="shared" si="0"/>
        <v>12.659999999999997</v>
      </c>
      <c r="I23" s="76">
        <f>G23/F23</f>
        <v>0.94984152139461175</v>
      </c>
      <c r="J23" s="44">
        <v>44232</v>
      </c>
    </row>
  </sheetData>
  <mergeCells count="4">
    <mergeCell ref="C4:H4"/>
    <mergeCell ref="C2:J2"/>
    <mergeCell ref="C3:J3"/>
    <mergeCell ref="C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>
      <selection activeCell="I39" sqref="I39"/>
    </sheetView>
  </sheetViews>
  <sheetFormatPr baseColWidth="10" defaultColWidth="11.42578125" defaultRowHeight="12"/>
  <cols>
    <col min="1" max="1" width="26.140625" style="22" customWidth="1"/>
    <col min="2" max="2" width="14" style="22" customWidth="1"/>
    <col min="3" max="3" width="14.140625" style="22" customWidth="1"/>
    <col min="4" max="4" width="22.5703125" style="22" customWidth="1"/>
    <col min="5" max="5" width="12" style="22" customWidth="1"/>
    <col min="6" max="6" width="14" style="51" customWidth="1"/>
    <col min="7" max="7" width="12.140625" style="22" customWidth="1"/>
    <col min="8" max="16384" width="11.42578125" style="22"/>
  </cols>
  <sheetData>
    <row r="1" spans="2:8" ht="21" customHeight="1"/>
    <row r="2" spans="2:8" ht="16.149999999999999" customHeight="1">
      <c r="B2" s="204" t="s">
        <v>175</v>
      </c>
      <c r="C2" s="205"/>
      <c r="D2" s="205"/>
      <c r="E2" s="205"/>
      <c r="F2" s="205"/>
      <c r="G2" s="205"/>
      <c r="H2" s="206"/>
    </row>
    <row r="3" spans="2:8" ht="12" customHeight="1">
      <c r="B3" s="207">
        <f>RESUMEN!B3</f>
        <v>44452</v>
      </c>
      <c r="C3" s="208"/>
      <c r="D3" s="208"/>
      <c r="E3" s="208"/>
      <c r="F3" s="208"/>
      <c r="G3" s="208"/>
      <c r="H3" s="209"/>
    </row>
    <row r="4" spans="2:8" ht="25.5" customHeight="1">
      <c r="B4" s="144"/>
      <c r="C4" s="145"/>
      <c r="D4" s="145"/>
      <c r="E4" s="145"/>
      <c r="F4" s="145"/>
      <c r="G4" s="145"/>
      <c r="H4" s="145"/>
    </row>
    <row r="5" spans="2:8">
      <c r="B5" s="48" t="s">
        <v>169</v>
      </c>
      <c r="C5" s="48" t="s">
        <v>84</v>
      </c>
      <c r="D5" s="48" t="s">
        <v>173</v>
      </c>
      <c r="E5" s="48" t="s">
        <v>174</v>
      </c>
      <c r="F5" s="48" t="s">
        <v>114</v>
      </c>
      <c r="G5" s="48" t="s">
        <v>115</v>
      </c>
      <c r="H5" s="48" t="s">
        <v>93</v>
      </c>
    </row>
    <row r="6" spans="2:8">
      <c r="B6" s="43">
        <v>1935</v>
      </c>
      <c r="C6" s="43">
        <v>697635</v>
      </c>
      <c r="D6" s="43" t="s">
        <v>218</v>
      </c>
      <c r="E6" s="43">
        <v>5</v>
      </c>
      <c r="F6" s="119">
        <v>4.9950000000000001</v>
      </c>
      <c r="G6" s="43">
        <f>E6-F6</f>
        <v>4.9999999999998934E-3</v>
      </c>
      <c r="H6" s="42">
        <f>F6/E6</f>
        <v>0.999</v>
      </c>
    </row>
    <row r="7" spans="2:8">
      <c r="B7" s="134">
        <v>2340</v>
      </c>
      <c r="C7" s="116">
        <v>964409</v>
      </c>
      <c r="D7" s="116" t="s">
        <v>221</v>
      </c>
      <c r="E7" s="116">
        <v>80</v>
      </c>
      <c r="F7" s="118"/>
      <c r="G7" s="116">
        <f t="shared" ref="G7:G10" si="0">E7-F7</f>
        <v>80</v>
      </c>
      <c r="H7" s="117">
        <f t="shared" ref="H7:H10" si="1">F7/E7</f>
        <v>0</v>
      </c>
    </row>
    <row r="8" spans="2:8">
      <c r="B8" s="135"/>
      <c r="C8" s="116">
        <v>697635</v>
      </c>
      <c r="D8" s="116" t="s">
        <v>218</v>
      </c>
      <c r="E8" s="116">
        <v>80</v>
      </c>
      <c r="F8" s="119">
        <v>27.638000000000002</v>
      </c>
      <c r="G8" s="116">
        <f t="shared" si="0"/>
        <v>52.361999999999995</v>
      </c>
      <c r="H8" s="117">
        <f t="shared" si="1"/>
        <v>0.34547500000000003</v>
      </c>
    </row>
    <row r="9" spans="2:8">
      <c r="B9" s="135"/>
      <c r="C9" s="116">
        <v>969369</v>
      </c>
      <c r="D9" s="116" t="s">
        <v>222</v>
      </c>
      <c r="E9" s="116">
        <v>26</v>
      </c>
      <c r="F9" s="118"/>
      <c r="G9" s="116">
        <f t="shared" si="0"/>
        <v>26</v>
      </c>
      <c r="H9" s="117">
        <f t="shared" si="1"/>
        <v>0</v>
      </c>
    </row>
    <row r="10" spans="2:8">
      <c r="B10" s="135"/>
      <c r="C10" s="43">
        <v>963197</v>
      </c>
      <c r="D10" s="43" t="s">
        <v>223</v>
      </c>
      <c r="E10" s="43">
        <v>50</v>
      </c>
      <c r="F10" s="118"/>
      <c r="G10" s="116">
        <f t="shared" si="0"/>
        <v>50</v>
      </c>
      <c r="H10" s="117">
        <f t="shared" si="1"/>
        <v>0</v>
      </c>
    </row>
    <row r="11" spans="2:8">
      <c r="B11" s="136"/>
      <c r="C11" s="43">
        <v>965677</v>
      </c>
      <c r="D11" s="43" t="s">
        <v>224</v>
      </c>
      <c r="E11" s="43">
        <v>50</v>
      </c>
      <c r="F11" s="118"/>
      <c r="G11" s="116">
        <f>E11-F11</f>
        <v>50</v>
      </c>
      <c r="H11" s="117">
        <f>F11/E11</f>
        <v>0</v>
      </c>
    </row>
    <row r="12" spans="2:8">
      <c r="B12" s="134">
        <v>2441</v>
      </c>
      <c r="C12" s="120">
        <v>967342</v>
      </c>
      <c r="D12" s="120" t="s">
        <v>225</v>
      </c>
      <c r="E12" s="134">
        <v>90.984999999999999</v>
      </c>
      <c r="F12" s="120"/>
      <c r="G12" s="134">
        <f>E12-F12-F13-F14</f>
        <v>90.984999999999999</v>
      </c>
      <c r="H12" s="213">
        <f>(F12+F13+F14)/E12</f>
        <v>0</v>
      </c>
    </row>
    <row r="13" spans="2:8">
      <c r="B13" s="135"/>
      <c r="C13" s="120">
        <v>967281</v>
      </c>
      <c r="D13" s="120" t="s">
        <v>226</v>
      </c>
      <c r="E13" s="135"/>
      <c r="F13" s="120"/>
      <c r="G13" s="135"/>
      <c r="H13" s="214"/>
    </row>
    <row r="14" spans="2:8">
      <c r="B14" s="136"/>
      <c r="C14" s="120">
        <v>967145</v>
      </c>
      <c r="D14" s="120" t="s">
        <v>227</v>
      </c>
      <c r="E14" s="136"/>
      <c r="F14" s="120"/>
      <c r="G14" s="136"/>
      <c r="H14" s="215"/>
    </row>
    <row r="15" spans="2:8">
      <c r="B15" s="183" t="s">
        <v>99</v>
      </c>
      <c r="C15" s="183"/>
      <c r="D15" s="183"/>
      <c r="E15" s="43">
        <f>SUM(E6:E14)</f>
        <v>381.98500000000001</v>
      </c>
      <c r="F15" s="43">
        <f>SUM(F6:F14)</f>
        <v>32.633000000000003</v>
      </c>
      <c r="G15" s="43">
        <f>+E15-F15</f>
        <v>349.35200000000003</v>
      </c>
      <c r="H15" s="34">
        <f>+F15/E15</f>
        <v>8.5430056154037468E-2</v>
      </c>
    </row>
  </sheetData>
  <mergeCells count="9">
    <mergeCell ref="B15:D15"/>
    <mergeCell ref="B2:H2"/>
    <mergeCell ref="B3:H3"/>
    <mergeCell ref="B4:H4"/>
    <mergeCell ref="B7:B11"/>
    <mergeCell ref="B12:B14"/>
    <mergeCell ref="E12:E14"/>
    <mergeCell ref="G12:G14"/>
    <mergeCell ref="H12:H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62"/>
  <sheetViews>
    <sheetView showGridLines="0" zoomScale="90" zoomScaleNormal="90" workbookViewId="0">
      <pane ySplit="1" topLeftCell="A2" activePane="bottomLeft" state="frozen"/>
      <selection pane="bottomLeft" activeCell="E74" sqref="E74"/>
    </sheetView>
  </sheetViews>
  <sheetFormatPr baseColWidth="10" defaultColWidth="11.42578125" defaultRowHeight="15"/>
  <cols>
    <col min="1" max="1" width="11.5703125" style="6" customWidth="1"/>
    <col min="2" max="2" width="8.7109375" style="6" bestFit="1" customWidth="1"/>
    <col min="3" max="3" width="9.140625" style="6" customWidth="1"/>
    <col min="4" max="4" width="17.140625" style="6" bestFit="1" customWidth="1"/>
    <col min="5" max="5" width="54.85546875" style="6" customWidth="1"/>
    <col min="6" max="6" width="14.5703125" style="6" bestFit="1" customWidth="1"/>
    <col min="7" max="7" width="20.140625" style="6" customWidth="1"/>
    <col min="8" max="8" width="12.42578125" style="6" bestFit="1" customWidth="1"/>
    <col min="9" max="9" width="21.42578125" style="6" bestFit="1" customWidth="1"/>
    <col min="10" max="10" width="15.140625" style="6" bestFit="1" customWidth="1"/>
    <col min="11" max="11" width="14.5703125" style="6" bestFit="1" customWidth="1"/>
    <col min="12" max="12" width="12.42578125" style="6" bestFit="1" customWidth="1"/>
    <col min="13" max="13" width="17.7109375" style="115" bestFit="1" customWidth="1"/>
    <col min="14" max="14" width="11.28515625" style="16" bestFit="1" customWidth="1"/>
    <col min="15" max="15" width="14.85546875" style="6" customWidth="1"/>
    <col min="16" max="16384" width="11.42578125" style="6"/>
  </cols>
  <sheetData>
    <row r="1" spans="1:17">
      <c r="A1" s="10" t="s">
        <v>42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103</v>
      </c>
      <c r="L1" s="10" t="s">
        <v>52</v>
      </c>
      <c r="M1" s="113" t="s">
        <v>53</v>
      </c>
      <c r="N1" s="11" t="s">
        <v>54</v>
      </c>
      <c r="O1" s="12" t="s">
        <v>55</v>
      </c>
      <c r="P1" s="12" t="s">
        <v>97</v>
      </c>
      <c r="Q1" s="12" t="s">
        <v>98</v>
      </c>
    </row>
    <row r="2" spans="1:17">
      <c r="A2" s="2" t="s">
        <v>56</v>
      </c>
      <c r="B2" s="1" t="s">
        <v>57</v>
      </c>
      <c r="C2" s="1" t="s">
        <v>30</v>
      </c>
      <c r="D2" s="1" t="s">
        <v>58</v>
      </c>
      <c r="E2" s="1" t="str">
        <f>+'CUOTA INDUSTRIAL'!C$6</f>
        <v>CORPESCA S.A</v>
      </c>
      <c r="F2" s="1" t="s">
        <v>59</v>
      </c>
      <c r="G2" s="1" t="s">
        <v>60</v>
      </c>
      <c r="H2" s="3">
        <f>'CUOTA INDUSTRIAL'!$E$6</f>
        <v>48431.964565399998</v>
      </c>
      <c r="I2" s="3">
        <f>'CUOTA INDUSTRIAL'!F6</f>
        <v>0</v>
      </c>
      <c r="J2" s="3">
        <f>'CUOTA INDUSTRIAL'!G6</f>
        <v>48431.964565399998</v>
      </c>
      <c r="K2" s="3">
        <f>'CUOTA INDUSTRIAL'!H6</f>
        <v>42642.999000000003</v>
      </c>
      <c r="L2" s="3">
        <f>'CUOTA INDUSTRIAL'!I6</f>
        <v>5788.9655653999944</v>
      </c>
      <c r="M2" s="114">
        <f>'CUOTA INDUSTRIAL'!J6</f>
        <v>0.88047221256980235</v>
      </c>
      <c r="N2" s="4" t="s">
        <v>82</v>
      </c>
      <c r="O2" s="5">
        <f>RESUMEN!$B$3</f>
        <v>44452</v>
      </c>
      <c r="P2" s="1">
        <f t="shared" ref="P2:P71" si="0">YEAR(O2)</f>
        <v>2021</v>
      </c>
      <c r="Q2" s="1"/>
    </row>
    <row r="3" spans="1:17">
      <c r="A3" s="2" t="s">
        <v>56</v>
      </c>
      <c r="B3" s="1" t="s">
        <v>57</v>
      </c>
      <c r="C3" s="1" t="s">
        <v>30</v>
      </c>
      <c r="D3" s="1" t="s">
        <v>58</v>
      </c>
      <c r="E3" s="1" t="str">
        <f>+'CUOTA INDUSTRIAL'!C$6</f>
        <v>CORPESCA S.A</v>
      </c>
      <c r="F3" s="1" t="s">
        <v>61</v>
      </c>
      <c r="G3" s="1" t="s">
        <v>62</v>
      </c>
      <c r="H3" s="3">
        <f>'CUOTA INDUSTRIAL'!$E$7</f>
        <v>988.33586409999998</v>
      </c>
      <c r="I3" s="3">
        <f>'CUOTA INDUSTRIAL'!F7</f>
        <v>0</v>
      </c>
      <c r="J3" s="3">
        <f>'CUOTA INDUSTRIAL'!G7</f>
        <v>6777.3014294999939</v>
      </c>
      <c r="K3" s="3">
        <f>'CUOTA INDUSTRIAL'!H7</f>
        <v>0</v>
      </c>
      <c r="L3" s="3">
        <f>'CUOTA INDUSTRIAL'!I7</f>
        <v>6777.3014294999939</v>
      </c>
      <c r="M3" s="114">
        <f>'CUOTA INDUSTRIAL'!J7</f>
        <v>0</v>
      </c>
      <c r="N3" s="4" t="s">
        <v>82</v>
      </c>
      <c r="O3" s="5">
        <f>RESUMEN!$B$3</f>
        <v>44452</v>
      </c>
      <c r="P3" s="1">
        <f t="shared" si="0"/>
        <v>2021</v>
      </c>
      <c r="Q3" s="1"/>
    </row>
    <row r="4" spans="1:17">
      <c r="A4" s="2" t="s">
        <v>56</v>
      </c>
      <c r="B4" s="1" t="s">
        <v>57</v>
      </c>
      <c r="C4" s="1" t="s">
        <v>30</v>
      </c>
      <c r="D4" s="1" t="s">
        <v>58</v>
      </c>
      <c r="E4" s="1" t="str">
        <f>+'CUOTA INDUSTRIAL'!C$6</f>
        <v>CORPESCA S.A</v>
      </c>
      <c r="F4" s="1" t="s">
        <v>59</v>
      </c>
      <c r="G4" s="1" t="s">
        <v>62</v>
      </c>
      <c r="H4" s="3">
        <f>'CUOTA INDUSTRIAL'!K6</f>
        <v>49420.300429499999</v>
      </c>
      <c r="I4" s="3">
        <f>'CUOTA INDUSTRIAL'!L6</f>
        <v>0</v>
      </c>
      <c r="J4" s="3">
        <f>'CUOTA INDUSTRIAL'!M6</f>
        <v>49420.300429499999</v>
      </c>
      <c r="K4" s="3">
        <f>'CUOTA INDUSTRIAL'!N6</f>
        <v>42642.999000000003</v>
      </c>
      <c r="L4" s="3">
        <f>'CUOTA INDUSTRIAL'!O6</f>
        <v>6777.3014294999957</v>
      </c>
      <c r="M4" s="114">
        <f>'CUOTA INDUSTRIAL'!P6</f>
        <v>0.86286401801283907</v>
      </c>
      <c r="N4" s="4" t="s">
        <v>82</v>
      </c>
      <c r="O4" s="5">
        <f>RESUMEN!$B$3</f>
        <v>44452</v>
      </c>
      <c r="P4" s="1">
        <f t="shared" si="0"/>
        <v>2021</v>
      </c>
      <c r="Q4" s="1"/>
    </row>
    <row r="5" spans="1:17">
      <c r="A5" s="2" t="s">
        <v>56</v>
      </c>
      <c r="B5" s="1" t="s">
        <v>57</v>
      </c>
      <c r="C5" s="1" t="s">
        <v>30</v>
      </c>
      <c r="D5" s="1" t="s">
        <v>58</v>
      </c>
      <c r="E5" s="1" t="str">
        <f>+'CUOTA INDUSTRIAL'!C$8</f>
        <v>CAMANCHACA PESCA SUR S.A.</v>
      </c>
      <c r="F5" s="1" t="s">
        <v>59</v>
      </c>
      <c r="G5" s="1" t="s">
        <v>60</v>
      </c>
      <c r="H5" s="3">
        <f>'CUOTA INDUSTRIAL'!E8</f>
        <v>3210.6390000000001</v>
      </c>
      <c r="I5" s="3">
        <f>'CUOTA INDUSTRIAL'!F8</f>
        <v>-3276.1574999999998</v>
      </c>
      <c r="J5" s="3">
        <f>'CUOTA INDUSTRIAL'!G8</f>
        <v>-65.518499999999676</v>
      </c>
      <c r="K5" s="3">
        <f>'CUOTA INDUSTRIAL'!H8</f>
        <v>0</v>
      </c>
      <c r="L5" s="3">
        <f>'CUOTA INDUSTRIAL'!I8</f>
        <v>-65.518499999999676</v>
      </c>
      <c r="M5" s="114">
        <f>'CUOTA INDUSTRIAL'!J8</f>
        <v>0</v>
      </c>
      <c r="N5" s="4" t="s">
        <v>82</v>
      </c>
      <c r="O5" s="5">
        <f>RESUMEN!$B$3</f>
        <v>44452</v>
      </c>
      <c r="P5" s="1">
        <f t="shared" si="0"/>
        <v>2021</v>
      </c>
      <c r="Q5" s="1"/>
    </row>
    <row r="6" spans="1:17">
      <c r="A6" s="2" t="s">
        <v>56</v>
      </c>
      <c r="B6" s="1" t="s">
        <v>57</v>
      </c>
      <c r="C6" s="1" t="s">
        <v>30</v>
      </c>
      <c r="D6" s="1" t="s">
        <v>58</v>
      </c>
      <c r="E6" s="1" t="str">
        <f>+'CUOTA INDUSTRIAL'!C$8</f>
        <v>CAMANCHACA PESCA SUR S.A.</v>
      </c>
      <c r="F6" s="1" t="s">
        <v>61</v>
      </c>
      <c r="G6" s="1" t="s">
        <v>62</v>
      </c>
      <c r="H6" s="3">
        <f>'CUOTA INDUSTRIAL'!E9</f>
        <v>65.518500000000003</v>
      </c>
      <c r="I6" s="3">
        <f>'CUOTA INDUSTRIAL'!F9</f>
        <v>0</v>
      </c>
      <c r="J6" s="3">
        <f>'CUOTA INDUSTRIAL'!G9</f>
        <v>3.2684965844964609E-13</v>
      </c>
      <c r="K6" s="3">
        <f>'CUOTA INDUSTRIAL'!H9</f>
        <v>0</v>
      </c>
      <c r="L6" s="3">
        <f>'CUOTA INDUSTRIAL'!I9</f>
        <v>3.2684965844964609E-13</v>
      </c>
      <c r="M6" s="114">
        <f>'CUOTA INDUSTRIAL'!J9</f>
        <v>0</v>
      </c>
      <c r="N6" s="4" t="s">
        <v>82</v>
      </c>
      <c r="O6" s="5">
        <f>RESUMEN!$B$3</f>
        <v>44452</v>
      </c>
      <c r="P6" s="1">
        <f t="shared" si="0"/>
        <v>2021</v>
      </c>
      <c r="Q6" s="1"/>
    </row>
    <row r="7" spans="1:17">
      <c r="A7" s="2" t="s">
        <v>56</v>
      </c>
      <c r="B7" s="1" t="s">
        <v>57</v>
      </c>
      <c r="C7" s="1" t="s">
        <v>30</v>
      </c>
      <c r="D7" s="1" t="s">
        <v>58</v>
      </c>
      <c r="E7" s="1" t="str">
        <f>+'CUOTA INDUSTRIAL'!C$8</f>
        <v>CAMANCHACA PESCA SUR S.A.</v>
      </c>
      <c r="F7" s="1" t="s">
        <v>59</v>
      </c>
      <c r="G7" s="1" t="s">
        <v>62</v>
      </c>
      <c r="H7" s="3">
        <f>'CUOTA INDUSTRIAL'!K8</f>
        <v>3276.1575000000003</v>
      </c>
      <c r="I7" s="3">
        <f>'CUOTA INDUSTRIAL'!L8</f>
        <v>-3276.1574999999998</v>
      </c>
      <c r="J7" s="3">
        <f>'CUOTA INDUSTRIAL'!M8</f>
        <v>0</v>
      </c>
      <c r="K7" s="3">
        <f>'CUOTA INDUSTRIAL'!N8</f>
        <v>0</v>
      </c>
      <c r="L7" s="3">
        <f>'CUOTA INDUSTRIAL'!O8</f>
        <v>0</v>
      </c>
      <c r="M7" s="114">
        <f>'CUOTA INDUSTRIAL'!P8</f>
        <v>0</v>
      </c>
      <c r="N7" s="4" t="s">
        <v>82</v>
      </c>
      <c r="O7" s="5">
        <f>RESUMEN!$B$3</f>
        <v>44452</v>
      </c>
      <c r="P7" s="1">
        <f t="shared" si="0"/>
        <v>2021</v>
      </c>
      <c r="Q7" s="1"/>
    </row>
    <row r="8" spans="1:17">
      <c r="A8" s="2" t="s">
        <v>56</v>
      </c>
      <c r="B8" s="1" t="s">
        <v>57</v>
      </c>
      <c r="C8" s="1" t="s">
        <v>30</v>
      </c>
      <c r="D8" s="1" t="s">
        <v>58</v>
      </c>
      <c r="E8" s="1" t="str">
        <f>'CUOTA INDUSTRIAL'!C10</f>
        <v>CAMANCHACA S.A.</v>
      </c>
      <c r="F8" s="1" t="s">
        <v>59</v>
      </c>
      <c r="G8" s="1" t="s">
        <v>60</v>
      </c>
      <c r="H8" s="3">
        <f>'CUOTA INDUSTRIAL'!E10</f>
        <v>10257.135434600001</v>
      </c>
      <c r="I8" s="3">
        <f>'CUOTA INDUSTRIAL'!F10</f>
        <v>1192.1030000000001</v>
      </c>
      <c r="J8" s="3">
        <f>'CUOTA INDUSTRIAL'!G10</f>
        <v>11449.2384346</v>
      </c>
      <c r="K8" s="3">
        <f>'CUOTA INDUSTRIAL'!H10</f>
        <v>9958.5059999999994</v>
      </c>
      <c r="L8" s="3">
        <f>'CUOTA INDUSTRIAL'!I10</f>
        <v>1490.7324346000005</v>
      </c>
      <c r="M8" s="114">
        <f>'CUOTA INDUSTRIAL'!J10</f>
        <v>0.86979636740772603</v>
      </c>
      <c r="N8" s="4" t="s">
        <v>82</v>
      </c>
      <c r="O8" s="5">
        <f>RESUMEN!$B$3</f>
        <v>44452</v>
      </c>
      <c r="P8" s="1">
        <f t="shared" si="0"/>
        <v>2021</v>
      </c>
      <c r="Q8" s="1"/>
    </row>
    <row r="9" spans="1:17">
      <c r="A9" s="2" t="s">
        <v>56</v>
      </c>
      <c r="B9" s="1" t="s">
        <v>57</v>
      </c>
      <c r="C9" s="1" t="s">
        <v>30</v>
      </c>
      <c r="D9" s="1" t="s">
        <v>58</v>
      </c>
      <c r="E9" s="1" t="str">
        <f>'CUOTA INDUSTRIAL'!C10</f>
        <v>CAMANCHACA S.A.</v>
      </c>
      <c r="F9" s="1" t="s">
        <v>61</v>
      </c>
      <c r="G9" s="1" t="s">
        <v>62</v>
      </c>
      <c r="H9" s="3">
        <f>'CUOTA INDUSTRIAL'!E11</f>
        <v>209.314359</v>
      </c>
      <c r="I9" s="3">
        <f>'CUOTA INDUSTRIAL'!F11</f>
        <v>0</v>
      </c>
      <c r="J9" s="3">
        <f>'CUOTA INDUSTRIAL'!G11</f>
        <v>1700.0467936000005</v>
      </c>
      <c r="K9" s="3">
        <f>'CUOTA INDUSTRIAL'!H11</f>
        <v>0</v>
      </c>
      <c r="L9" s="3">
        <f>'CUOTA INDUSTRIAL'!I11</f>
        <v>1700.0467936000005</v>
      </c>
      <c r="M9" s="114">
        <f>'CUOTA INDUSTRIAL'!J11</f>
        <v>0</v>
      </c>
      <c r="N9" s="4" t="s">
        <v>82</v>
      </c>
      <c r="O9" s="5">
        <f>RESUMEN!$B$3</f>
        <v>44452</v>
      </c>
      <c r="P9" s="1">
        <f t="shared" si="0"/>
        <v>2021</v>
      </c>
      <c r="Q9" s="1"/>
    </row>
    <row r="10" spans="1:17">
      <c r="A10" s="2" t="s">
        <v>56</v>
      </c>
      <c r="B10" s="1" t="s">
        <v>57</v>
      </c>
      <c r="C10" s="1" t="s">
        <v>30</v>
      </c>
      <c r="D10" s="1" t="s">
        <v>58</v>
      </c>
      <c r="E10" s="1" t="str">
        <f>'CUOTA INDUSTRIAL'!C10</f>
        <v>CAMANCHACA S.A.</v>
      </c>
      <c r="F10" s="1" t="s">
        <v>59</v>
      </c>
      <c r="G10" s="1" t="s">
        <v>62</v>
      </c>
      <c r="H10" s="3">
        <f>'CUOTA INDUSTRIAL'!K10</f>
        <v>10466.449793600001</v>
      </c>
      <c r="I10" s="3">
        <f>'CUOTA INDUSTRIAL'!L10</f>
        <v>1192.1030000000001</v>
      </c>
      <c r="J10" s="3">
        <f>'CUOTA INDUSTRIAL'!M10</f>
        <v>11658.5527936</v>
      </c>
      <c r="K10" s="3">
        <f>'CUOTA INDUSTRIAL'!N10</f>
        <v>9958.5059999999994</v>
      </c>
      <c r="L10" s="3">
        <f>'CUOTA INDUSTRIAL'!O10</f>
        <v>1700.0467936000005</v>
      </c>
      <c r="M10" s="114">
        <f>'CUOTA INDUSTRIAL'!P10</f>
        <v>0.85418028946669555</v>
      </c>
      <c r="N10" s="4" t="s">
        <v>82</v>
      </c>
      <c r="O10" s="5">
        <f>RESUMEN!$B$3</f>
        <v>44452</v>
      </c>
      <c r="P10" s="1">
        <f t="shared" si="0"/>
        <v>2021</v>
      </c>
      <c r="Q10" s="1"/>
    </row>
    <row r="11" spans="1:17">
      <c r="A11" s="2" t="s">
        <v>56</v>
      </c>
      <c r="B11" s="1" t="s">
        <v>57</v>
      </c>
      <c r="C11" s="1" t="s">
        <v>30</v>
      </c>
      <c r="D11" s="1" t="s">
        <v>58</v>
      </c>
      <c r="E11" s="1" t="str">
        <f>'CUOTA INDUSTRIAL'!C12</f>
        <v>ORIZON S.A</v>
      </c>
      <c r="F11" s="1" t="s">
        <v>59</v>
      </c>
      <c r="G11" s="1" t="s">
        <v>60</v>
      </c>
      <c r="H11" s="3">
        <f>'CUOTA INDUSTRIAL'!E12</f>
        <v>2848.1475</v>
      </c>
      <c r="I11" s="3">
        <f>'CUOTA INDUSTRIAL'!F12</f>
        <v>-2906.2689999999998</v>
      </c>
      <c r="J11" s="3">
        <f>'CUOTA INDUSTRIAL'!G12</f>
        <v>-58.121499999999742</v>
      </c>
      <c r="K11" s="3">
        <f>'CUOTA INDUSTRIAL'!H12</f>
        <v>0</v>
      </c>
      <c r="L11" s="3">
        <f>'CUOTA INDUSTRIAL'!I12</f>
        <v>-58.121499999999742</v>
      </c>
      <c r="M11" s="114">
        <f>'CUOTA INDUSTRIAL'!J12</f>
        <v>0</v>
      </c>
      <c r="N11" s="4" t="s">
        <v>82</v>
      </c>
      <c r="O11" s="5">
        <f>RESUMEN!$B$3</f>
        <v>44452</v>
      </c>
      <c r="P11" s="1">
        <f t="shared" si="0"/>
        <v>2021</v>
      </c>
      <c r="Q11" s="1"/>
    </row>
    <row r="12" spans="1:17">
      <c r="A12" s="2" t="s">
        <v>56</v>
      </c>
      <c r="B12" s="1" t="s">
        <v>57</v>
      </c>
      <c r="C12" s="1" t="s">
        <v>30</v>
      </c>
      <c r="D12" s="1" t="s">
        <v>58</v>
      </c>
      <c r="E12" s="1" t="str">
        <f>'CUOTA INDUSTRIAL'!C12:C13</f>
        <v>ORIZON S.A</v>
      </c>
      <c r="F12" s="1" t="s">
        <v>61</v>
      </c>
      <c r="G12" s="1" t="s">
        <v>62</v>
      </c>
      <c r="H12" s="3">
        <f>'CUOTA INDUSTRIAL'!E13</f>
        <v>58.121250000000003</v>
      </c>
      <c r="I12" s="3">
        <f>'CUOTA INDUSTRIAL'!F13</f>
        <v>0</v>
      </c>
      <c r="J12" s="3">
        <f>'CUOTA INDUSTRIAL'!G13</f>
        <v>-2.499999997382929E-4</v>
      </c>
      <c r="K12" s="3">
        <f>'CUOTA INDUSTRIAL'!H13</f>
        <v>0</v>
      </c>
      <c r="L12" s="3">
        <f>'CUOTA INDUSTRIAL'!I13</f>
        <v>-2.499999997382929E-4</v>
      </c>
      <c r="M12" s="114">
        <f>'CUOTA INDUSTRIAL'!J13</f>
        <v>0</v>
      </c>
      <c r="N12" s="4" t="s">
        <v>82</v>
      </c>
      <c r="O12" s="5">
        <f>RESUMEN!$B$3</f>
        <v>44452</v>
      </c>
      <c r="P12" s="1">
        <f t="shared" si="0"/>
        <v>2021</v>
      </c>
      <c r="Q12" s="1"/>
    </row>
    <row r="13" spans="1:17">
      <c r="A13" s="2" t="s">
        <v>56</v>
      </c>
      <c r="B13" s="1" t="s">
        <v>57</v>
      </c>
      <c r="C13" s="1" t="s">
        <v>30</v>
      </c>
      <c r="D13" s="1" t="s">
        <v>58</v>
      </c>
      <c r="E13" s="1" t="str">
        <f>'CUOTA INDUSTRIAL'!C12</f>
        <v>ORIZON S.A</v>
      </c>
      <c r="F13" s="1" t="s">
        <v>59</v>
      </c>
      <c r="G13" s="1" t="s">
        <v>62</v>
      </c>
      <c r="H13" s="3">
        <f>'CUOTA INDUSTRIAL'!K12</f>
        <v>2906.2687500000002</v>
      </c>
      <c r="I13" s="3">
        <f>'CUOTA INDUSTRIAL'!L12</f>
        <v>-2906.2689999999998</v>
      </c>
      <c r="J13" s="3">
        <f>'CUOTA INDUSTRIAL'!M12</f>
        <v>-2.4999999959618435E-4</v>
      </c>
      <c r="K13" s="3">
        <f>'CUOTA INDUSTRIAL'!N12</f>
        <v>0</v>
      </c>
      <c r="L13" s="3">
        <f>'CUOTA INDUSTRIAL'!O12</f>
        <v>-2.4999999959618435E-4</v>
      </c>
      <c r="M13" s="114">
        <f>'CUOTA INDUSTRIAL'!P12</f>
        <v>0</v>
      </c>
      <c r="N13" s="4" t="s">
        <v>82</v>
      </c>
      <c r="O13" s="5">
        <f>RESUMEN!$B$3</f>
        <v>44452</v>
      </c>
      <c r="P13" s="1">
        <f t="shared" si="0"/>
        <v>2021</v>
      </c>
      <c r="Q13" s="1"/>
    </row>
    <row r="14" spans="1:17">
      <c r="A14" s="2" t="s">
        <v>56</v>
      </c>
      <c r="B14" s="1" t="s">
        <v>57</v>
      </c>
      <c r="C14" s="1" t="s">
        <v>30</v>
      </c>
      <c r="D14" s="1" t="s">
        <v>58</v>
      </c>
      <c r="E14" s="1" t="str">
        <f>'CUOTA INDUSTRIAL'!C14:C15</f>
        <v>LANDES S.A. SOC. PESQ.</v>
      </c>
      <c r="F14" s="1" t="s">
        <v>59</v>
      </c>
      <c r="G14" s="1" t="s">
        <v>60</v>
      </c>
      <c r="H14" s="3">
        <f>'CUOTA INDUSTRIAL'!E14</f>
        <v>673.19849999999997</v>
      </c>
      <c r="I14" s="3">
        <f>'CUOTA INDUSTRIAL'!F14</f>
        <v>-686.93600000000004</v>
      </c>
      <c r="J14" s="3">
        <f>'CUOTA INDUSTRIAL'!G14</f>
        <v>-13.737500000000068</v>
      </c>
      <c r="K14" s="3">
        <f>'CUOTA INDUSTRIAL'!H14</f>
        <v>0</v>
      </c>
      <c r="L14" s="3">
        <f>'CUOTA INDUSTRIAL'!I14</f>
        <v>-13.737500000000068</v>
      </c>
      <c r="M14" s="114">
        <f>'CUOTA INDUSTRIAL'!J14</f>
        <v>0</v>
      </c>
      <c r="N14" s="4" t="s">
        <v>82</v>
      </c>
      <c r="O14" s="5">
        <f>RESUMEN!$B$3</f>
        <v>44452</v>
      </c>
      <c r="P14" s="1">
        <f t="shared" si="0"/>
        <v>2021</v>
      </c>
      <c r="Q14" s="1"/>
    </row>
    <row r="15" spans="1:17">
      <c r="A15" s="2" t="s">
        <v>56</v>
      </c>
      <c r="B15" s="1" t="s">
        <v>57</v>
      </c>
      <c r="C15" s="1" t="s">
        <v>30</v>
      </c>
      <c r="D15" s="1" t="s">
        <v>58</v>
      </c>
      <c r="E15" s="1" t="str">
        <f>'CUOTA INDUSTRIAL'!C14</f>
        <v>LANDES S.A. SOC. PESQ.</v>
      </c>
      <c r="F15" s="1" t="s">
        <v>61</v>
      </c>
      <c r="G15" s="1" t="s">
        <v>62</v>
      </c>
      <c r="H15" s="3">
        <f>'CUOTA INDUSTRIAL'!E15</f>
        <v>13.73775</v>
      </c>
      <c r="I15" s="3">
        <f>'CUOTA INDUSTRIAL'!F15</f>
        <v>0</v>
      </c>
      <c r="J15" s="3">
        <f>'CUOTA INDUSTRIAL'!G15</f>
        <v>2.499999999319158E-4</v>
      </c>
      <c r="K15" s="3">
        <f>'CUOTA INDUSTRIAL'!H15</f>
        <v>0</v>
      </c>
      <c r="L15" s="3">
        <f>'CUOTA INDUSTRIAL'!I15</f>
        <v>2.499999999319158E-4</v>
      </c>
      <c r="M15" s="114">
        <f>'CUOTA INDUSTRIAL'!J15</f>
        <v>0</v>
      </c>
      <c r="N15" s="4" t="s">
        <v>82</v>
      </c>
      <c r="O15" s="5">
        <f>RESUMEN!$B$3</f>
        <v>44452</v>
      </c>
      <c r="P15" s="1">
        <f t="shared" si="0"/>
        <v>2021</v>
      </c>
      <c r="Q15" s="1"/>
    </row>
    <row r="16" spans="1:17">
      <c r="A16" s="2" t="s">
        <v>56</v>
      </c>
      <c r="B16" s="1" t="s">
        <v>57</v>
      </c>
      <c r="C16" s="1" t="s">
        <v>30</v>
      </c>
      <c r="D16" s="1" t="s">
        <v>58</v>
      </c>
      <c r="E16" s="1" t="str">
        <f>'CUOTA INDUSTRIAL'!C14</f>
        <v>LANDES S.A. SOC. PESQ.</v>
      </c>
      <c r="F16" s="1" t="s">
        <v>59</v>
      </c>
      <c r="G16" s="1" t="s">
        <v>62</v>
      </c>
      <c r="H16" s="3">
        <f>'CUOTA INDUSTRIAL'!K14</f>
        <v>686.93624999999997</v>
      </c>
      <c r="I16" s="3">
        <f>'CUOTA INDUSTRIAL'!L14</f>
        <v>-686.93600000000004</v>
      </c>
      <c r="J16" s="3">
        <f>'CUOTA INDUSTRIAL'!M14</f>
        <v>2.4999999993724487E-4</v>
      </c>
      <c r="K16" s="3">
        <f>'CUOTA INDUSTRIAL'!N14</f>
        <v>0</v>
      </c>
      <c r="L16" s="3">
        <f>'CUOTA INDUSTRIAL'!O14</f>
        <v>2.4999999993724487E-4</v>
      </c>
      <c r="M16" s="114">
        <f>'CUOTA INDUSTRIAL'!P14</f>
        <v>0</v>
      </c>
      <c r="N16" s="4" t="s">
        <v>82</v>
      </c>
      <c r="O16" s="5">
        <f>RESUMEN!$B$3</f>
        <v>44452</v>
      </c>
      <c r="P16" s="1">
        <f t="shared" si="0"/>
        <v>2021</v>
      </c>
      <c r="Q16" s="1"/>
    </row>
    <row r="17" spans="1:17">
      <c r="A17" s="2" t="s">
        <v>56</v>
      </c>
      <c r="B17" s="1" t="s">
        <v>57</v>
      </c>
      <c r="C17" s="1" t="s">
        <v>30</v>
      </c>
      <c r="D17" s="1" t="s">
        <v>58</v>
      </c>
      <c r="E17" s="1" t="str">
        <f>'CUOTA INDUSTRIAL'!C16</f>
        <v>FOODCORP CHILE S.A.</v>
      </c>
      <c r="F17" s="1" t="s">
        <v>59</v>
      </c>
      <c r="G17" s="1" t="s">
        <v>60</v>
      </c>
      <c r="H17" s="3">
        <f>'CUOTA INDUSTRIAL'!E16</f>
        <v>1967.8109999999999</v>
      </c>
      <c r="I17" s="3">
        <f>'CUOTA INDUSTRIAL'!F16</f>
        <v>-1985.422</v>
      </c>
      <c r="J17" s="3">
        <f>'CUOTA INDUSTRIAL'!G16</f>
        <v>-17.611000000000104</v>
      </c>
      <c r="K17" s="3">
        <f>'CUOTA INDUSTRIAL'!H16</f>
        <v>0</v>
      </c>
      <c r="L17" s="3">
        <f>'CUOTA INDUSTRIAL'!I16</f>
        <v>-17.611000000000104</v>
      </c>
      <c r="M17" s="114">
        <f>'CUOTA INDUSTRIAL'!J16</f>
        <v>0</v>
      </c>
      <c r="N17" s="4" t="s">
        <v>82</v>
      </c>
      <c r="O17" s="5">
        <f>RESUMEN!$B$3</f>
        <v>44452</v>
      </c>
      <c r="P17" s="1">
        <f t="shared" si="0"/>
        <v>2021</v>
      </c>
      <c r="Q17" s="1"/>
    </row>
    <row r="18" spans="1:17">
      <c r="A18" s="2" t="s">
        <v>56</v>
      </c>
      <c r="B18" s="1" t="s">
        <v>57</v>
      </c>
      <c r="C18" s="1" t="s">
        <v>30</v>
      </c>
      <c r="D18" s="1" t="s">
        <v>58</v>
      </c>
      <c r="E18" s="1" t="str">
        <f>'CUOTA INDUSTRIAL'!C16</f>
        <v>FOODCORP CHILE S.A.</v>
      </c>
      <c r="F18" s="1" t="s">
        <v>61</v>
      </c>
      <c r="G18" s="1" t="s">
        <v>62</v>
      </c>
      <c r="H18" s="3">
        <f>'CUOTA INDUSTRIAL'!E17</f>
        <v>40.156500000000001</v>
      </c>
      <c r="I18" s="3">
        <f>'CUOTA INDUSTRIAL'!F17</f>
        <v>0</v>
      </c>
      <c r="J18" s="3">
        <f>'CUOTA INDUSTRIAL'!G17</f>
        <v>22.545499999999898</v>
      </c>
      <c r="K18" s="3">
        <f>'CUOTA INDUSTRIAL'!H17</f>
        <v>0</v>
      </c>
      <c r="L18" s="3">
        <f>'CUOTA INDUSTRIAL'!I17</f>
        <v>22.545499999999898</v>
      </c>
      <c r="M18" s="114">
        <f>'CUOTA INDUSTRIAL'!J17</f>
        <v>0</v>
      </c>
      <c r="N18" s="4" t="s">
        <v>82</v>
      </c>
      <c r="O18" s="5">
        <f>RESUMEN!$B$3</f>
        <v>44452</v>
      </c>
      <c r="P18" s="1">
        <f t="shared" si="0"/>
        <v>2021</v>
      </c>
      <c r="Q18" s="1"/>
    </row>
    <row r="19" spans="1:17" ht="14.25" customHeight="1">
      <c r="A19" s="2" t="s">
        <v>56</v>
      </c>
      <c r="B19" s="1" t="s">
        <v>57</v>
      </c>
      <c r="C19" s="1" t="s">
        <v>30</v>
      </c>
      <c r="D19" s="1" t="s">
        <v>58</v>
      </c>
      <c r="E19" s="1" t="str">
        <f>'CUOTA INDUSTRIAL'!C16</f>
        <v>FOODCORP CHILE S.A.</v>
      </c>
      <c r="F19" s="1" t="s">
        <v>59</v>
      </c>
      <c r="G19" s="1" t="s">
        <v>62</v>
      </c>
      <c r="H19" s="3">
        <f>'CUOTA INDUSTRIAL'!K16</f>
        <v>2007.9675</v>
      </c>
      <c r="I19" s="3">
        <f>'CUOTA INDUSTRIAL'!L16</f>
        <v>-1985.422</v>
      </c>
      <c r="J19" s="3">
        <f>'CUOTA INDUSTRIAL'!M16</f>
        <v>22.545499999999947</v>
      </c>
      <c r="K19" s="3">
        <f>'CUOTA INDUSTRIAL'!N16</f>
        <v>0</v>
      </c>
      <c r="L19" s="3">
        <f>'CUOTA INDUSTRIAL'!O16</f>
        <v>22.545499999999947</v>
      </c>
      <c r="M19" s="114">
        <f>'CUOTA INDUSTRIAL'!P16</f>
        <v>0</v>
      </c>
      <c r="N19" s="4" t="s">
        <v>82</v>
      </c>
      <c r="O19" s="5">
        <f>RESUMEN!$B$3</f>
        <v>44452</v>
      </c>
      <c r="P19" s="1">
        <f t="shared" si="0"/>
        <v>2021</v>
      </c>
      <c r="Q19" s="1"/>
    </row>
    <row r="20" spans="1:17" ht="14.25" customHeight="1">
      <c r="A20" s="2" t="s">
        <v>56</v>
      </c>
      <c r="B20" s="1" t="s">
        <v>57</v>
      </c>
      <c r="C20" s="1" t="s">
        <v>30</v>
      </c>
      <c r="D20" s="1" t="s">
        <v>58</v>
      </c>
      <c r="E20" s="1" t="str">
        <f>'CUOTA INDUSTRIAL'!C18</f>
        <v>COMERCIAL Y CONSERVERA SAN LAZARO LIMITADA</v>
      </c>
      <c r="F20" s="1" t="s">
        <v>59</v>
      </c>
      <c r="G20" s="1" t="s">
        <v>60</v>
      </c>
      <c r="H20" s="3">
        <f>'CUOTA INDUSTRIAL'!E18</f>
        <v>1657.104</v>
      </c>
      <c r="I20" s="3">
        <f>'CUOTA INDUSTRIAL'!F18</f>
        <v>-1690.92</v>
      </c>
      <c r="J20" s="3">
        <f>'CUOTA INDUSTRIAL'!G18</f>
        <v>-33.816000000000031</v>
      </c>
      <c r="K20" s="3">
        <f>'CUOTA INDUSTRIAL'!H18</f>
        <v>0</v>
      </c>
      <c r="L20" s="3">
        <f>'CUOTA INDUSTRIAL'!I18</f>
        <v>-33.816000000000031</v>
      </c>
      <c r="M20" s="114">
        <f>'CUOTA INDUSTRIAL'!J18</f>
        <v>0</v>
      </c>
      <c r="N20" s="4" t="s">
        <v>82</v>
      </c>
      <c r="O20" s="5">
        <f>RESUMEN!$B$3</f>
        <v>44452</v>
      </c>
      <c r="P20" s="1">
        <f t="shared" si="0"/>
        <v>2021</v>
      </c>
      <c r="Q20" s="1"/>
    </row>
    <row r="21" spans="1:17" ht="14.25" customHeight="1">
      <c r="A21" s="2" t="s">
        <v>56</v>
      </c>
      <c r="B21" s="1" t="s">
        <v>57</v>
      </c>
      <c r="C21" s="1" t="s">
        <v>30</v>
      </c>
      <c r="D21" s="1" t="s">
        <v>58</v>
      </c>
      <c r="E21" s="1" t="str">
        <f>'CUOTA INDUSTRIAL'!C18</f>
        <v>COMERCIAL Y CONSERVERA SAN LAZARO LIMITADA</v>
      </c>
      <c r="F21" s="1" t="s">
        <v>61</v>
      </c>
      <c r="G21" s="1" t="s">
        <v>62</v>
      </c>
      <c r="H21" s="3">
        <f>'CUOTA INDUSTRIAL'!E19</f>
        <v>33.816000000000003</v>
      </c>
      <c r="I21" s="3">
        <f>'CUOTA INDUSTRIAL'!F19</f>
        <v>0</v>
      </c>
      <c r="J21" s="3">
        <f>'CUOTA INDUSTRIAL'!G19</f>
        <v>-2.8421709430404007E-14</v>
      </c>
      <c r="K21" s="3">
        <f>'CUOTA INDUSTRIAL'!H19</f>
        <v>0</v>
      </c>
      <c r="L21" s="3">
        <f>'CUOTA INDUSTRIAL'!I19</f>
        <v>-2.8421709430404007E-14</v>
      </c>
      <c r="M21" s="114">
        <f>'CUOTA INDUSTRIAL'!J19</f>
        <v>0</v>
      </c>
      <c r="N21" s="4" t="s">
        <v>82</v>
      </c>
      <c r="O21" s="5">
        <f>RESUMEN!$B$3</f>
        <v>44452</v>
      </c>
      <c r="P21" s="1">
        <f t="shared" si="0"/>
        <v>2021</v>
      </c>
      <c r="Q21" s="1"/>
    </row>
    <row r="22" spans="1:17" ht="14.25" customHeight="1">
      <c r="A22" s="2" t="s">
        <v>56</v>
      </c>
      <c r="B22" s="1" t="s">
        <v>57</v>
      </c>
      <c r="C22" s="1" t="s">
        <v>30</v>
      </c>
      <c r="D22" s="1" t="s">
        <v>58</v>
      </c>
      <c r="E22" s="1" t="str">
        <f>'CUOTA INDUSTRIAL'!C18</f>
        <v>COMERCIAL Y CONSERVERA SAN LAZARO LIMITADA</v>
      </c>
      <c r="F22" s="1" t="s">
        <v>59</v>
      </c>
      <c r="G22" s="1" t="s">
        <v>62</v>
      </c>
      <c r="H22" s="3">
        <f>'CUOTA INDUSTRIAL'!K18</f>
        <v>1690.92</v>
      </c>
      <c r="I22" s="3">
        <f>'CUOTA INDUSTRIAL'!L18</f>
        <v>-1690.92</v>
      </c>
      <c r="J22" s="3">
        <f>'CUOTA INDUSTRIAL'!M18</f>
        <v>0</v>
      </c>
      <c r="K22" s="3">
        <f>'CUOTA INDUSTRIAL'!N18</f>
        <v>0</v>
      </c>
      <c r="L22" s="3">
        <f>'CUOTA INDUSTRIAL'!O18</f>
        <v>0</v>
      </c>
      <c r="M22" s="114">
        <f>'CUOTA INDUSTRIAL'!P18</f>
        <v>0</v>
      </c>
      <c r="N22" s="4" t="s">
        <v>82</v>
      </c>
      <c r="O22" s="5">
        <f>RESUMEN!$B$3</f>
        <v>44452</v>
      </c>
      <c r="P22" s="1">
        <f t="shared" si="0"/>
        <v>2021</v>
      </c>
      <c r="Q22" s="1"/>
    </row>
    <row r="23" spans="1:17" ht="14.25" customHeight="1">
      <c r="A23" s="2" t="s">
        <v>56</v>
      </c>
      <c r="B23" s="1" t="s">
        <v>57</v>
      </c>
      <c r="C23" s="1" t="s">
        <v>30</v>
      </c>
      <c r="D23" s="1" t="s">
        <v>58</v>
      </c>
      <c r="E23" s="1" t="str">
        <f>'CUOTA INDUSTRIAL'!C20</f>
        <v>ARICA SEAFOOD PRODUCER S.A.</v>
      </c>
      <c r="F23" s="1" t="s">
        <v>59</v>
      </c>
      <c r="G23" s="1" t="s">
        <v>60</v>
      </c>
      <c r="H23" s="3">
        <f>'CUOTA INDUSTRIAL'!E20</f>
        <v>0</v>
      </c>
      <c r="I23" s="3">
        <f>'CUOTA INDUSTRIAL'!F20</f>
        <v>0</v>
      </c>
      <c r="J23" s="3">
        <f>'CUOTA INDUSTRIAL'!G20</f>
        <v>0</v>
      </c>
      <c r="K23" s="3">
        <f>'CUOTA INDUSTRIAL'!H20</f>
        <v>0</v>
      </c>
      <c r="L23" s="3">
        <f>'CUOTA INDUSTRIAL'!I20</f>
        <v>0</v>
      </c>
      <c r="M23" s="114" t="e">
        <f>'CUOTA INDUSTRIAL'!J20</f>
        <v>#DIV/0!</v>
      </c>
      <c r="N23" s="4" t="s">
        <v>82</v>
      </c>
      <c r="O23" s="5">
        <f>RESUMEN!$B$3</f>
        <v>44452</v>
      </c>
      <c r="P23" s="1">
        <f t="shared" ref="P23:P25" si="1">YEAR(O23)</f>
        <v>2021</v>
      </c>
      <c r="Q23" s="1"/>
    </row>
    <row r="24" spans="1:17" ht="14.25" customHeight="1">
      <c r="A24" s="2" t="s">
        <v>56</v>
      </c>
      <c r="B24" s="1" t="s">
        <v>57</v>
      </c>
      <c r="C24" s="1" t="s">
        <v>30</v>
      </c>
      <c r="D24" s="1" t="s">
        <v>58</v>
      </c>
      <c r="E24" s="1" t="str">
        <f>'CUOTA INDUSTRIAL'!C20</f>
        <v>ARICA SEAFOOD PRODUCER S.A.</v>
      </c>
      <c r="F24" s="1" t="s">
        <v>61</v>
      </c>
      <c r="G24" s="1" t="s">
        <v>62</v>
      </c>
      <c r="H24" s="3">
        <f>'CUOTA INDUSTRIAL'!E21</f>
        <v>0</v>
      </c>
      <c r="I24" s="3">
        <f>'CUOTA INDUSTRIAL'!F21</f>
        <v>0</v>
      </c>
      <c r="J24" s="3">
        <f>'CUOTA INDUSTRIAL'!G21</f>
        <v>0</v>
      </c>
      <c r="K24" s="3">
        <f>'CUOTA INDUSTRIAL'!H21</f>
        <v>0</v>
      </c>
      <c r="L24" s="3">
        <f>'CUOTA INDUSTRIAL'!I21</f>
        <v>0</v>
      </c>
      <c r="M24" s="114" t="e">
        <f>'CUOTA INDUSTRIAL'!J21</f>
        <v>#DIV/0!</v>
      </c>
      <c r="N24" s="4" t="s">
        <v>82</v>
      </c>
      <c r="O24" s="5">
        <f>RESUMEN!$B$3</f>
        <v>44452</v>
      </c>
      <c r="P24" s="1">
        <f t="shared" si="1"/>
        <v>2021</v>
      </c>
      <c r="Q24" s="1"/>
    </row>
    <row r="25" spans="1:17" ht="14.25" customHeight="1">
      <c r="A25" s="2" t="s">
        <v>56</v>
      </c>
      <c r="B25" s="1" t="s">
        <v>57</v>
      </c>
      <c r="C25" s="1" t="s">
        <v>30</v>
      </c>
      <c r="D25" s="1" t="s">
        <v>58</v>
      </c>
      <c r="E25" s="1" t="str">
        <f>'CUOTA INDUSTRIAL'!C20</f>
        <v>ARICA SEAFOOD PRODUCER S.A.</v>
      </c>
      <c r="F25" s="1" t="s">
        <v>59</v>
      </c>
      <c r="G25" s="1" t="s">
        <v>62</v>
      </c>
      <c r="H25" s="3">
        <f>'CUOTA INDUSTRIAL'!K20</f>
        <v>0</v>
      </c>
      <c r="I25" s="3">
        <f>'CUOTA INDUSTRIAL'!L20</f>
        <v>0</v>
      </c>
      <c r="J25" s="3">
        <f>'CUOTA INDUSTRIAL'!M20</f>
        <v>0</v>
      </c>
      <c r="K25" s="3">
        <f>'CUOTA INDUSTRIAL'!N20</f>
        <v>0</v>
      </c>
      <c r="L25" s="3">
        <f>'CUOTA INDUSTRIAL'!O20</f>
        <v>0</v>
      </c>
      <c r="M25" s="114" t="e">
        <f>'CUOTA INDUSTRIAL'!P20</f>
        <v>#DIV/0!</v>
      </c>
      <c r="N25" s="4" t="s">
        <v>82</v>
      </c>
      <c r="O25" s="5">
        <f>RESUMEN!$B$3</f>
        <v>44452</v>
      </c>
      <c r="P25" s="1">
        <f t="shared" si="1"/>
        <v>2021</v>
      </c>
      <c r="Q25" s="1"/>
    </row>
    <row r="26" spans="1:17">
      <c r="A26" s="2" t="s">
        <v>65</v>
      </c>
      <c r="B26" s="1" t="s">
        <v>57</v>
      </c>
      <c r="C26" s="1" t="s">
        <v>66</v>
      </c>
      <c r="D26" s="1" t="s">
        <v>58</v>
      </c>
      <c r="E26" s="1" t="str">
        <f>+'CUOTA INDUSTRIAL'!C$26</f>
        <v xml:space="preserve">ALIMENTOS MARINOS S.A.    </v>
      </c>
      <c r="F26" s="1" t="s">
        <v>59</v>
      </c>
      <c r="G26" s="1" t="s">
        <v>60</v>
      </c>
      <c r="H26" s="3">
        <f>'CUOTA INDUSTRIAL'!E26</f>
        <v>1184.3572380000001</v>
      </c>
      <c r="I26" s="3">
        <f>'CUOTA INDUSTRIAL'!F26</f>
        <v>-1245</v>
      </c>
      <c r="J26" s="3">
        <f>'CUOTA INDUSTRIAL'!G26</f>
        <v>-60.642761999999948</v>
      </c>
      <c r="K26" s="3">
        <f>'CUOTA INDUSTRIAL'!H26</f>
        <v>0</v>
      </c>
      <c r="L26" s="3">
        <f>'CUOTA INDUSTRIAL'!I26</f>
        <v>-60.642761999999948</v>
      </c>
      <c r="M26" s="114">
        <f>'CUOTA INDUSTRIAL'!J26</f>
        <v>0</v>
      </c>
      <c r="N26" s="4" t="s">
        <v>82</v>
      </c>
      <c r="O26" s="5">
        <f>RESUMEN!$B$3</f>
        <v>44452</v>
      </c>
      <c r="P26" s="1">
        <f t="shared" si="0"/>
        <v>2021</v>
      </c>
      <c r="Q26" s="1"/>
    </row>
    <row r="27" spans="1:17">
      <c r="A27" s="2" t="s">
        <v>65</v>
      </c>
      <c r="B27" s="1" t="s">
        <v>57</v>
      </c>
      <c r="C27" s="1" t="s">
        <v>66</v>
      </c>
      <c r="D27" s="1" t="s">
        <v>58</v>
      </c>
      <c r="E27" s="1" t="str">
        <f>+'CUOTA INDUSTRIAL'!C$26</f>
        <v xml:space="preserve">ALIMENTOS MARINOS S.A.    </v>
      </c>
      <c r="F27" s="1" t="s">
        <v>61</v>
      </c>
      <c r="G27" s="1" t="s">
        <v>62</v>
      </c>
      <c r="H27" s="3">
        <f>'CUOTA INDUSTRIAL'!E27</f>
        <v>62.299287</v>
      </c>
      <c r="I27" s="3">
        <f>'CUOTA INDUSTRIAL'!F27</f>
        <v>0</v>
      </c>
      <c r="J27" s="3">
        <f>'CUOTA INDUSTRIAL'!G27</f>
        <v>1.6565250000000518</v>
      </c>
      <c r="K27" s="3">
        <f>'CUOTA INDUSTRIAL'!H27</f>
        <v>0</v>
      </c>
      <c r="L27" s="3">
        <f>'CUOTA INDUSTRIAL'!I27</f>
        <v>1.6565250000000518</v>
      </c>
      <c r="M27" s="114">
        <f>'CUOTA INDUSTRIAL'!J27</f>
        <v>0</v>
      </c>
      <c r="N27" s="4" t="s">
        <v>82</v>
      </c>
      <c r="O27" s="5">
        <f>RESUMEN!$B$3</f>
        <v>44452</v>
      </c>
      <c r="P27" s="1">
        <f t="shared" si="0"/>
        <v>2021</v>
      </c>
      <c r="Q27" s="1"/>
    </row>
    <row r="28" spans="1:17">
      <c r="A28" s="2" t="s">
        <v>65</v>
      </c>
      <c r="B28" s="1" t="s">
        <v>57</v>
      </c>
      <c r="C28" s="1" t="s">
        <v>66</v>
      </c>
      <c r="D28" s="1" t="s">
        <v>58</v>
      </c>
      <c r="E28" s="1" t="str">
        <f>+'CUOTA INDUSTRIAL'!C$26</f>
        <v xml:space="preserve">ALIMENTOS MARINOS S.A.    </v>
      </c>
      <c r="F28" s="1" t="s">
        <v>59</v>
      </c>
      <c r="G28" s="1" t="s">
        <v>62</v>
      </c>
      <c r="H28" s="3">
        <f>'CUOTA INDUSTRIAL'!K26</f>
        <v>1246.6565250000001</v>
      </c>
      <c r="I28" s="3">
        <f>'CUOTA INDUSTRIAL'!L26</f>
        <v>-1245</v>
      </c>
      <c r="J28" s="3">
        <f>'CUOTA INDUSTRIAL'!M26</f>
        <v>1.6565250000001015</v>
      </c>
      <c r="K28" s="3">
        <f>'CUOTA INDUSTRIAL'!N26</f>
        <v>0</v>
      </c>
      <c r="L28" s="3">
        <f>'CUOTA INDUSTRIAL'!O26</f>
        <v>1.6565250000001015</v>
      </c>
      <c r="M28" s="114">
        <f>+'CUOTA INDUSTRIAL'!P26</f>
        <v>0</v>
      </c>
      <c r="N28" s="4" t="s">
        <v>82</v>
      </c>
      <c r="O28" s="5">
        <f>RESUMEN!$B$3</f>
        <v>44452</v>
      </c>
      <c r="P28" s="1">
        <f t="shared" si="0"/>
        <v>2021</v>
      </c>
      <c r="Q28" s="1"/>
    </row>
    <row r="29" spans="1:17">
      <c r="A29" s="2" t="s">
        <v>65</v>
      </c>
      <c r="B29" s="1" t="s">
        <v>57</v>
      </c>
      <c r="C29" s="1" t="s">
        <v>66</v>
      </c>
      <c r="D29" s="1" t="s">
        <v>58</v>
      </c>
      <c r="E29" s="1" t="str">
        <f>+'CUOTA INDUSTRIAL'!C$28</f>
        <v>ARICA SEAFOOD PRODUCER S.A.</v>
      </c>
      <c r="F29" s="1" t="s">
        <v>59</v>
      </c>
      <c r="G29" s="1" t="s">
        <v>60</v>
      </c>
      <c r="H29" s="3">
        <f>+'CUOTA INDUSTRIAL'!E28</f>
        <v>3.6527250000000002</v>
      </c>
      <c r="I29" s="3">
        <f>+'CUOTA INDUSTRIAL'!F28</f>
        <v>0</v>
      </c>
      <c r="J29" s="3">
        <f>+'CUOTA INDUSTRIAL'!G28</f>
        <v>3.6527250000000002</v>
      </c>
      <c r="K29" s="3">
        <f>+'CUOTA INDUSTRIAL'!H28</f>
        <v>0</v>
      </c>
      <c r="L29" s="3">
        <f>+'CUOTA INDUSTRIAL'!I28</f>
        <v>3.6527250000000002</v>
      </c>
      <c r="M29" s="114">
        <f>+'CUOTA INDUSTRIAL'!J28</f>
        <v>0</v>
      </c>
      <c r="N29" s="4" t="s">
        <v>82</v>
      </c>
      <c r="O29" s="5">
        <f>RESUMEN!$B$3</f>
        <v>44452</v>
      </c>
      <c r="P29" s="1">
        <f t="shared" si="0"/>
        <v>2021</v>
      </c>
      <c r="Q29" s="1"/>
    </row>
    <row r="30" spans="1:17">
      <c r="A30" s="2" t="s">
        <v>65</v>
      </c>
      <c r="B30" s="1" t="s">
        <v>57</v>
      </c>
      <c r="C30" s="1" t="s">
        <v>66</v>
      </c>
      <c r="D30" s="1" t="s">
        <v>58</v>
      </c>
      <c r="E30" s="1" t="str">
        <f>+'CUOTA INDUSTRIAL'!C$28</f>
        <v>ARICA SEAFOOD PRODUCER S.A.</v>
      </c>
      <c r="F30" s="1" t="s">
        <v>61</v>
      </c>
      <c r="G30" s="1" t="s">
        <v>62</v>
      </c>
      <c r="H30" s="3">
        <f>+'CUOTA INDUSTRIAL'!E29</f>
        <v>0.19214000000000001</v>
      </c>
      <c r="I30" s="3">
        <f>+'CUOTA INDUSTRIAL'!F29</f>
        <v>0</v>
      </c>
      <c r="J30" s="3">
        <f>+'CUOTA INDUSTRIAL'!G29</f>
        <v>3.8448650000000004</v>
      </c>
      <c r="K30" s="3">
        <f>+'CUOTA INDUSTRIAL'!H29</f>
        <v>0</v>
      </c>
      <c r="L30" s="3">
        <f>+'CUOTA INDUSTRIAL'!I29</f>
        <v>3.8448650000000004</v>
      </c>
      <c r="M30" s="114">
        <f>+'CUOTA INDUSTRIAL'!J29</f>
        <v>0</v>
      </c>
      <c r="N30" s="4" t="s">
        <v>82</v>
      </c>
      <c r="O30" s="5">
        <f>RESUMEN!$B$3</f>
        <v>44452</v>
      </c>
      <c r="P30" s="1">
        <f t="shared" si="0"/>
        <v>2021</v>
      </c>
      <c r="Q30" s="1"/>
    </row>
    <row r="31" spans="1:17">
      <c r="A31" s="2" t="s">
        <v>65</v>
      </c>
      <c r="B31" s="1" t="s">
        <v>57</v>
      </c>
      <c r="C31" s="1" t="s">
        <v>66</v>
      </c>
      <c r="D31" s="1" t="s">
        <v>58</v>
      </c>
      <c r="E31" s="1" t="str">
        <f>+'CUOTA INDUSTRIAL'!C$28</f>
        <v>ARICA SEAFOOD PRODUCER S.A.</v>
      </c>
      <c r="F31" s="1" t="s">
        <v>59</v>
      </c>
      <c r="G31" s="1" t="s">
        <v>62</v>
      </c>
      <c r="H31" s="3">
        <f>'CUOTA INDUSTRIAL'!K28</f>
        <v>3.8448650000000004</v>
      </c>
      <c r="I31" s="3">
        <f>'CUOTA INDUSTRIAL'!L28</f>
        <v>0</v>
      </c>
      <c r="J31" s="3">
        <f>'CUOTA INDUSTRIAL'!M28</f>
        <v>3.8448650000000004</v>
      </c>
      <c r="K31" s="3">
        <f>'CUOTA INDUSTRIAL'!N28</f>
        <v>0</v>
      </c>
      <c r="L31" s="3">
        <f>'CUOTA INDUSTRIAL'!O28</f>
        <v>3.8448650000000004</v>
      </c>
      <c r="M31" s="114">
        <f>'CUOTA INDUSTRIAL'!P28</f>
        <v>0</v>
      </c>
      <c r="N31" s="4" t="s">
        <v>82</v>
      </c>
      <c r="O31" s="5">
        <f>RESUMEN!$B$3</f>
        <v>44452</v>
      </c>
      <c r="P31" s="1">
        <f t="shared" si="0"/>
        <v>2021</v>
      </c>
      <c r="Q31" s="1"/>
    </row>
    <row r="32" spans="1:17">
      <c r="A32" s="2" t="s">
        <v>65</v>
      </c>
      <c r="B32" s="1" t="s">
        <v>57</v>
      </c>
      <c r="C32" s="1" t="s">
        <v>66</v>
      </c>
      <c r="D32" s="1" t="s">
        <v>58</v>
      </c>
      <c r="E32" s="1" t="str">
        <f>+'CUOTA INDUSTRIAL'!C$30</f>
        <v>BAHIA CALDERA S.A. PESQ</v>
      </c>
      <c r="F32" s="1" t="s">
        <v>59</v>
      </c>
      <c r="G32" s="1" t="s">
        <v>60</v>
      </c>
      <c r="H32" s="3">
        <f>+'CUOTA INDUSTRIAL'!E30</f>
        <v>53.221587999999997</v>
      </c>
      <c r="I32" s="3">
        <f>+'CUOTA INDUSTRIAL'!F30</f>
        <v>0</v>
      </c>
      <c r="J32" s="3">
        <f>+'CUOTA INDUSTRIAL'!G30</f>
        <v>53.221587999999997</v>
      </c>
      <c r="K32" s="3">
        <f>+'CUOTA INDUSTRIAL'!H30</f>
        <v>0</v>
      </c>
      <c r="L32" s="3">
        <f>+'CUOTA INDUSTRIAL'!I30</f>
        <v>53.221587999999997</v>
      </c>
      <c r="M32" s="114">
        <f>+'CUOTA INDUSTRIAL'!J30</f>
        <v>0</v>
      </c>
      <c r="N32" s="4" t="s">
        <v>82</v>
      </c>
      <c r="O32" s="5">
        <f>RESUMEN!$B$3</f>
        <v>44452</v>
      </c>
      <c r="P32" s="1">
        <f t="shared" si="0"/>
        <v>2021</v>
      </c>
      <c r="Q32" s="1"/>
    </row>
    <row r="33" spans="1:17">
      <c r="A33" s="2" t="s">
        <v>65</v>
      </c>
      <c r="B33" s="1" t="s">
        <v>57</v>
      </c>
      <c r="C33" s="1" t="s">
        <v>66</v>
      </c>
      <c r="D33" s="1" t="s">
        <v>58</v>
      </c>
      <c r="E33" s="1" t="str">
        <f>+'CUOTA INDUSTRIAL'!C$30</f>
        <v>BAHIA CALDERA S.A. PESQ</v>
      </c>
      <c r="F33" s="1" t="s">
        <v>61</v>
      </c>
      <c r="G33" s="1" t="s">
        <v>62</v>
      </c>
      <c r="H33" s="3">
        <f>+'CUOTA INDUSTRIAL'!E31</f>
        <v>2.79955</v>
      </c>
      <c r="I33" s="3">
        <f>+'CUOTA INDUSTRIAL'!F31</f>
        <v>0</v>
      </c>
      <c r="J33" s="3">
        <f>+'CUOTA INDUSTRIAL'!G31</f>
        <v>56.021137999999993</v>
      </c>
      <c r="K33" s="3">
        <f>+'CUOTA INDUSTRIAL'!H31</f>
        <v>0</v>
      </c>
      <c r="L33" s="3">
        <f>+'CUOTA INDUSTRIAL'!I31</f>
        <v>56.021137999999993</v>
      </c>
      <c r="M33" s="114">
        <f>+'CUOTA INDUSTRIAL'!J31</f>
        <v>0</v>
      </c>
      <c r="N33" s="4" t="s">
        <v>82</v>
      </c>
      <c r="O33" s="5">
        <f>RESUMEN!$B$3</f>
        <v>44452</v>
      </c>
      <c r="P33" s="1">
        <f t="shared" si="0"/>
        <v>2021</v>
      </c>
      <c r="Q33" s="1"/>
    </row>
    <row r="34" spans="1:17">
      <c r="A34" s="2" t="s">
        <v>65</v>
      </c>
      <c r="B34" s="1" t="s">
        <v>57</v>
      </c>
      <c r="C34" s="1" t="s">
        <v>66</v>
      </c>
      <c r="D34" s="1" t="s">
        <v>58</v>
      </c>
      <c r="E34" s="1" t="str">
        <f>+'CUOTA INDUSTRIAL'!C$30</f>
        <v>BAHIA CALDERA S.A. PESQ</v>
      </c>
      <c r="F34" s="1" t="s">
        <v>59</v>
      </c>
      <c r="G34" s="1" t="s">
        <v>62</v>
      </c>
      <c r="H34" s="3">
        <f>'CUOTA INDUSTRIAL'!K30</f>
        <v>56.021137999999993</v>
      </c>
      <c r="I34" s="3">
        <f>'CUOTA INDUSTRIAL'!L30</f>
        <v>0</v>
      </c>
      <c r="J34" s="3">
        <f>'CUOTA INDUSTRIAL'!M30</f>
        <v>56.021137999999993</v>
      </c>
      <c r="K34" s="3">
        <f>'CUOTA INDUSTRIAL'!N30</f>
        <v>0</v>
      </c>
      <c r="L34" s="3">
        <f>'CUOTA INDUSTRIAL'!O30</f>
        <v>56.021137999999993</v>
      </c>
      <c r="M34" s="114">
        <f>'CUOTA INDUSTRIAL'!P30</f>
        <v>0</v>
      </c>
      <c r="N34" s="4" t="s">
        <v>82</v>
      </c>
      <c r="O34" s="5">
        <f>RESUMEN!$B$3</f>
        <v>44452</v>
      </c>
      <c r="P34" s="1">
        <f t="shared" si="0"/>
        <v>2021</v>
      </c>
      <c r="Q34" s="1"/>
    </row>
    <row r="35" spans="1:17">
      <c r="A35" s="2" t="s">
        <v>65</v>
      </c>
      <c r="B35" s="1" t="s">
        <v>57</v>
      </c>
      <c r="C35" s="1" t="s">
        <v>66</v>
      </c>
      <c r="D35" s="1" t="s">
        <v>58</v>
      </c>
      <c r="E35" s="1" t="str">
        <f>+'CUOTA INDUSTRIAL'!C$32</f>
        <v xml:space="preserve">BLUMAR S.A.             </v>
      </c>
      <c r="F35" s="1" t="s">
        <v>59</v>
      </c>
      <c r="G35" s="1" t="s">
        <v>60</v>
      </c>
      <c r="H35" s="3">
        <f>+'CUOTA INDUSTRIAL'!E32</f>
        <v>3223.94085</v>
      </c>
      <c r="I35" s="3">
        <f>+'CUOTA INDUSTRIAL'!F32</f>
        <v>-3000</v>
      </c>
      <c r="J35" s="3">
        <f>+'CUOTA INDUSTRIAL'!G32</f>
        <v>223.94084999999995</v>
      </c>
      <c r="K35" s="3">
        <f>+'CUOTA INDUSTRIAL'!H32</f>
        <v>0</v>
      </c>
      <c r="L35" s="3">
        <f>+'CUOTA INDUSTRIAL'!I32</f>
        <v>223.94084999999995</v>
      </c>
      <c r="M35" s="114">
        <f>+'CUOTA INDUSTRIAL'!J32</f>
        <v>0</v>
      </c>
      <c r="N35" s="4" t="s">
        <v>82</v>
      </c>
      <c r="O35" s="5">
        <f>RESUMEN!$B$3</f>
        <v>44452</v>
      </c>
      <c r="P35" s="1">
        <f t="shared" si="0"/>
        <v>2021</v>
      </c>
      <c r="Q35" s="1"/>
    </row>
    <row r="36" spans="1:17">
      <c r="A36" s="2" t="s">
        <v>65</v>
      </c>
      <c r="B36" s="1" t="s">
        <v>57</v>
      </c>
      <c r="C36" s="1" t="s">
        <v>66</v>
      </c>
      <c r="D36" s="1" t="s">
        <v>58</v>
      </c>
      <c r="E36" s="1" t="str">
        <f>+'CUOTA INDUSTRIAL'!C$32</f>
        <v xml:space="preserve">BLUMAR S.A.             </v>
      </c>
      <c r="F36" s="1" t="s">
        <v>61</v>
      </c>
      <c r="G36" s="1" t="s">
        <v>62</v>
      </c>
      <c r="H36" s="3">
        <f>+'CUOTA INDUSTRIAL'!E33</f>
        <v>169.58499499999999</v>
      </c>
      <c r="I36" s="3">
        <f>+'CUOTA INDUSTRIAL'!F33</f>
        <v>0</v>
      </c>
      <c r="J36" s="3">
        <f>+'CUOTA INDUSTRIAL'!G33</f>
        <v>393.52584499999995</v>
      </c>
      <c r="K36" s="3">
        <f>+'CUOTA INDUSTRIAL'!H33</f>
        <v>0</v>
      </c>
      <c r="L36" s="3">
        <f>+'CUOTA INDUSTRIAL'!I33</f>
        <v>393.52584499999995</v>
      </c>
      <c r="M36" s="114">
        <f>+'CUOTA INDUSTRIAL'!J33</f>
        <v>0</v>
      </c>
      <c r="N36" s="4" t="s">
        <v>82</v>
      </c>
      <c r="O36" s="5">
        <f>RESUMEN!$B$3</f>
        <v>44452</v>
      </c>
      <c r="P36" s="1">
        <f t="shared" si="0"/>
        <v>2021</v>
      </c>
      <c r="Q36" s="1"/>
    </row>
    <row r="37" spans="1:17">
      <c r="A37" s="2" t="s">
        <v>65</v>
      </c>
      <c r="B37" s="1" t="s">
        <v>57</v>
      </c>
      <c r="C37" s="1" t="s">
        <v>66</v>
      </c>
      <c r="D37" s="1" t="s">
        <v>58</v>
      </c>
      <c r="E37" s="1" t="str">
        <f>+'CUOTA INDUSTRIAL'!C$32</f>
        <v xml:space="preserve">BLUMAR S.A.             </v>
      </c>
      <c r="F37" s="1" t="s">
        <v>59</v>
      </c>
      <c r="G37" s="1" t="s">
        <v>62</v>
      </c>
      <c r="H37" s="3">
        <f>'CUOTA INDUSTRIAL'!K32</f>
        <v>3393.5258450000001</v>
      </c>
      <c r="I37" s="3">
        <f>'CUOTA INDUSTRIAL'!L32</f>
        <v>-3000</v>
      </c>
      <c r="J37" s="3">
        <f>'CUOTA INDUSTRIAL'!M32</f>
        <v>393.52584500000012</v>
      </c>
      <c r="K37" s="3">
        <f>'CUOTA INDUSTRIAL'!N32</f>
        <v>0</v>
      </c>
      <c r="L37" s="3">
        <f>'CUOTA INDUSTRIAL'!O32</f>
        <v>393.52584500000012</v>
      </c>
      <c r="M37" s="114">
        <f>'CUOTA INDUSTRIAL'!P32</f>
        <v>0</v>
      </c>
      <c r="N37" s="4" t="s">
        <v>82</v>
      </c>
      <c r="O37" s="5">
        <f>RESUMEN!$B$3</f>
        <v>44452</v>
      </c>
      <c r="P37" s="1">
        <f t="shared" si="0"/>
        <v>2021</v>
      </c>
      <c r="Q37" s="1"/>
    </row>
    <row r="38" spans="1:17">
      <c r="A38" s="2" t="s">
        <v>65</v>
      </c>
      <c r="B38" s="1" t="s">
        <v>57</v>
      </c>
      <c r="C38" s="1" t="s">
        <v>66</v>
      </c>
      <c r="D38" s="1" t="s">
        <v>58</v>
      </c>
      <c r="E38" s="1" t="str">
        <f>+'CUOTA INDUSTRIAL'!C$34</f>
        <v>CAMANCHACA S.A.</v>
      </c>
      <c r="F38" s="1" t="s">
        <v>59</v>
      </c>
      <c r="G38" s="1" t="s">
        <v>60</v>
      </c>
      <c r="H38" s="3">
        <f>+'CUOTA INDUSTRIAL'!E34</f>
        <v>210.58962500000001</v>
      </c>
      <c r="I38" s="3">
        <f>+'CUOTA INDUSTRIAL'!F34</f>
        <v>-221.667</v>
      </c>
      <c r="J38" s="3">
        <f>+'CUOTA INDUSTRIAL'!G34</f>
        <v>-11.077374999999989</v>
      </c>
      <c r="K38" s="3">
        <f>+'CUOTA INDUSTRIAL'!H34</f>
        <v>0</v>
      </c>
      <c r="L38" s="3">
        <f>+'CUOTA INDUSTRIAL'!I34</f>
        <v>-11.077374999999989</v>
      </c>
      <c r="M38" s="114">
        <f>+'CUOTA INDUSTRIAL'!J34</f>
        <v>0</v>
      </c>
      <c r="N38" s="4" t="s">
        <v>82</v>
      </c>
      <c r="O38" s="5">
        <f>RESUMEN!$B$3</f>
        <v>44452</v>
      </c>
      <c r="P38" s="1">
        <f t="shared" si="0"/>
        <v>2021</v>
      </c>
      <c r="Q38" s="1"/>
    </row>
    <row r="39" spans="1:17">
      <c r="A39" s="2" t="s">
        <v>65</v>
      </c>
      <c r="B39" s="1" t="s">
        <v>57</v>
      </c>
      <c r="C39" s="1" t="s">
        <v>66</v>
      </c>
      <c r="D39" s="1" t="s">
        <v>58</v>
      </c>
      <c r="E39" s="1" t="str">
        <f>+'CUOTA INDUSTRIAL'!C$34</f>
        <v>CAMANCHACA S.A.</v>
      </c>
      <c r="F39" s="1" t="s">
        <v>61</v>
      </c>
      <c r="G39" s="1" t="s">
        <v>62</v>
      </c>
      <c r="H39" s="3">
        <f>+'CUOTA INDUSTRIAL'!E35</f>
        <v>11.077387</v>
      </c>
      <c r="I39" s="3">
        <f>+'CUOTA INDUSTRIAL'!F35</f>
        <v>0</v>
      </c>
      <c r="J39" s="3">
        <f>+'CUOTA INDUSTRIAL'!G35</f>
        <v>1.200000001055912E-5</v>
      </c>
      <c r="K39" s="3">
        <f>+'CUOTA INDUSTRIAL'!H35</f>
        <v>0</v>
      </c>
      <c r="L39" s="3">
        <f>+'CUOTA INDUSTRIAL'!I35</f>
        <v>1.200000001055912E-5</v>
      </c>
      <c r="M39" s="114">
        <f>+'CUOTA INDUSTRIAL'!J35</f>
        <v>0</v>
      </c>
      <c r="N39" s="4" t="s">
        <v>82</v>
      </c>
      <c r="O39" s="5">
        <f>RESUMEN!$B$3</f>
        <v>44452</v>
      </c>
      <c r="P39" s="1">
        <f t="shared" si="0"/>
        <v>2021</v>
      </c>
      <c r="Q39" s="1"/>
    </row>
    <row r="40" spans="1:17">
      <c r="A40" s="2" t="s">
        <v>65</v>
      </c>
      <c r="B40" s="1" t="s">
        <v>57</v>
      </c>
      <c r="C40" s="1" t="s">
        <v>66</v>
      </c>
      <c r="D40" s="1" t="s">
        <v>58</v>
      </c>
      <c r="E40" s="1" t="str">
        <f>+'CUOTA INDUSTRIAL'!C$34</f>
        <v>CAMANCHACA S.A.</v>
      </c>
      <c r="F40" s="1" t="s">
        <v>59</v>
      </c>
      <c r="G40" s="1" t="s">
        <v>62</v>
      </c>
      <c r="H40" s="3">
        <f>'CUOTA INDUSTRIAL'!K34</f>
        <v>221.667012</v>
      </c>
      <c r="I40" s="3">
        <f>'CUOTA INDUSTRIAL'!L34</f>
        <v>-221.667</v>
      </c>
      <c r="J40" s="3">
        <f>'CUOTA INDUSTRIAL'!M34</f>
        <v>1.1999999998124622E-5</v>
      </c>
      <c r="K40" s="3">
        <f>'CUOTA INDUSTRIAL'!N34</f>
        <v>0</v>
      </c>
      <c r="L40" s="3">
        <f>'CUOTA INDUSTRIAL'!O34</f>
        <v>1.1999999998124622E-5</v>
      </c>
      <c r="M40" s="114">
        <f>'CUOTA INDUSTRIAL'!P34</f>
        <v>0</v>
      </c>
      <c r="N40" s="4" t="s">
        <v>82</v>
      </c>
      <c r="O40" s="5">
        <f>RESUMEN!$B$3</f>
        <v>44452</v>
      </c>
      <c r="P40" s="1">
        <f t="shared" si="0"/>
        <v>2021</v>
      </c>
      <c r="Q40" s="1"/>
    </row>
    <row r="41" spans="1:17">
      <c r="A41" s="2" t="s">
        <v>65</v>
      </c>
      <c r="B41" s="1" t="s">
        <v>57</v>
      </c>
      <c r="C41" s="1" t="s">
        <v>66</v>
      </c>
      <c r="D41" s="1" t="s">
        <v>58</v>
      </c>
      <c r="E41" s="1" t="str">
        <f>+'CUOTA INDUSTRIAL'!C$36</f>
        <v xml:space="preserve">FOODCORP CHILE S.A.   </v>
      </c>
      <c r="F41" s="1" t="s">
        <v>59</v>
      </c>
      <c r="G41" s="1" t="s">
        <v>60</v>
      </c>
      <c r="H41" s="3">
        <f>+'CUOTA INDUSTRIAL'!E36</f>
        <v>675.03092500000002</v>
      </c>
      <c r="I41" s="3">
        <f>+'CUOTA INDUSTRIAL'!F36</f>
        <v>-624.45799999999986</v>
      </c>
      <c r="J41" s="3">
        <f>+'CUOTA INDUSTRIAL'!G36</f>
        <v>50.572925000000168</v>
      </c>
      <c r="K41" s="3">
        <f>+'CUOTA INDUSTRIAL'!H36</f>
        <v>0</v>
      </c>
      <c r="L41" s="3">
        <f>+'CUOTA INDUSTRIAL'!I36</f>
        <v>50.572925000000168</v>
      </c>
      <c r="M41" s="114">
        <f>+'CUOTA INDUSTRIAL'!J36</f>
        <v>0</v>
      </c>
      <c r="N41" s="4" t="s">
        <v>82</v>
      </c>
      <c r="O41" s="5">
        <f>RESUMEN!$B$3</f>
        <v>44452</v>
      </c>
      <c r="P41" s="1">
        <f t="shared" si="0"/>
        <v>2021</v>
      </c>
      <c r="Q41" s="1"/>
    </row>
    <row r="42" spans="1:17">
      <c r="A42" s="2" t="s">
        <v>65</v>
      </c>
      <c r="B42" s="1" t="s">
        <v>57</v>
      </c>
      <c r="C42" s="1" t="s">
        <v>66</v>
      </c>
      <c r="D42" s="1" t="s">
        <v>58</v>
      </c>
      <c r="E42" s="1" t="str">
        <f>+'CUOTA INDUSTRIAL'!C$36</f>
        <v xml:space="preserve">FOODCORP CHILE S.A.   </v>
      </c>
      <c r="F42" s="1" t="s">
        <v>61</v>
      </c>
      <c r="G42" s="1" t="s">
        <v>62</v>
      </c>
      <c r="H42" s="3">
        <f>+'CUOTA INDUSTRIAL'!E37</f>
        <v>35.507821</v>
      </c>
      <c r="I42" s="3">
        <f>+'CUOTA INDUSTRIAL'!F37</f>
        <v>0</v>
      </c>
      <c r="J42" s="3">
        <f>+'CUOTA INDUSTRIAL'!G37</f>
        <v>86.080746000000175</v>
      </c>
      <c r="K42" s="3">
        <f>+'CUOTA INDUSTRIAL'!H37</f>
        <v>0</v>
      </c>
      <c r="L42" s="3">
        <f>+'CUOTA INDUSTRIAL'!I37</f>
        <v>86.080746000000175</v>
      </c>
      <c r="M42" s="114">
        <f>+'CUOTA INDUSTRIAL'!J37</f>
        <v>0</v>
      </c>
      <c r="N42" s="4" t="s">
        <v>82</v>
      </c>
      <c r="O42" s="5">
        <f>RESUMEN!$B$3</f>
        <v>44452</v>
      </c>
      <c r="P42" s="1">
        <f t="shared" si="0"/>
        <v>2021</v>
      </c>
      <c r="Q42" s="1"/>
    </row>
    <row r="43" spans="1:17">
      <c r="A43" s="2" t="s">
        <v>65</v>
      </c>
      <c r="B43" s="1" t="s">
        <v>57</v>
      </c>
      <c r="C43" s="1" t="s">
        <v>66</v>
      </c>
      <c r="D43" s="1" t="s">
        <v>58</v>
      </c>
      <c r="E43" s="1" t="str">
        <f>+'CUOTA INDUSTRIAL'!C$36</f>
        <v xml:space="preserve">FOODCORP CHILE S.A.   </v>
      </c>
      <c r="F43" s="1" t="s">
        <v>59</v>
      </c>
      <c r="G43" s="1" t="s">
        <v>62</v>
      </c>
      <c r="H43" s="3">
        <f>'CUOTA INDUSTRIAL'!K36</f>
        <v>710.53874600000006</v>
      </c>
      <c r="I43" s="3">
        <f>'CUOTA INDUSTRIAL'!L36</f>
        <v>-624.45799999999986</v>
      </c>
      <c r="J43" s="3">
        <f>'CUOTA INDUSTRIAL'!M36</f>
        <v>86.080746000000204</v>
      </c>
      <c r="K43" s="3">
        <f>'CUOTA INDUSTRIAL'!N36</f>
        <v>0</v>
      </c>
      <c r="L43" s="3">
        <f>'CUOTA INDUSTRIAL'!O36</f>
        <v>86.080746000000204</v>
      </c>
      <c r="M43" s="114">
        <f>'CUOTA INDUSTRIAL'!P36</f>
        <v>0</v>
      </c>
      <c r="N43" s="4" t="s">
        <v>82</v>
      </c>
      <c r="O43" s="5">
        <f>RESUMEN!$B$3</f>
        <v>44452</v>
      </c>
      <c r="P43" s="1">
        <f t="shared" si="0"/>
        <v>2021</v>
      </c>
      <c r="Q43" s="1"/>
    </row>
    <row r="44" spans="1:17">
      <c r="A44" s="2" t="s">
        <v>65</v>
      </c>
      <c r="B44" s="1" t="s">
        <v>57</v>
      </c>
      <c r="C44" s="1" t="s">
        <v>66</v>
      </c>
      <c r="D44" s="1" t="s">
        <v>58</v>
      </c>
      <c r="E44" s="1" t="str">
        <f>+'CUOTA INDUSTRIAL'!C$38</f>
        <v xml:space="preserve">LITORAL SPA PESQ      </v>
      </c>
      <c r="F44" s="1" t="s">
        <v>59</v>
      </c>
      <c r="G44" s="1" t="s">
        <v>60</v>
      </c>
      <c r="H44" s="3">
        <f>+'CUOTA INDUSTRIAL'!E38</f>
        <v>582.06017499999996</v>
      </c>
      <c r="I44" s="3">
        <f>+'CUOTA INDUSTRIAL'!F38</f>
        <v>-600</v>
      </c>
      <c r="J44" s="3">
        <f>+'CUOTA INDUSTRIAL'!G38</f>
        <v>-17.939825000000042</v>
      </c>
      <c r="K44" s="3">
        <f>+'CUOTA INDUSTRIAL'!H38</f>
        <v>0</v>
      </c>
      <c r="L44" s="3">
        <f>+'CUOTA INDUSTRIAL'!I38</f>
        <v>-17.939825000000042</v>
      </c>
      <c r="M44" s="114">
        <f>+'CUOTA INDUSTRIAL'!J38</f>
        <v>0</v>
      </c>
      <c r="N44" s="4" t="s">
        <v>82</v>
      </c>
      <c r="O44" s="5">
        <f>RESUMEN!$B$3</f>
        <v>44452</v>
      </c>
      <c r="P44" s="1">
        <f t="shared" si="0"/>
        <v>2021</v>
      </c>
      <c r="Q44" s="1"/>
    </row>
    <row r="45" spans="1:17">
      <c r="A45" s="2" t="s">
        <v>65</v>
      </c>
      <c r="B45" s="1" t="s">
        <v>57</v>
      </c>
      <c r="C45" s="1" t="s">
        <v>66</v>
      </c>
      <c r="D45" s="1" t="s">
        <v>58</v>
      </c>
      <c r="E45" s="1" t="str">
        <f>+'CUOTA INDUSTRIAL'!C$38</f>
        <v xml:space="preserve">LITORAL SPA PESQ      </v>
      </c>
      <c r="F45" s="1" t="s">
        <v>61</v>
      </c>
      <c r="G45" s="1" t="s">
        <v>62</v>
      </c>
      <c r="H45" s="3">
        <f>+'CUOTA INDUSTRIAL'!E39</f>
        <v>30.617394999999998</v>
      </c>
      <c r="I45" s="3">
        <f>+'CUOTA INDUSTRIAL'!F39</f>
        <v>0</v>
      </c>
      <c r="J45" s="3">
        <f>+'CUOTA INDUSTRIAL'!G39</f>
        <v>12.677569999999957</v>
      </c>
      <c r="K45" s="3">
        <f>+'CUOTA INDUSTRIAL'!H39</f>
        <v>0</v>
      </c>
      <c r="L45" s="3">
        <f>+'CUOTA INDUSTRIAL'!I39</f>
        <v>12.677569999999957</v>
      </c>
      <c r="M45" s="114">
        <f>+'CUOTA INDUSTRIAL'!J39</f>
        <v>0</v>
      </c>
      <c r="N45" s="4" t="s">
        <v>82</v>
      </c>
      <c r="O45" s="5">
        <f>RESUMEN!$B$3</f>
        <v>44452</v>
      </c>
      <c r="P45" s="1">
        <f t="shared" si="0"/>
        <v>2021</v>
      </c>
      <c r="Q45" s="1"/>
    </row>
    <row r="46" spans="1:17">
      <c r="A46" s="2" t="s">
        <v>65</v>
      </c>
      <c r="B46" s="1" t="s">
        <v>57</v>
      </c>
      <c r="C46" s="1" t="s">
        <v>66</v>
      </c>
      <c r="D46" s="1" t="s">
        <v>58</v>
      </c>
      <c r="E46" s="1" t="str">
        <f>+'CUOTA INDUSTRIAL'!C$38</f>
        <v xml:space="preserve">LITORAL SPA PESQ      </v>
      </c>
      <c r="F46" s="1" t="s">
        <v>59</v>
      </c>
      <c r="G46" s="1" t="s">
        <v>62</v>
      </c>
      <c r="H46" s="3">
        <f>'CUOTA INDUSTRIAL'!K38</f>
        <v>612.67756999999995</v>
      </c>
      <c r="I46" s="3">
        <f>'CUOTA INDUSTRIAL'!L38</f>
        <v>-600</v>
      </c>
      <c r="J46" s="3">
        <f>'CUOTA INDUSTRIAL'!M38</f>
        <v>12.677569999999946</v>
      </c>
      <c r="K46" s="3">
        <f>'CUOTA INDUSTRIAL'!N38</f>
        <v>0</v>
      </c>
      <c r="L46" s="3">
        <f>'CUOTA INDUSTRIAL'!O38</f>
        <v>12.677569999999946</v>
      </c>
      <c r="M46" s="114">
        <f>'CUOTA INDUSTRIAL'!P38</f>
        <v>0</v>
      </c>
      <c r="N46" s="4" t="s">
        <v>82</v>
      </c>
      <c r="O46" s="5">
        <f>RESUMEN!$B$3</f>
        <v>44452</v>
      </c>
      <c r="P46" s="1">
        <f t="shared" si="0"/>
        <v>2021</v>
      </c>
      <c r="Q46" s="1"/>
    </row>
    <row r="47" spans="1:17">
      <c r="A47" s="2" t="s">
        <v>65</v>
      </c>
      <c r="B47" s="1" t="s">
        <v>57</v>
      </c>
      <c r="C47" s="1" t="s">
        <v>66</v>
      </c>
      <c r="D47" s="1" t="s">
        <v>58</v>
      </c>
      <c r="E47" s="1" t="str">
        <f>+'CUOTA INDUSTRIAL'!C$40</f>
        <v xml:space="preserve">ISLADAMAS S.A. PESQ.        </v>
      </c>
      <c r="F47" s="1" t="s">
        <v>59</v>
      </c>
      <c r="G47" s="1" t="s">
        <v>60</v>
      </c>
      <c r="H47" s="3">
        <f>+'CUOTA INDUSTRIAL'!E40</f>
        <v>13.49785</v>
      </c>
      <c r="I47" s="3">
        <f>+'CUOTA INDUSTRIAL'!F40</f>
        <v>0</v>
      </c>
      <c r="J47" s="3">
        <f>+'CUOTA INDUSTRIAL'!G40</f>
        <v>13.49785</v>
      </c>
      <c r="K47" s="3">
        <f>+'CUOTA INDUSTRIAL'!H40</f>
        <v>0</v>
      </c>
      <c r="L47" s="3">
        <f>+'CUOTA INDUSTRIAL'!I40</f>
        <v>13.49785</v>
      </c>
      <c r="M47" s="114">
        <f>+'CUOTA INDUSTRIAL'!J40</f>
        <v>0</v>
      </c>
      <c r="N47" s="4" t="s">
        <v>82</v>
      </c>
      <c r="O47" s="5">
        <f>RESUMEN!$B$3</f>
        <v>44452</v>
      </c>
      <c r="P47" s="1">
        <f t="shared" si="0"/>
        <v>2021</v>
      </c>
      <c r="Q47" s="1"/>
    </row>
    <row r="48" spans="1:17">
      <c r="A48" s="2" t="s">
        <v>65</v>
      </c>
      <c r="B48" s="1" t="s">
        <v>57</v>
      </c>
      <c r="C48" s="1" t="s">
        <v>66</v>
      </c>
      <c r="D48" s="1" t="s">
        <v>58</v>
      </c>
      <c r="E48" s="1" t="str">
        <f>+'CUOTA INDUSTRIAL'!C$40</f>
        <v xml:space="preserve">ISLADAMAS S.A. PESQ.        </v>
      </c>
      <c r="F48" s="1" t="s">
        <v>61</v>
      </c>
      <c r="G48" s="1" t="s">
        <v>62</v>
      </c>
      <c r="H48" s="3">
        <f>+'CUOTA INDUSTRIAL'!E41</f>
        <v>0.71001099999999995</v>
      </c>
      <c r="I48" s="3">
        <f>+'CUOTA INDUSTRIAL'!F41</f>
        <v>0</v>
      </c>
      <c r="J48" s="3">
        <f>+'CUOTA INDUSTRIAL'!G41</f>
        <v>14.207860999999999</v>
      </c>
      <c r="K48" s="3">
        <f>+'CUOTA INDUSTRIAL'!H41</f>
        <v>0</v>
      </c>
      <c r="L48" s="3">
        <f>+'CUOTA INDUSTRIAL'!I41</f>
        <v>14.207860999999999</v>
      </c>
      <c r="M48" s="114">
        <f>+'CUOTA INDUSTRIAL'!J41</f>
        <v>0</v>
      </c>
      <c r="N48" s="4" t="s">
        <v>82</v>
      </c>
      <c r="O48" s="5">
        <f>RESUMEN!$B$3</f>
        <v>44452</v>
      </c>
      <c r="P48" s="1">
        <f t="shared" si="0"/>
        <v>2021</v>
      </c>
      <c r="Q48" s="1"/>
    </row>
    <row r="49" spans="1:17">
      <c r="A49" s="2" t="s">
        <v>65</v>
      </c>
      <c r="B49" s="1" t="s">
        <v>57</v>
      </c>
      <c r="C49" s="1" t="s">
        <v>66</v>
      </c>
      <c r="D49" s="1" t="s">
        <v>58</v>
      </c>
      <c r="E49" s="1" t="str">
        <f>+'CUOTA INDUSTRIAL'!C$40</f>
        <v xml:space="preserve">ISLADAMAS S.A. PESQ.        </v>
      </c>
      <c r="F49" s="1" t="s">
        <v>59</v>
      </c>
      <c r="G49" s="1" t="s">
        <v>62</v>
      </c>
      <c r="H49" s="3">
        <f>'CUOTA INDUSTRIAL'!K40</f>
        <v>14.207860999999999</v>
      </c>
      <c r="I49" s="3">
        <f>'CUOTA INDUSTRIAL'!L40</f>
        <v>0</v>
      </c>
      <c r="J49" s="3">
        <f>'CUOTA INDUSTRIAL'!M40</f>
        <v>14.207860999999999</v>
      </c>
      <c r="K49" s="3">
        <f>'CUOTA INDUSTRIAL'!N40</f>
        <v>0</v>
      </c>
      <c r="L49" s="3">
        <f>'CUOTA INDUSTRIAL'!O40</f>
        <v>14.207860999999999</v>
      </c>
      <c r="M49" s="114">
        <f>'CUOTA INDUSTRIAL'!P40</f>
        <v>0</v>
      </c>
      <c r="N49" s="4" t="s">
        <v>82</v>
      </c>
      <c r="O49" s="5">
        <f>RESUMEN!$B$3</f>
        <v>44452</v>
      </c>
      <c r="P49" s="1">
        <f t="shared" si="0"/>
        <v>2021</v>
      </c>
      <c r="Q49" s="1"/>
    </row>
    <row r="50" spans="1:17">
      <c r="A50" s="2" t="s">
        <v>65</v>
      </c>
      <c r="B50" s="1" t="s">
        <v>57</v>
      </c>
      <c r="C50" s="1" t="s">
        <v>66</v>
      </c>
      <c r="D50" s="1" t="s">
        <v>58</v>
      </c>
      <c r="E50" s="1" t="str">
        <f>+'CUOTA INDUSTRIAL'!C$42</f>
        <v xml:space="preserve">LANDES S.A. SOC. PESQ.      </v>
      </c>
      <c r="F50" s="1" t="s">
        <v>59</v>
      </c>
      <c r="G50" s="1" t="s">
        <v>60</v>
      </c>
      <c r="H50" s="3">
        <f>+'CUOTA INDUSTRIAL'!E42</f>
        <v>99.595375000000004</v>
      </c>
      <c r="I50" s="3">
        <f>+'CUOTA INDUSTRIAL'!F42</f>
        <v>-104.83368</v>
      </c>
      <c r="J50" s="3">
        <f>+'CUOTA INDUSTRIAL'!G42</f>
        <v>-5.2383049999999969</v>
      </c>
      <c r="K50" s="3">
        <f>+'CUOTA INDUSTRIAL'!H42</f>
        <v>0</v>
      </c>
      <c r="L50" s="3">
        <f>+'CUOTA INDUSTRIAL'!I42</f>
        <v>-5.2383049999999969</v>
      </c>
      <c r="M50" s="114">
        <f>+'CUOTA INDUSTRIAL'!J42</f>
        <v>0</v>
      </c>
      <c r="N50" s="4" t="s">
        <v>82</v>
      </c>
      <c r="O50" s="5">
        <f>RESUMEN!$B$3</f>
        <v>44452</v>
      </c>
      <c r="P50" s="1">
        <f t="shared" si="0"/>
        <v>2021</v>
      </c>
      <c r="Q50" s="1"/>
    </row>
    <row r="51" spans="1:17">
      <c r="A51" s="2" t="s">
        <v>65</v>
      </c>
      <c r="B51" s="1" t="s">
        <v>57</v>
      </c>
      <c r="C51" s="1" t="s">
        <v>66</v>
      </c>
      <c r="D51" s="1" t="s">
        <v>58</v>
      </c>
      <c r="E51" s="1" t="str">
        <f>+'CUOTA INDUSTRIAL'!C$42</f>
        <v xml:space="preserve">LANDES S.A. SOC. PESQ.      </v>
      </c>
      <c r="F51" s="1" t="s">
        <v>61</v>
      </c>
      <c r="G51" s="1" t="s">
        <v>62</v>
      </c>
      <c r="H51" s="3">
        <f>+'CUOTA INDUSTRIAL'!E43</f>
        <v>5.238893</v>
      </c>
      <c r="I51" s="3">
        <f>+'CUOTA INDUSTRIAL'!F43</f>
        <v>0</v>
      </c>
      <c r="J51" s="3">
        <f>+'CUOTA INDUSTRIAL'!G43</f>
        <v>5.8800000000314157E-4</v>
      </c>
      <c r="K51" s="3">
        <f>+'CUOTA INDUSTRIAL'!H43</f>
        <v>0</v>
      </c>
      <c r="L51" s="3">
        <f>+'CUOTA INDUSTRIAL'!I43</f>
        <v>5.8800000000314157E-4</v>
      </c>
      <c r="M51" s="114">
        <f>+'CUOTA INDUSTRIAL'!J43</f>
        <v>0</v>
      </c>
      <c r="N51" s="4" t="s">
        <v>82</v>
      </c>
      <c r="O51" s="5">
        <f>RESUMEN!$B$3</f>
        <v>44452</v>
      </c>
      <c r="P51" s="1">
        <f t="shared" si="0"/>
        <v>2021</v>
      </c>
      <c r="Q51" s="1"/>
    </row>
    <row r="52" spans="1:17">
      <c r="A52" s="2" t="s">
        <v>65</v>
      </c>
      <c r="B52" s="1" t="s">
        <v>57</v>
      </c>
      <c r="C52" s="1" t="s">
        <v>66</v>
      </c>
      <c r="D52" s="1" t="s">
        <v>58</v>
      </c>
      <c r="E52" s="1" t="str">
        <f>+'CUOTA INDUSTRIAL'!C$42</f>
        <v xml:space="preserve">LANDES S.A. SOC. PESQ.      </v>
      </c>
      <c r="F52" s="1" t="s">
        <v>59</v>
      </c>
      <c r="G52" s="1" t="s">
        <v>62</v>
      </c>
      <c r="H52" s="3">
        <f>'CUOTA INDUSTRIAL'!K42</f>
        <v>104.83426800000001</v>
      </c>
      <c r="I52" s="3">
        <f>'CUOTA INDUSTRIAL'!L42</f>
        <v>-104.83368</v>
      </c>
      <c r="J52" s="3">
        <f>'CUOTA INDUSTRIAL'!M42</f>
        <v>5.8800000000758246E-4</v>
      </c>
      <c r="K52" s="3">
        <f>'CUOTA INDUSTRIAL'!N42</f>
        <v>0</v>
      </c>
      <c r="L52" s="3">
        <f>'CUOTA INDUSTRIAL'!O42</f>
        <v>5.8800000000758246E-4</v>
      </c>
      <c r="M52" s="114">
        <f>'CUOTA INDUSTRIAL'!P42</f>
        <v>0</v>
      </c>
      <c r="N52" s="4" t="s">
        <v>82</v>
      </c>
      <c r="O52" s="5">
        <f>RESUMEN!$B$3</f>
        <v>44452</v>
      </c>
      <c r="P52" s="1">
        <f t="shared" si="0"/>
        <v>2021</v>
      </c>
      <c r="Q52" s="1"/>
    </row>
    <row r="53" spans="1:17">
      <c r="A53" s="2" t="s">
        <v>65</v>
      </c>
      <c r="B53" s="1" t="s">
        <v>57</v>
      </c>
      <c r="C53" s="1" t="s">
        <v>66</v>
      </c>
      <c r="D53" s="1" t="s">
        <v>58</v>
      </c>
      <c r="E53" s="1" t="str">
        <f>+'CUOTA INDUSTRIAL'!C$44</f>
        <v xml:space="preserve"> ORIZON S.A   </v>
      </c>
      <c r="F53" s="1" t="s">
        <v>59</v>
      </c>
      <c r="G53" s="1" t="s">
        <v>60</v>
      </c>
      <c r="H53" s="3">
        <f>+'CUOTA INDUSTRIAL'!E44</f>
        <v>6562.0526630000004</v>
      </c>
      <c r="I53" s="3">
        <f>+'CUOTA INDUSTRIAL'!F44</f>
        <v>-4169</v>
      </c>
      <c r="J53" s="3">
        <f>+'CUOTA INDUSTRIAL'!G44</f>
        <v>2393.0526630000004</v>
      </c>
      <c r="K53" s="3">
        <f>+'CUOTA INDUSTRIAL'!H44</f>
        <v>2737.71</v>
      </c>
      <c r="L53" s="3">
        <f>+'CUOTA INDUSTRIAL'!I44</f>
        <v>-344.65733699999964</v>
      </c>
      <c r="M53" s="114">
        <f>+'CUOTA INDUSTRIAL'!J44</f>
        <v>1.1440241338307728</v>
      </c>
      <c r="N53" s="4" t="s">
        <v>82</v>
      </c>
      <c r="O53" s="5">
        <f>RESUMEN!$B$3</f>
        <v>44452</v>
      </c>
      <c r="P53" s="1">
        <f t="shared" si="0"/>
        <v>2021</v>
      </c>
      <c r="Q53" s="1"/>
    </row>
    <row r="54" spans="1:17">
      <c r="A54" s="2" t="s">
        <v>65</v>
      </c>
      <c r="B54" s="1" t="s">
        <v>57</v>
      </c>
      <c r="C54" s="1" t="s">
        <v>66</v>
      </c>
      <c r="D54" s="1" t="s">
        <v>58</v>
      </c>
      <c r="E54" s="1" t="str">
        <f>+'CUOTA INDUSTRIAL'!C$44</f>
        <v xml:space="preserve"> ORIZON S.A   </v>
      </c>
      <c r="F54" s="1" t="s">
        <v>61</v>
      </c>
      <c r="G54" s="1" t="s">
        <v>62</v>
      </c>
      <c r="H54" s="3">
        <f>+'CUOTA INDUSTRIAL'!E45</f>
        <v>345.17558400000001</v>
      </c>
      <c r="I54" s="3">
        <f>+'CUOTA INDUSTRIAL'!F45</f>
        <v>0</v>
      </c>
      <c r="J54" s="3">
        <f>+'CUOTA INDUSTRIAL'!G45</f>
        <v>0.51824700000037183</v>
      </c>
      <c r="K54" s="3">
        <f>+'CUOTA INDUSTRIAL'!H45</f>
        <v>0</v>
      </c>
      <c r="L54" s="3">
        <f>+'CUOTA INDUSTRIAL'!I45</f>
        <v>0.51824700000037183</v>
      </c>
      <c r="M54" s="114">
        <f>+'CUOTA INDUSTRIAL'!J45</f>
        <v>0</v>
      </c>
      <c r="N54" s="4" t="s">
        <v>82</v>
      </c>
      <c r="O54" s="5">
        <f>RESUMEN!$B$3</f>
        <v>44452</v>
      </c>
      <c r="P54" s="1">
        <f t="shared" si="0"/>
        <v>2021</v>
      </c>
      <c r="Q54" s="1"/>
    </row>
    <row r="55" spans="1:17">
      <c r="A55" s="2" t="s">
        <v>65</v>
      </c>
      <c r="B55" s="1" t="s">
        <v>57</v>
      </c>
      <c r="C55" s="1" t="s">
        <v>66</v>
      </c>
      <c r="D55" s="1" t="s">
        <v>58</v>
      </c>
      <c r="E55" s="1" t="str">
        <f>+'CUOTA INDUSTRIAL'!C$44</f>
        <v xml:space="preserve"> ORIZON S.A   </v>
      </c>
      <c r="F55" s="1" t="s">
        <v>59</v>
      </c>
      <c r="G55" s="1" t="s">
        <v>62</v>
      </c>
      <c r="H55" s="3">
        <f>'CUOTA INDUSTRIAL'!K44</f>
        <v>6907.228247</v>
      </c>
      <c r="I55" s="3">
        <f>'CUOTA INDUSTRIAL'!L44</f>
        <v>-4169</v>
      </c>
      <c r="J55" s="3">
        <f>'CUOTA INDUSTRIAL'!M44</f>
        <v>2738.228247</v>
      </c>
      <c r="K55" s="3">
        <f>'CUOTA INDUSTRIAL'!N44</f>
        <v>2737.71</v>
      </c>
      <c r="L55" s="3">
        <f>'CUOTA INDUSTRIAL'!O44</f>
        <v>0.51824699999997392</v>
      </c>
      <c r="M55" s="114">
        <f>'CUOTA INDUSTRIAL'!P44</f>
        <v>0.99981073637649898</v>
      </c>
      <c r="N55" s="4" t="s">
        <v>82</v>
      </c>
      <c r="O55" s="5">
        <f>RESUMEN!$B$3</f>
        <v>44452</v>
      </c>
      <c r="P55" s="1">
        <f t="shared" si="0"/>
        <v>2021</v>
      </c>
      <c r="Q55" s="1"/>
    </row>
    <row r="56" spans="1:17">
      <c r="A56" s="7" t="s">
        <v>65</v>
      </c>
      <c r="B56" s="1" t="s">
        <v>57</v>
      </c>
      <c r="C56" s="1" t="s">
        <v>66</v>
      </c>
      <c r="D56" s="1" t="s">
        <v>58</v>
      </c>
      <c r="E56" s="1" t="str">
        <f>+'CUOTA INDUSTRIAL'!C$46</f>
        <v>CAMANCHACA PESCA SUR S.A.</v>
      </c>
      <c r="F56" s="1" t="s">
        <v>59</v>
      </c>
      <c r="G56" s="1" t="s">
        <v>60</v>
      </c>
      <c r="H56" s="3">
        <f>+'CUOTA INDUSTRIAL'!E46</f>
        <v>839.00239999999997</v>
      </c>
      <c r="I56" s="3">
        <f>+'CUOTA INDUSTRIAL'!F46</f>
        <v>-500.01420000000002</v>
      </c>
      <c r="J56" s="3">
        <f>+'CUOTA INDUSTRIAL'!G46</f>
        <v>338.98819999999995</v>
      </c>
      <c r="K56" s="3">
        <f>+'CUOTA INDUSTRIAL'!H46</f>
        <v>359.959</v>
      </c>
      <c r="L56" s="3">
        <f>+'CUOTA INDUSTRIAL'!I46</f>
        <v>-20.970800000000054</v>
      </c>
      <c r="M56" s="114">
        <f>+'CUOTA INDUSTRIAL'!J46</f>
        <v>1.0618629203022407</v>
      </c>
      <c r="N56" s="4" t="s">
        <v>82</v>
      </c>
      <c r="O56" s="5">
        <f>RESUMEN!$B$3</f>
        <v>44452</v>
      </c>
      <c r="P56" s="1">
        <f t="shared" si="0"/>
        <v>2021</v>
      </c>
      <c r="Q56" s="1"/>
    </row>
    <row r="57" spans="1:17">
      <c r="A57" s="7" t="s">
        <v>65</v>
      </c>
      <c r="B57" s="1" t="s">
        <v>57</v>
      </c>
      <c r="C57" s="1" t="s">
        <v>66</v>
      </c>
      <c r="D57" s="1" t="s">
        <v>58</v>
      </c>
      <c r="E57" s="1" t="str">
        <f>+'CUOTA INDUSTRIAL'!C$46</f>
        <v>CAMANCHACA PESCA SUR S.A.</v>
      </c>
      <c r="F57" s="1" t="s">
        <v>61</v>
      </c>
      <c r="G57" s="1" t="s">
        <v>62</v>
      </c>
      <c r="H57" s="3">
        <f>+'CUOTA INDUSTRIAL'!E47</f>
        <v>44.133011000000003</v>
      </c>
      <c r="I57" s="3">
        <f>+'CUOTA INDUSTRIAL'!F47</f>
        <v>0</v>
      </c>
      <c r="J57" s="3">
        <f>+'CUOTA INDUSTRIAL'!G47</f>
        <v>23.162210999999949</v>
      </c>
      <c r="K57" s="3">
        <f>+'CUOTA INDUSTRIAL'!H47</f>
        <v>0</v>
      </c>
      <c r="L57" s="3">
        <f>+'CUOTA INDUSTRIAL'!I47</f>
        <v>23.162210999999949</v>
      </c>
      <c r="M57" s="114">
        <f>+'CUOTA INDUSTRIAL'!J47</f>
        <v>0</v>
      </c>
      <c r="N57" s="4" t="s">
        <v>82</v>
      </c>
      <c r="O57" s="5">
        <f>RESUMEN!$B$3</f>
        <v>44452</v>
      </c>
      <c r="P57" s="1">
        <f t="shared" si="0"/>
        <v>2021</v>
      </c>
      <c r="Q57" s="1"/>
    </row>
    <row r="58" spans="1:17">
      <c r="A58" s="7" t="s">
        <v>65</v>
      </c>
      <c r="B58" s="1" t="s">
        <v>57</v>
      </c>
      <c r="C58" s="1" t="s">
        <v>66</v>
      </c>
      <c r="D58" s="1" t="s">
        <v>58</v>
      </c>
      <c r="E58" s="1" t="str">
        <f>+'CUOTA INDUSTRIAL'!C$46</f>
        <v>CAMANCHACA PESCA SUR S.A.</v>
      </c>
      <c r="F58" s="1" t="s">
        <v>59</v>
      </c>
      <c r="G58" s="1" t="s">
        <v>62</v>
      </c>
      <c r="H58" s="3">
        <f>'CUOTA INDUSTRIAL'!K46</f>
        <v>883.13541099999998</v>
      </c>
      <c r="I58" s="3">
        <f>'CUOTA INDUSTRIAL'!L46</f>
        <v>-500.01420000000002</v>
      </c>
      <c r="J58" s="3">
        <f>'CUOTA INDUSTRIAL'!M46</f>
        <v>383.12121099999996</v>
      </c>
      <c r="K58" s="3">
        <f>'CUOTA INDUSTRIAL'!N46</f>
        <v>359.959</v>
      </c>
      <c r="L58" s="3">
        <f>'CUOTA INDUSTRIAL'!O46</f>
        <v>23.162210999999957</v>
      </c>
      <c r="M58" s="114">
        <f>'CUOTA INDUSTRIAL'!P46</f>
        <v>0.93954338644017299</v>
      </c>
      <c r="N58" s="4" t="s">
        <v>82</v>
      </c>
      <c r="O58" s="5">
        <f>RESUMEN!$B$3</f>
        <v>44452</v>
      </c>
      <c r="P58" s="1">
        <f t="shared" si="0"/>
        <v>2021</v>
      </c>
      <c r="Q58" s="1"/>
    </row>
    <row r="59" spans="1:17">
      <c r="A59" s="2" t="s">
        <v>65</v>
      </c>
      <c r="B59" s="1" t="s">
        <v>57</v>
      </c>
      <c r="C59" s="1" t="s">
        <v>66</v>
      </c>
      <c r="D59" s="1" t="s">
        <v>58</v>
      </c>
      <c r="E59" s="1" t="str">
        <f>+'CUOTA INDUSTRIAL'!C$48</f>
        <v>COMERCIAL Y CONSERVERA SAN LAZARO LIMITADA</v>
      </c>
      <c r="F59" s="1" t="s">
        <v>59</v>
      </c>
      <c r="G59" s="1" t="s">
        <v>60</v>
      </c>
      <c r="H59" s="3">
        <f>+'CUOTA INDUSTRIAL'!E48</f>
        <v>678</v>
      </c>
      <c r="I59" s="3">
        <f>+'CUOTA INDUSTRIAL'!F48</f>
        <v>-713.66399999999999</v>
      </c>
      <c r="J59" s="3">
        <f>+'CUOTA INDUSTRIAL'!G48</f>
        <v>-35.663999999999987</v>
      </c>
      <c r="K59" s="3">
        <f>+'CUOTA INDUSTRIAL'!H48</f>
        <v>0</v>
      </c>
      <c r="L59" s="3">
        <f>+'CUOTA INDUSTRIAL'!I48</f>
        <v>-35.663999999999987</v>
      </c>
      <c r="M59" s="114">
        <f>+'CUOTA INDUSTRIAL'!J48</f>
        <v>0</v>
      </c>
      <c r="N59" s="4" t="s">
        <v>82</v>
      </c>
      <c r="O59" s="5">
        <f>RESUMEN!$B$3</f>
        <v>44452</v>
      </c>
      <c r="P59" s="1">
        <f t="shared" si="0"/>
        <v>2021</v>
      </c>
      <c r="Q59" s="1"/>
    </row>
    <row r="60" spans="1:17">
      <c r="A60" s="2" t="s">
        <v>65</v>
      </c>
      <c r="B60" s="1" t="s">
        <v>57</v>
      </c>
      <c r="C60" s="1" t="s">
        <v>66</v>
      </c>
      <c r="D60" s="1" t="s">
        <v>58</v>
      </c>
      <c r="E60" s="1" t="str">
        <f>+'CUOTA INDUSTRIAL'!C$48</f>
        <v>COMERCIAL Y CONSERVERA SAN LAZARO LIMITADA</v>
      </c>
      <c r="F60" s="1" t="s">
        <v>61</v>
      </c>
      <c r="G60" s="1" t="s">
        <v>62</v>
      </c>
      <c r="H60" s="3">
        <f>+'CUOTA INDUSTRIAL'!E49</f>
        <v>35.664000000000001</v>
      </c>
      <c r="I60" s="3">
        <f>+'CUOTA INDUSTRIAL'!F49</f>
        <v>0</v>
      </c>
      <c r="J60" s="3">
        <f>+'CUOTA INDUSTRIAL'!G49</f>
        <v>1.4210854715202004E-14</v>
      </c>
      <c r="K60" s="3">
        <f>+'CUOTA INDUSTRIAL'!H49</f>
        <v>0</v>
      </c>
      <c r="L60" s="3">
        <f>+'CUOTA INDUSTRIAL'!I49</f>
        <v>1.4210854715202004E-14</v>
      </c>
      <c r="M60" s="114">
        <f>+'CUOTA INDUSTRIAL'!J49</f>
        <v>0</v>
      </c>
      <c r="N60" s="4" t="s">
        <v>82</v>
      </c>
      <c r="O60" s="5">
        <f>RESUMEN!$B$3</f>
        <v>44452</v>
      </c>
      <c r="P60" s="1">
        <f t="shared" si="0"/>
        <v>2021</v>
      </c>
      <c r="Q60" s="1"/>
    </row>
    <row r="61" spans="1:17">
      <c r="A61" s="2" t="s">
        <v>65</v>
      </c>
      <c r="B61" s="1" t="s">
        <v>57</v>
      </c>
      <c r="C61" s="1" t="s">
        <v>66</v>
      </c>
      <c r="D61" s="1" t="s">
        <v>58</v>
      </c>
      <c r="E61" s="1" t="str">
        <f>+'CUOTA INDUSTRIAL'!C$48</f>
        <v>COMERCIAL Y CONSERVERA SAN LAZARO LIMITADA</v>
      </c>
      <c r="F61" s="1" t="s">
        <v>59</v>
      </c>
      <c r="G61" s="1" t="s">
        <v>62</v>
      </c>
      <c r="H61" s="3">
        <f>'CUOTA INDUSTRIAL'!K48</f>
        <v>713.66399999999999</v>
      </c>
      <c r="I61" s="3">
        <f>'CUOTA INDUSTRIAL'!L48</f>
        <v>-713.66399999999999</v>
      </c>
      <c r="J61" s="3">
        <f>'CUOTA INDUSTRIAL'!M48</f>
        <v>0</v>
      </c>
      <c r="K61" s="3">
        <f>'CUOTA INDUSTRIAL'!N48</f>
        <v>0</v>
      </c>
      <c r="L61" s="3">
        <f>'CUOTA INDUSTRIAL'!O48</f>
        <v>0</v>
      </c>
      <c r="M61" s="114">
        <f>'CUOTA INDUSTRIAL'!P48</f>
        <v>0</v>
      </c>
      <c r="N61" s="4" t="s">
        <v>82</v>
      </c>
      <c r="O61" s="5">
        <f>RESUMEN!$B$3</f>
        <v>44452</v>
      </c>
      <c r="P61" s="1">
        <f t="shared" si="0"/>
        <v>2021</v>
      </c>
      <c r="Q61" s="1"/>
    </row>
    <row r="62" spans="1:17">
      <c r="A62" s="2" t="s">
        <v>65</v>
      </c>
      <c r="B62" s="1" t="s">
        <v>57</v>
      </c>
      <c r="C62" s="1" t="s">
        <v>66</v>
      </c>
      <c r="D62" s="1" t="s">
        <v>58</v>
      </c>
      <c r="E62" s="1" t="str">
        <f>'CUOTA INDUSTRIAL'!$C$50</f>
        <v>LOTA PROTEIN S.A.</v>
      </c>
      <c r="F62" s="1" t="s">
        <v>59</v>
      </c>
      <c r="G62" s="1" t="s">
        <v>60</v>
      </c>
      <c r="H62" s="3">
        <f>'CUOTA INDUSTRIAL'!E50</f>
        <v>0</v>
      </c>
      <c r="I62" s="3">
        <f>'CUOTA INDUSTRIAL'!F50</f>
        <v>0.14799999999999969</v>
      </c>
      <c r="J62" s="3">
        <f>'CUOTA INDUSTRIAL'!G50</f>
        <v>0.14799999999999969</v>
      </c>
      <c r="K62" s="3">
        <f>'CUOTA INDUSTRIAL'!H50</f>
        <v>0</v>
      </c>
      <c r="L62" s="3">
        <f>'CUOTA INDUSTRIAL'!I50</f>
        <v>0.14799999999999969</v>
      </c>
      <c r="M62" s="114">
        <f>'CUOTA INDUSTRIAL'!J50</f>
        <v>0</v>
      </c>
      <c r="N62" s="4" t="s">
        <v>82</v>
      </c>
      <c r="O62" s="5">
        <f>RESUMEN!$B$3</f>
        <v>44452</v>
      </c>
      <c r="P62" s="1">
        <f t="shared" si="0"/>
        <v>2021</v>
      </c>
      <c r="Q62" s="1"/>
    </row>
    <row r="63" spans="1:17">
      <c r="A63" s="2" t="s">
        <v>65</v>
      </c>
      <c r="B63" s="1" t="s">
        <v>57</v>
      </c>
      <c r="C63" s="1" t="s">
        <v>66</v>
      </c>
      <c r="D63" s="1" t="s">
        <v>58</v>
      </c>
      <c r="E63" s="1" t="str">
        <f>'CUOTA INDUSTRIAL'!$C$50</f>
        <v>LOTA PROTEIN S.A.</v>
      </c>
      <c r="F63" s="1" t="s">
        <v>61</v>
      </c>
      <c r="G63" s="1" t="s">
        <v>62</v>
      </c>
      <c r="H63" s="3">
        <f>'CUOTA INDUSTRIAL'!E51</f>
        <v>0</v>
      </c>
      <c r="I63" s="3">
        <f>'CUOTA INDUSTRIAL'!F51</f>
        <v>0</v>
      </c>
      <c r="J63" s="3">
        <f>'CUOTA INDUSTRIAL'!G51</f>
        <v>0.14799999999999969</v>
      </c>
      <c r="K63" s="3">
        <f>'CUOTA INDUSTRIAL'!H51</f>
        <v>0</v>
      </c>
      <c r="L63" s="3">
        <f>'CUOTA INDUSTRIAL'!I51</f>
        <v>0.14799999999999969</v>
      </c>
      <c r="M63" s="114">
        <f>'CUOTA INDUSTRIAL'!J51</f>
        <v>0</v>
      </c>
      <c r="N63" s="4" t="s">
        <v>82</v>
      </c>
      <c r="O63" s="5">
        <f>RESUMEN!$B$3</f>
        <v>44452</v>
      </c>
      <c r="P63" s="1">
        <f t="shared" si="0"/>
        <v>2021</v>
      </c>
      <c r="Q63" s="1"/>
    </row>
    <row r="64" spans="1:17">
      <c r="A64" s="2" t="s">
        <v>65</v>
      </c>
      <c r="B64" s="1" t="s">
        <v>57</v>
      </c>
      <c r="C64" s="1" t="s">
        <v>66</v>
      </c>
      <c r="D64" s="1" t="s">
        <v>58</v>
      </c>
      <c r="E64" s="1" t="str">
        <f>'CUOTA INDUSTRIAL'!$C$50</f>
        <v>LOTA PROTEIN S.A.</v>
      </c>
      <c r="F64" s="1" t="s">
        <v>59</v>
      </c>
      <c r="G64" s="1" t="s">
        <v>62</v>
      </c>
      <c r="H64" s="3">
        <f>'CUOTA INDUSTRIAL'!K50</f>
        <v>0</v>
      </c>
      <c r="I64" s="3">
        <f>'CUOTA INDUSTRIAL'!L50</f>
        <v>0.14799999999999969</v>
      </c>
      <c r="J64" s="3">
        <f>'CUOTA INDUSTRIAL'!M50</f>
        <v>0.14799999999999969</v>
      </c>
      <c r="K64" s="3">
        <f>'CUOTA INDUSTRIAL'!N50</f>
        <v>0</v>
      </c>
      <c r="L64" s="3">
        <f>'CUOTA INDUSTRIAL'!O50</f>
        <v>0.14799999999999969</v>
      </c>
      <c r="M64" s="114">
        <f>'CUOTA INDUSTRIAL'!P50</f>
        <v>0</v>
      </c>
      <c r="N64" s="4" t="s">
        <v>82</v>
      </c>
      <c r="O64" s="5">
        <f>RESUMEN!$B$3</f>
        <v>44452</v>
      </c>
      <c r="P64" s="1">
        <f t="shared" si="0"/>
        <v>2021</v>
      </c>
      <c r="Q64" s="1"/>
    </row>
    <row r="65" spans="1:17">
      <c r="A65" s="2" t="s">
        <v>65</v>
      </c>
      <c r="B65" s="1" t="s">
        <v>57</v>
      </c>
      <c r="C65" s="1" t="s">
        <v>66</v>
      </c>
      <c r="D65" s="1" t="s">
        <v>58</v>
      </c>
      <c r="E65" s="1" t="str">
        <f>'CUOTA INDUSTRIAL'!$C$52</f>
        <v>EGS BRAMA AUSTRALIS  SEAFOOD S.A.</v>
      </c>
      <c r="F65" s="1" t="s">
        <v>59</v>
      </c>
      <c r="G65" s="1" t="s">
        <v>60</v>
      </c>
      <c r="H65" s="3">
        <f>'CUOTA INDUSTRIAL'!E52</f>
        <v>0</v>
      </c>
      <c r="I65" s="3">
        <f>'CUOTA INDUSTRIAL'!F52</f>
        <v>0</v>
      </c>
      <c r="J65" s="3">
        <f>'CUOTA INDUSTRIAL'!G52</f>
        <v>0</v>
      </c>
      <c r="K65" s="3">
        <f>'CUOTA INDUSTRIAL'!H52</f>
        <v>0</v>
      </c>
      <c r="L65" s="3">
        <f>'CUOTA INDUSTRIAL'!I52</f>
        <v>0</v>
      </c>
      <c r="M65" s="114" t="e">
        <f>'CUOTA INDUSTRIAL'!J52</f>
        <v>#DIV/0!</v>
      </c>
      <c r="N65" s="4" t="s">
        <v>82</v>
      </c>
      <c r="O65" s="5">
        <f>RESUMEN!$B$3</f>
        <v>44452</v>
      </c>
      <c r="P65" s="1">
        <f t="shared" si="0"/>
        <v>2021</v>
      </c>
      <c r="Q65" s="1"/>
    </row>
    <row r="66" spans="1:17">
      <c r="A66" s="2" t="s">
        <v>65</v>
      </c>
      <c r="B66" s="1" t="s">
        <v>57</v>
      </c>
      <c r="C66" s="1" t="s">
        <v>66</v>
      </c>
      <c r="D66" s="1" t="s">
        <v>58</v>
      </c>
      <c r="E66" s="1" t="str">
        <f>'CUOTA INDUSTRIAL'!$C$52</f>
        <v>EGS BRAMA AUSTRALIS  SEAFOOD S.A.</v>
      </c>
      <c r="F66" s="1" t="s">
        <v>61</v>
      </c>
      <c r="G66" s="1" t="s">
        <v>62</v>
      </c>
      <c r="H66" s="3">
        <f>'CUOTA INDUSTRIAL'!E53</f>
        <v>0</v>
      </c>
      <c r="I66" s="3">
        <f>'CUOTA INDUSTRIAL'!F53</f>
        <v>0</v>
      </c>
      <c r="J66" s="3">
        <f>'CUOTA INDUSTRIAL'!G53</f>
        <v>0</v>
      </c>
      <c r="K66" s="3">
        <f>'CUOTA INDUSTRIAL'!H53</f>
        <v>0</v>
      </c>
      <c r="L66" s="3">
        <f>'CUOTA INDUSTRIAL'!I53</f>
        <v>0</v>
      </c>
      <c r="M66" s="114" t="e">
        <f>'CUOTA INDUSTRIAL'!J53</f>
        <v>#DIV/0!</v>
      </c>
      <c r="N66" s="4" t="s">
        <v>82</v>
      </c>
      <c r="O66" s="5">
        <f>RESUMEN!$B$3</f>
        <v>44452</v>
      </c>
      <c r="P66" s="1">
        <f t="shared" si="0"/>
        <v>2021</v>
      </c>
      <c r="Q66" s="1"/>
    </row>
    <row r="67" spans="1:17">
      <c r="A67" s="2" t="s">
        <v>65</v>
      </c>
      <c r="B67" s="1" t="s">
        <v>57</v>
      </c>
      <c r="C67" s="1" t="s">
        <v>66</v>
      </c>
      <c r="D67" s="1" t="s">
        <v>58</v>
      </c>
      <c r="E67" s="1" t="str">
        <f>'CUOTA INDUSTRIAL'!$C$52</f>
        <v>EGS BRAMA AUSTRALIS  SEAFOOD S.A.</v>
      </c>
      <c r="F67" s="1" t="s">
        <v>59</v>
      </c>
      <c r="G67" s="1" t="s">
        <v>62</v>
      </c>
      <c r="H67" s="3">
        <f>'CUOTA INDUSTRIAL'!K52</f>
        <v>0</v>
      </c>
      <c r="I67" s="3">
        <f>'CUOTA INDUSTRIAL'!L52</f>
        <v>0</v>
      </c>
      <c r="J67" s="3">
        <f>'CUOTA INDUSTRIAL'!M52</f>
        <v>0</v>
      </c>
      <c r="K67" s="3">
        <f>'CUOTA INDUSTRIAL'!N52</f>
        <v>0</v>
      </c>
      <c r="L67" s="3">
        <f>'CUOTA INDUSTRIAL'!O52</f>
        <v>0</v>
      </c>
      <c r="M67" s="114">
        <f>'CUOTA INDUSTRIAL'!P52</f>
        <v>0</v>
      </c>
      <c r="N67" s="4" t="s">
        <v>82</v>
      </c>
      <c r="O67" s="5">
        <f>RESUMEN!$B$3</f>
        <v>44452</v>
      </c>
      <c r="P67" s="1">
        <f t="shared" si="0"/>
        <v>2021</v>
      </c>
      <c r="Q67" s="1"/>
    </row>
    <row r="68" spans="1:17">
      <c r="A68" s="2" t="s">
        <v>65</v>
      </c>
      <c r="B68" s="1" t="s">
        <v>57</v>
      </c>
      <c r="C68" s="1" t="s">
        <v>66</v>
      </c>
      <c r="D68" s="1" t="s">
        <v>58</v>
      </c>
      <c r="E68" s="1" t="str">
        <f>'CUOTA INDUSTRIAL'!C54</f>
        <v>THOR FISHIRIES CHILE SPA</v>
      </c>
      <c r="F68" s="1" t="s">
        <v>59</v>
      </c>
      <c r="G68" s="1" t="s">
        <v>60</v>
      </c>
      <c r="H68" s="3">
        <f>'CUOTA INDUSTRIAL'!E54</f>
        <v>0</v>
      </c>
      <c r="I68" s="3">
        <f>'CUOTA INDUSTRIAL'!F54</f>
        <v>0.14868000000000001</v>
      </c>
      <c r="J68" s="3">
        <f>'CUOTA INDUSTRIAL'!G54</f>
        <v>0.14868000000000001</v>
      </c>
      <c r="K68" s="3">
        <f>'CUOTA INDUSTRIAL'!H54</f>
        <v>0</v>
      </c>
      <c r="L68" s="3">
        <f>'CUOTA INDUSTRIAL'!I54</f>
        <v>0.14868000000000001</v>
      </c>
      <c r="M68" s="114">
        <f>'CUOTA INDUSTRIAL'!J54</f>
        <v>0</v>
      </c>
      <c r="N68" s="4" t="s">
        <v>82</v>
      </c>
      <c r="O68" s="5">
        <f>RESUMEN!$B$3</f>
        <v>44452</v>
      </c>
      <c r="P68" s="1">
        <f t="shared" ref="P68:P70" si="2">YEAR(O68)</f>
        <v>2021</v>
      </c>
      <c r="Q68" s="1"/>
    </row>
    <row r="69" spans="1:17">
      <c r="A69" s="2" t="s">
        <v>65</v>
      </c>
      <c r="B69" s="1" t="s">
        <v>57</v>
      </c>
      <c r="C69" s="1" t="s">
        <v>66</v>
      </c>
      <c r="D69" s="1" t="s">
        <v>58</v>
      </c>
      <c r="E69" s="1" t="str">
        <f>'CUOTA INDUSTRIAL'!C54</f>
        <v>THOR FISHIRIES CHILE SPA</v>
      </c>
      <c r="F69" s="1" t="s">
        <v>61</v>
      </c>
      <c r="G69" s="1" t="s">
        <v>62</v>
      </c>
      <c r="H69" s="3">
        <f>'CUOTA INDUSTRIAL'!E55</f>
        <v>0</v>
      </c>
      <c r="I69" s="3">
        <f>'CUOTA INDUSTRIAL'!F55</f>
        <v>0</v>
      </c>
      <c r="J69" s="3">
        <f>'CUOTA INDUSTRIAL'!G55</f>
        <v>0.14868000000000001</v>
      </c>
      <c r="K69" s="3">
        <f>'CUOTA INDUSTRIAL'!H55</f>
        <v>0</v>
      </c>
      <c r="L69" s="3">
        <f>'CUOTA INDUSTRIAL'!I55</f>
        <v>0.14868000000000001</v>
      </c>
      <c r="M69" s="114">
        <f>'CUOTA INDUSTRIAL'!J55</f>
        <v>0</v>
      </c>
      <c r="N69" s="4" t="s">
        <v>82</v>
      </c>
      <c r="O69" s="5">
        <f>RESUMEN!$B$3</f>
        <v>44452</v>
      </c>
      <c r="P69" s="1">
        <f t="shared" si="2"/>
        <v>2021</v>
      </c>
      <c r="Q69" s="1"/>
    </row>
    <row r="70" spans="1:17">
      <c r="A70" s="2" t="s">
        <v>65</v>
      </c>
      <c r="B70" s="1" t="s">
        <v>57</v>
      </c>
      <c r="C70" s="1" t="s">
        <v>66</v>
      </c>
      <c r="D70" s="1" t="s">
        <v>58</v>
      </c>
      <c r="E70" s="1" t="str">
        <f>'CUOTA INDUSTRIAL'!C54</f>
        <v>THOR FISHIRIES CHILE SPA</v>
      </c>
      <c r="F70" s="1" t="s">
        <v>59</v>
      </c>
      <c r="G70" s="1" t="s">
        <v>62</v>
      </c>
      <c r="H70" s="3">
        <f>'CUOTA INDUSTRIAL'!K54</f>
        <v>0</v>
      </c>
      <c r="I70" s="3">
        <f>'CUOTA INDUSTRIAL'!L54</f>
        <v>0.14868000000000001</v>
      </c>
      <c r="J70" s="3">
        <f>'CUOTA INDUSTRIAL'!M54</f>
        <v>0.14868000000000001</v>
      </c>
      <c r="K70" s="3">
        <f>'CUOTA INDUSTRIAL'!N54</f>
        <v>0</v>
      </c>
      <c r="L70" s="3">
        <f>'CUOTA INDUSTRIAL'!O54</f>
        <v>0.14868000000000001</v>
      </c>
      <c r="M70" s="114">
        <f>'CUOTA INDUSTRIAL'!P54</f>
        <v>0</v>
      </c>
      <c r="N70" s="4" t="s">
        <v>82</v>
      </c>
      <c r="O70" s="5">
        <f>RESUMEN!$B$3</f>
        <v>44452</v>
      </c>
      <c r="P70" s="1">
        <f t="shared" si="2"/>
        <v>2021</v>
      </c>
      <c r="Q70" s="1"/>
    </row>
    <row r="71" spans="1:17">
      <c r="A71" s="2" t="s">
        <v>68</v>
      </c>
      <c r="B71" s="1" t="s">
        <v>57</v>
      </c>
      <c r="C71" s="1" t="s">
        <v>36</v>
      </c>
      <c r="D71" s="1" t="s">
        <v>58</v>
      </c>
      <c r="E71" s="1" t="str">
        <f>+'CUOTA INDUSTRIAL'!C$61</f>
        <v xml:space="preserve">ALIMENTOS MARINOS S.A.    </v>
      </c>
      <c r="F71" s="1" t="s">
        <v>59</v>
      </c>
      <c r="G71" s="1" t="s">
        <v>60</v>
      </c>
      <c r="H71" s="3">
        <f>'CUOTA INDUSTRIAL'!E61</f>
        <v>37504.3416</v>
      </c>
      <c r="I71" s="3">
        <f>'CUOTA INDUSTRIAL'!F61</f>
        <v>6470</v>
      </c>
      <c r="J71" s="3">
        <f>'CUOTA INDUSTRIAL'!G61</f>
        <v>43974.3416</v>
      </c>
      <c r="K71" s="3">
        <f>'CUOTA INDUSTRIAL'!H61</f>
        <v>44656.171999999999</v>
      </c>
      <c r="L71" s="3">
        <f>'CUOTA INDUSTRIAL'!I61</f>
        <v>-681.83039999999892</v>
      </c>
      <c r="M71" s="114">
        <f>'CUOTA INDUSTRIAL'!J61</f>
        <v>1.0155051872340028</v>
      </c>
      <c r="N71" s="4" t="s">
        <v>82</v>
      </c>
      <c r="O71" s="5">
        <f>RESUMEN!$B$3</f>
        <v>44452</v>
      </c>
      <c r="P71" s="1">
        <f t="shared" si="0"/>
        <v>2021</v>
      </c>
      <c r="Q71" s="1"/>
    </row>
    <row r="72" spans="1:17">
      <c r="A72" s="2" t="s">
        <v>68</v>
      </c>
      <c r="B72" s="1" t="s">
        <v>57</v>
      </c>
      <c r="C72" s="1" t="s">
        <v>36</v>
      </c>
      <c r="D72" s="1" t="s">
        <v>58</v>
      </c>
      <c r="E72" s="1" t="str">
        <f>+'CUOTA INDUSTRIAL'!C$61</f>
        <v xml:space="preserve">ALIMENTOS MARINOS S.A.    </v>
      </c>
      <c r="F72" s="1" t="s">
        <v>61</v>
      </c>
      <c r="G72" s="1" t="s">
        <v>62</v>
      </c>
      <c r="H72" s="3">
        <f>'CUOTA INDUSTRIAL'!E62</f>
        <v>765.39959999999996</v>
      </c>
      <c r="I72" s="3">
        <f>'CUOTA INDUSTRIAL'!F62</f>
        <v>0</v>
      </c>
      <c r="J72" s="3">
        <f>'CUOTA INDUSTRIAL'!G62</f>
        <v>83.569200000001047</v>
      </c>
      <c r="K72" s="3">
        <f>'CUOTA INDUSTRIAL'!H62</f>
        <v>0</v>
      </c>
      <c r="L72" s="3">
        <f>'CUOTA INDUSTRIAL'!I62</f>
        <v>83.569200000001047</v>
      </c>
      <c r="M72" s="114">
        <f>'CUOTA INDUSTRIAL'!J62</f>
        <v>0</v>
      </c>
      <c r="N72" s="4" t="s">
        <v>82</v>
      </c>
      <c r="O72" s="5">
        <f>RESUMEN!$B$3</f>
        <v>44452</v>
      </c>
      <c r="P72" s="1">
        <f t="shared" ref="P72:P141" si="3">YEAR(O72)</f>
        <v>2021</v>
      </c>
      <c r="Q72" s="1"/>
    </row>
    <row r="73" spans="1:17">
      <c r="A73" s="2" t="s">
        <v>68</v>
      </c>
      <c r="B73" s="1" t="s">
        <v>57</v>
      </c>
      <c r="C73" s="1" t="s">
        <v>36</v>
      </c>
      <c r="D73" s="1" t="s">
        <v>58</v>
      </c>
      <c r="E73" s="1" t="str">
        <f>+'CUOTA INDUSTRIAL'!C$61</f>
        <v xml:space="preserve">ALIMENTOS MARINOS S.A.    </v>
      </c>
      <c r="F73" s="1" t="s">
        <v>59</v>
      </c>
      <c r="G73" s="1" t="s">
        <v>62</v>
      </c>
      <c r="H73" s="3">
        <f>'CUOTA INDUSTRIAL'!K61</f>
        <v>38269.741199999997</v>
      </c>
      <c r="I73" s="3">
        <f>'CUOTA INDUSTRIAL'!L61</f>
        <v>6470</v>
      </c>
      <c r="J73" s="3">
        <f>'CUOTA INDUSTRIAL'!M61</f>
        <v>44739.741199999997</v>
      </c>
      <c r="K73" s="3">
        <f>'CUOTA INDUSTRIAL'!N61</f>
        <v>44656.171999999999</v>
      </c>
      <c r="L73" s="3">
        <f>'CUOTA INDUSTRIAL'!O61</f>
        <v>83.569199999998091</v>
      </c>
      <c r="M73" s="114">
        <f>'CUOTA INDUSTRIAL'!P61</f>
        <v>0.9981321036340729</v>
      </c>
      <c r="N73" s="4" t="s">
        <v>82</v>
      </c>
      <c r="O73" s="5">
        <f>RESUMEN!$B$3</f>
        <v>44452</v>
      </c>
      <c r="P73" s="1">
        <f t="shared" si="3"/>
        <v>2021</v>
      </c>
      <c r="Q73" s="1"/>
    </row>
    <row r="74" spans="1:17">
      <c r="A74" s="2" t="s">
        <v>68</v>
      </c>
      <c r="B74" s="1" t="s">
        <v>57</v>
      </c>
      <c r="C74" s="1" t="s">
        <v>36</v>
      </c>
      <c r="D74" s="1" t="s">
        <v>58</v>
      </c>
      <c r="E74" s="1" t="str">
        <f>+'CUOTA INDUSTRIAL'!C$63</f>
        <v xml:space="preserve">BLUMAR S.A.             </v>
      </c>
      <c r="F74" s="1" t="s">
        <v>59</v>
      </c>
      <c r="G74" s="1" t="s">
        <v>60</v>
      </c>
      <c r="H74" s="3">
        <f>+'CUOTA INDUSTRIAL'!E63</f>
        <v>64667.462899999999</v>
      </c>
      <c r="I74" s="3">
        <f>+'CUOTA INDUSTRIAL'!F63</f>
        <v>12000</v>
      </c>
      <c r="J74" s="3">
        <f>+'CUOTA INDUSTRIAL'!G63</f>
        <v>76667.462899999999</v>
      </c>
      <c r="K74" s="3">
        <f>+'CUOTA INDUSTRIAL'!H63</f>
        <v>77820.956000000006</v>
      </c>
      <c r="L74" s="3">
        <f>+'CUOTA INDUSTRIAL'!I63</f>
        <v>-1153.493100000007</v>
      </c>
      <c r="M74" s="114">
        <f>+'CUOTA INDUSTRIAL'!J63</f>
        <v>1.0150454059175604</v>
      </c>
      <c r="N74" s="4" t="s">
        <v>82</v>
      </c>
      <c r="O74" s="5">
        <f>RESUMEN!$B$3</f>
        <v>44452</v>
      </c>
      <c r="P74" s="1">
        <f t="shared" si="3"/>
        <v>2021</v>
      </c>
      <c r="Q74" s="1"/>
    </row>
    <row r="75" spans="1:17">
      <c r="A75" s="2" t="s">
        <v>68</v>
      </c>
      <c r="B75" s="1" t="s">
        <v>57</v>
      </c>
      <c r="C75" s="1" t="s">
        <v>36</v>
      </c>
      <c r="D75" s="1" t="s">
        <v>58</v>
      </c>
      <c r="E75" s="1" t="str">
        <f>+'CUOTA INDUSTRIAL'!C$63</f>
        <v xml:space="preserve">BLUMAR S.A.             </v>
      </c>
      <c r="F75" s="1" t="s">
        <v>61</v>
      </c>
      <c r="G75" s="1" t="s">
        <v>62</v>
      </c>
      <c r="H75" s="3">
        <f>+'CUOTA INDUSTRIAL'!E64</f>
        <v>1319.7526</v>
      </c>
      <c r="I75" s="3">
        <f>+'CUOTA INDUSTRIAL'!F64</f>
        <v>0</v>
      </c>
      <c r="J75" s="3">
        <f>+'CUOTA INDUSTRIAL'!G64</f>
        <v>166.25949999999307</v>
      </c>
      <c r="K75" s="3">
        <f>+'CUOTA INDUSTRIAL'!H64</f>
        <v>0</v>
      </c>
      <c r="L75" s="3">
        <f>+'CUOTA INDUSTRIAL'!I64</f>
        <v>166.25949999999307</v>
      </c>
      <c r="M75" s="114">
        <f>+'CUOTA INDUSTRIAL'!J64</f>
        <v>0</v>
      </c>
      <c r="N75" s="4" t="s">
        <v>82</v>
      </c>
      <c r="O75" s="5">
        <f>RESUMEN!$B$3</f>
        <v>44452</v>
      </c>
      <c r="P75" s="1">
        <f t="shared" si="3"/>
        <v>2021</v>
      </c>
      <c r="Q75" s="1"/>
    </row>
    <row r="76" spans="1:17">
      <c r="A76" s="2" t="s">
        <v>68</v>
      </c>
      <c r="B76" s="1" t="s">
        <v>57</v>
      </c>
      <c r="C76" s="1" t="s">
        <v>36</v>
      </c>
      <c r="D76" s="1" t="s">
        <v>58</v>
      </c>
      <c r="E76" s="1" t="str">
        <f>+'CUOTA INDUSTRIAL'!C$63</f>
        <v xml:space="preserve">BLUMAR S.A.             </v>
      </c>
      <c r="F76" s="1" t="s">
        <v>59</v>
      </c>
      <c r="G76" s="1" t="s">
        <v>62</v>
      </c>
      <c r="H76" s="3">
        <f>'CUOTA INDUSTRIAL'!K63</f>
        <v>65987.215500000006</v>
      </c>
      <c r="I76" s="3">
        <f>'CUOTA INDUSTRIAL'!L63</f>
        <v>12000</v>
      </c>
      <c r="J76" s="3">
        <f>'CUOTA INDUSTRIAL'!M63</f>
        <v>77987.215500000006</v>
      </c>
      <c r="K76" s="3">
        <f>'CUOTA INDUSTRIAL'!N63</f>
        <v>77820.956000000006</v>
      </c>
      <c r="L76" s="3">
        <f>'CUOTA INDUSTRIAL'!O63</f>
        <v>166.25950000000012</v>
      </c>
      <c r="M76" s="114">
        <f>'CUOTA INDUSTRIAL'!P63</f>
        <v>0.99786811852514468</v>
      </c>
      <c r="N76" s="4" t="s">
        <v>82</v>
      </c>
      <c r="O76" s="5">
        <f>RESUMEN!$B$3</f>
        <v>44452</v>
      </c>
      <c r="P76" s="1">
        <f t="shared" si="3"/>
        <v>2021</v>
      </c>
      <c r="Q76" s="1"/>
    </row>
    <row r="77" spans="1:17">
      <c r="A77" s="2" t="s">
        <v>68</v>
      </c>
      <c r="B77" s="1" t="s">
        <v>57</v>
      </c>
      <c r="C77" s="1" t="s">
        <v>36</v>
      </c>
      <c r="D77" s="1" t="s">
        <v>58</v>
      </c>
      <c r="E77" s="1" t="str">
        <f>+'CUOTA INDUSTRIAL'!C$65</f>
        <v>CAMANCHACA PESCA SUR S.A.</v>
      </c>
      <c r="F77" s="1" t="s">
        <v>59</v>
      </c>
      <c r="G77" s="1" t="s">
        <v>60</v>
      </c>
      <c r="H77" s="3">
        <f>+'CUOTA INDUSTRIAL'!E65</f>
        <v>52173.892500000002</v>
      </c>
      <c r="I77" s="3">
        <f>+'CUOTA INDUSTRIAL'!F65</f>
        <v>10271.535879999999</v>
      </c>
      <c r="J77" s="3">
        <f>+'CUOTA INDUSTRIAL'!G65</f>
        <v>62445.428379999998</v>
      </c>
      <c r="K77" s="3">
        <f>+'CUOTA INDUSTRIAL'!H65</f>
        <v>62829.144999999997</v>
      </c>
      <c r="L77" s="3">
        <f>+'CUOTA INDUSTRIAL'!I65</f>
        <v>-383.71661999999924</v>
      </c>
      <c r="M77" s="114">
        <f>+'CUOTA INDUSTRIAL'!J65</f>
        <v>1.0061448312543388</v>
      </c>
      <c r="N77" s="4" t="s">
        <v>82</v>
      </c>
      <c r="O77" s="5">
        <f>RESUMEN!$B$3</f>
        <v>44452</v>
      </c>
      <c r="P77" s="1">
        <f t="shared" si="3"/>
        <v>2021</v>
      </c>
      <c r="Q77" s="1"/>
    </row>
    <row r="78" spans="1:17">
      <c r="A78" s="2" t="s">
        <v>68</v>
      </c>
      <c r="B78" s="1" t="s">
        <v>57</v>
      </c>
      <c r="C78" s="1" t="s">
        <v>36</v>
      </c>
      <c r="D78" s="1" t="s">
        <v>58</v>
      </c>
      <c r="E78" s="1" t="str">
        <f>+'CUOTA INDUSTRIAL'!C$65</f>
        <v>CAMANCHACA PESCA SUR S.A.</v>
      </c>
      <c r="F78" s="1" t="s">
        <v>61</v>
      </c>
      <c r="G78" s="1" t="s">
        <v>62</v>
      </c>
      <c r="H78" s="3">
        <f>'CUOTA INDUSTRIAL'!E66</f>
        <v>1064.7800999999999</v>
      </c>
      <c r="I78" s="3">
        <f>'CUOTA INDUSTRIAL'!F66</f>
        <v>0</v>
      </c>
      <c r="J78" s="3">
        <f>'CUOTA INDUSTRIAL'!G66</f>
        <v>681.06348000000071</v>
      </c>
      <c r="K78" s="3">
        <f>'CUOTA INDUSTRIAL'!H66</f>
        <v>0</v>
      </c>
      <c r="L78" s="3">
        <f>'CUOTA INDUSTRIAL'!I66</f>
        <v>681.06348000000071</v>
      </c>
      <c r="M78" s="114">
        <f>'CUOTA INDUSTRIAL'!J66</f>
        <v>0</v>
      </c>
      <c r="N78" s="4" t="s">
        <v>82</v>
      </c>
      <c r="O78" s="5">
        <f>RESUMEN!$B$3</f>
        <v>44452</v>
      </c>
      <c r="P78" s="1">
        <f t="shared" si="3"/>
        <v>2021</v>
      </c>
      <c r="Q78" s="1"/>
    </row>
    <row r="79" spans="1:17">
      <c r="A79" s="2" t="s">
        <v>68</v>
      </c>
      <c r="B79" s="1" t="s">
        <v>57</v>
      </c>
      <c r="C79" s="1" t="s">
        <v>36</v>
      </c>
      <c r="D79" s="1" t="s">
        <v>58</v>
      </c>
      <c r="E79" s="1" t="str">
        <f>+'CUOTA INDUSTRIAL'!C$65</f>
        <v>CAMANCHACA PESCA SUR S.A.</v>
      </c>
      <c r="F79" s="1" t="s">
        <v>59</v>
      </c>
      <c r="G79" s="1" t="s">
        <v>62</v>
      </c>
      <c r="H79" s="3">
        <f>'CUOTA INDUSTRIAL'!K65</f>
        <v>53238.672600000005</v>
      </c>
      <c r="I79" s="3">
        <f>'CUOTA INDUSTRIAL'!L65</f>
        <v>10271.535879999999</v>
      </c>
      <c r="J79" s="3">
        <f>'CUOTA INDUSTRIAL'!M65</f>
        <v>63510.208480000001</v>
      </c>
      <c r="K79" s="3">
        <f>'CUOTA INDUSTRIAL'!N65</f>
        <v>62829.144999999997</v>
      </c>
      <c r="L79" s="3">
        <f>'CUOTA INDUSTRIAL'!O65</f>
        <v>681.06348000000435</v>
      </c>
      <c r="M79" s="114">
        <f>'CUOTA INDUSTRIAL'!P65</f>
        <v>0.98927631484292045</v>
      </c>
      <c r="N79" s="4" t="s">
        <v>82</v>
      </c>
      <c r="O79" s="5">
        <f>RESUMEN!$B$3</f>
        <v>44452</v>
      </c>
      <c r="P79" s="1">
        <f t="shared" si="3"/>
        <v>2021</v>
      </c>
      <c r="Q79" s="1"/>
    </row>
    <row r="80" spans="1:17">
      <c r="A80" s="2" t="s">
        <v>68</v>
      </c>
      <c r="B80" s="1" t="s">
        <v>57</v>
      </c>
      <c r="C80" s="1" t="s">
        <v>36</v>
      </c>
      <c r="D80" s="1" t="s">
        <v>58</v>
      </c>
      <c r="E80" s="1" t="str">
        <f>+'CUOTA INDUSTRIAL'!C$67</f>
        <v>CAMANCHACA S.A.</v>
      </c>
      <c r="F80" s="1" t="s">
        <v>59</v>
      </c>
      <c r="G80" s="1" t="s">
        <v>60</v>
      </c>
      <c r="H80" s="3">
        <f>+'CUOTA INDUSTRIAL'!E67</f>
        <v>1868.1311000000001</v>
      </c>
      <c r="I80" s="3">
        <f>+'CUOTA INDUSTRIAL'!F67</f>
        <v>-1906.2562800000001</v>
      </c>
      <c r="J80" s="3">
        <f>+'CUOTA INDUSTRIAL'!G67</f>
        <v>-38.12518</v>
      </c>
      <c r="K80" s="3">
        <f>+'CUOTA INDUSTRIAL'!H67</f>
        <v>0</v>
      </c>
      <c r="L80" s="3">
        <f>+'CUOTA INDUSTRIAL'!I67</f>
        <v>-38.12518</v>
      </c>
      <c r="M80" s="114">
        <f>+'CUOTA INDUSTRIAL'!J67</f>
        <v>0</v>
      </c>
      <c r="N80" s="4" t="s">
        <v>82</v>
      </c>
      <c r="O80" s="5">
        <f>RESUMEN!$B$3</f>
        <v>44452</v>
      </c>
      <c r="P80" s="1">
        <f t="shared" si="3"/>
        <v>2021</v>
      </c>
      <c r="Q80" s="1"/>
    </row>
    <row r="81" spans="1:17">
      <c r="A81" s="2" t="s">
        <v>68</v>
      </c>
      <c r="B81" s="1" t="s">
        <v>57</v>
      </c>
      <c r="C81" s="1" t="s">
        <v>36</v>
      </c>
      <c r="D81" s="1" t="s">
        <v>58</v>
      </c>
      <c r="E81" s="1" t="str">
        <f>+'CUOTA INDUSTRIAL'!C$67</f>
        <v>CAMANCHACA S.A.</v>
      </c>
      <c r="F81" s="1" t="s">
        <v>61</v>
      </c>
      <c r="G81" s="1" t="s">
        <v>62</v>
      </c>
      <c r="H81" s="3">
        <f>'CUOTA INDUSTRIAL'!E68</f>
        <v>38.125399999999999</v>
      </c>
      <c r="I81" s="3">
        <f>'CUOTA INDUSTRIAL'!F68</f>
        <v>0</v>
      </c>
      <c r="J81" s="3">
        <f>'CUOTA INDUSTRIAL'!G68</f>
        <v>2.1999999999877673E-4</v>
      </c>
      <c r="K81" s="3">
        <f>'CUOTA INDUSTRIAL'!H68</f>
        <v>0</v>
      </c>
      <c r="L81" s="3">
        <f>'CUOTA INDUSTRIAL'!I68</f>
        <v>2.1999999999877673E-4</v>
      </c>
      <c r="M81" s="114">
        <f>'CUOTA INDUSTRIAL'!J68</f>
        <v>0</v>
      </c>
      <c r="N81" s="4" t="s">
        <v>82</v>
      </c>
      <c r="O81" s="5">
        <f>RESUMEN!$B$3</f>
        <v>44452</v>
      </c>
      <c r="P81" s="1">
        <f t="shared" si="3"/>
        <v>2021</v>
      </c>
      <c r="Q81" s="1"/>
    </row>
    <row r="82" spans="1:17">
      <c r="A82" s="2" t="s">
        <v>68</v>
      </c>
      <c r="B82" s="1" t="s">
        <v>57</v>
      </c>
      <c r="C82" s="1" t="s">
        <v>36</v>
      </c>
      <c r="D82" s="1" t="s">
        <v>58</v>
      </c>
      <c r="E82" s="1" t="str">
        <f>+'CUOTA INDUSTRIAL'!C$67</f>
        <v>CAMANCHACA S.A.</v>
      </c>
      <c r="F82" s="1" t="s">
        <v>59</v>
      </c>
      <c r="G82" s="1" t="s">
        <v>62</v>
      </c>
      <c r="H82" s="3">
        <f>'CUOTA INDUSTRIAL'!K67</f>
        <v>1906.2565</v>
      </c>
      <c r="I82" s="3">
        <f>'CUOTA INDUSTRIAL'!L67</f>
        <v>-1906.2562800000001</v>
      </c>
      <c r="J82" s="3">
        <f>'CUOTA INDUSTRIAL'!M67</f>
        <v>2.1999999989930075E-4</v>
      </c>
      <c r="K82" s="3">
        <f>'CUOTA INDUSTRIAL'!N67</f>
        <v>0</v>
      </c>
      <c r="L82" s="3">
        <f>'CUOTA INDUSTRIAL'!O67</f>
        <v>2.1999999989930075E-4</v>
      </c>
      <c r="M82" s="114">
        <f>'CUOTA INDUSTRIAL'!P67</f>
        <v>0</v>
      </c>
      <c r="N82" s="4" t="s">
        <v>82</v>
      </c>
      <c r="O82" s="5">
        <f>RESUMEN!$B$3</f>
        <v>44452</v>
      </c>
      <c r="P82" s="1">
        <f t="shared" si="3"/>
        <v>2021</v>
      </c>
      <c r="Q82" s="1"/>
    </row>
    <row r="83" spans="1:17">
      <c r="A83" s="2" t="s">
        <v>68</v>
      </c>
      <c r="B83" s="1" t="s">
        <v>57</v>
      </c>
      <c r="C83" s="1" t="s">
        <v>36</v>
      </c>
      <c r="D83" s="1" t="s">
        <v>58</v>
      </c>
      <c r="E83" s="1" t="str">
        <f>+'CUOTA INDUSTRIAL'!C$69</f>
        <v xml:space="preserve">LITORAL SpA PESQ   </v>
      </c>
      <c r="F83" s="1" t="s">
        <v>59</v>
      </c>
      <c r="G83" s="1" t="s">
        <v>60</v>
      </c>
      <c r="H83" s="3">
        <f>+'CUOTA INDUSTRIAL'!E69</f>
        <v>16900.0432</v>
      </c>
      <c r="I83" s="3">
        <f>+'CUOTA INDUSTRIAL'!F69</f>
        <v>3309.0149999999999</v>
      </c>
      <c r="J83" s="3">
        <f>+'CUOTA INDUSTRIAL'!G69</f>
        <v>20209.058199999999</v>
      </c>
      <c r="K83" s="3">
        <f>+'CUOTA INDUSTRIAL'!H69</f>
        <v>20560.923999999999</v>
      </c>
      <c r="L83" s="3">
        <f>+'CUOTA INDUSTRIAL'!I69</f>
        <v>-351.86579999999958</v>
      </c>
      <c r="M83" s="114">
        <f>+'CUOTA INDUSTRIAL'!J69</f>
        <v>1.0174112913386533</v>
      </c>
      <c r="N83" s="4" t="s">
        <v>82</v>
      </c>
      <c r="O83" s="5">
        <f>RESUMEN!$B$3</f>
        <v>44452</v>
      </c>
      <c r="P83" s="1">
        <f t="shared" si="3"/>
        <v>2021</v>
      </c>
      <c r="Q83" s="1"/>
    </row>
    <row r="84" spans="1:17">
      <c r="A84" s="2" t="s">
        <v>68</v>
      </c>
      <c r="B84" s="1" t="s">
        <v>57</v>
      </c>
      <c r="C84" s="1" t="s">
        <v>36</v>
      </c>
      <c r="D84" s="1" t="s">
        <v>58</v>
      </c>
      <c r="E84" s="1" t="str">
        <f>+'CUOTA INDUSTRIAL'!C$69</f>
        <v xml:space="preserve">LITORAL SpA PESQ   </v>
      </c>
      <c r="F84" s="1" t="s">
        <v>61</v>
      </c>
      <c r="G84" s="1" t="s">
        <v>62</v>
      </c>
      <c r="H84" s="3">
        <f>+'CUOTA INDUSTRIAL'!E70</f>
        <v>344.90100000000001</v>
      </c>
      <c r="I84" s="3">
        <f>+'CUOTA INDUSTRIAL'!F70</f>
        <v>0</v>
      </c>
      <c r="J84" s="3">
        <f>+'CUOTA INDUSTRIAL'!G70</f>
        <v>-6.9647999999995704</v>
      </c>
      <c r="K84" s="3">
        <f>+'CUOTA INDUSTRIAL'!H70</f>
        <v>0</v>
      </c>
      <c r="L84" s="3">
        <f>+'CUOTA INDUSTRIAL'!I70</f>
        <v>-6.9647999999995704</v>
      </c>
      <c r="M84" s="114">
        <f>+'CUOTA INDUSTRIAL'!J70</f>
        <v>0</v>
      </c>
      <c r="N84" s="4" t="s">
        <v>82</v>
      </c>
      <c r="O84" s="5">
        <f>RESUMEN!$B$3</f>
        <v>44452</v>
      </c>
      <c r="P84" s="1">
        <f t="shared" si="3"/>
        <v>2021</v>
      </c>
      <c r="Q84" s="1"/>
    </row>
    <row r="85" spans="1:17">
      <c r="A85" s="2" t="s">
        <v>68</v>
      </c>
      <c r="B85" s="1" t="s">
        <v>57</v>
      </c>
      <c r="C85" s="1" t="s">
        <v>36</v>
      </c>
      <c r="D85" s="1" t="s">
        <v>58</v>
      </c>
      <c r="E85" s="1" t="str">
        <f>+'CUOTA INDUSTRIAL'!C$69</f>
        <v xml:space="preserve">LITORAL SpA PESQ   </v>
      </c>
      <c r="F85" s="1" t="s">
        <v>59</v>
      </c>
      <c r="G85" s="1" t="s">
        <v>62</v>
      </c>
      <c r="H85" s="3">
        <f>'CUOTA INDUSTRIAL'!K69</f>
        <v>17244.944200000002</v>
      </c>
      <c r="I85" s="3">
        <f>'CUOTA INDUSTRIAL'!L69</f>
        <v>3309.0149999999999</v>
      </c>
      <c r="J85" s="3">
        <f>'CUOTA INDUSTRIAL'!M69</f>
        <v>20553.959200000001</v>
      </c>
      <c r="K85" s="3">
        <f>'CUOTA INDUSTRIAL'!N69</f>
        <v>20560.923999999999</v>
      </c>
      <c r="L85" s="3">
        <f>'CUOTA INDUSTRIAL'!O69</f>
        <v>-6.964799999997922</v>
      </c>
      <c r="M85" s="114">
        <f>'CUOTA INDUSTRIAL'!P69</f>
        <v>1.0003388544237257</v>
      </c>
      <c r="N85" s="4" t="s">
        <v>82</v>
      </c>
      <c r="O85" s="5">
        <f>RESUMEN!$B$3</f>
        <v>44452</v>
      </c>
      <c r="P85" s="1">
        <f t="shared" si="3"/>
        <v>2021</v>
      </c>
      <c r="Q85" s="1"/>
    </row>
    <row r="86" spans="1:17">
      <c r="A86" s="2" t="s">
        <v>68</v>
      </c>
      <c r="B86" s="1" t="s">
        <v>57</v>
      </c>
      <c r="C86" s="1" t="s">
        <v>36</v>
      </c>
      <c r="D86" s="1" t="s">
        <v>58</v>
      </c>
      <c r="E86" s="1" t="str">
        <f>+'CUOTA INDUSTRIAL'!C$71</f>
        <v xml:space="preserve">FOODCORP CHILE S.A.   </v>
      </c>
      <c r="F86" s="1" t="s">
        <v>59</v>
      </c>
      <c r="G86" s="1" t="s">
        <v>60</v>
      </c>
      <c r="H86" s="3">
        <f>+'CUOTA INDUSTRIAL'!E71</f>
        <v>32060.671200000001</v>
      </c>
      <c r="I86" s="3">
        <f>+'CUOTA INDUSTRIAL'!F71</f>
        <v>7039.88</v>
      </c>
      <c r="J86" s="3">
        <f>+'CUOTA INDUSTRIAL'!G71</f>
        <v>39100.551200000002</v>
      </c>
      <c r="K86" s="3">
        <f>+'CUOTA INDUSTRIAL'!H71</f>
        <v>39750.811999999998</v>
      </c>
      <c r="L86" s="3">
        <f>+'CUOTA INDUSTRIAL'!I71</f>
        <v>-650.26079999999638</v>
      </c>
      <c r="M86" s="114">
        <f>+'CUOTA INDUSTRIAL'!J71</f>
        <v>1.0166304765545096</v>
      </c>
      <c r="N86" s="4" t="s">
        <v>82</v>
      </c>
      <c r="O86" s="5">
        <f>RESUMEN!$B$3</f>
        <v>44452</v>
      </c>
      <c r="P86" s="1">
        <f t="shared" si="3"/>
        <v>2021</v>
      </c>
      <c r="Q86" s="1"/>
    </row>
    <row r="87" spans="1:17">
      <c r="A87" s="2" t="s">
        <v>68</v>
      </c>
      <c r="B87" s="1" t="s">
        <v>57</v>
      </c>
      <c r="C87" s="1" t="s">
        <v>36</v>
      </c>
      <c r="D87" s="1" t="s">
        <v>58</v>
      </c>
      <c r="E87" s="1" t="str">
        <f>+'CUOTA INDUSTRIAL'!C$71</f>
        <v xml:space="preserve">FOODCORP CHILE S.A.   </v>
      </c>
      <c r="F87" s="1" t="s">
        <v>61</v>
      </c>
      <c r="G87" s="1" t="s">
        <v>62</v>
      </c>
      <c r="H87" s="3">
        <f>'CUOTA INDUSTRIAL'!E72</f>
        <v>654.30359999999996</v>
      </c>
      <c r="I87" s="3">
        <f>'CUOTA INDUSTRIAL'!F72</f>
        <v>0</v>
      </c>
      <c r="J87" s="3">
        <f>'CUOTA INDUSTRIAL'!G72</f>
        <v>4.0428000000035809</v>
      </c>
      <c r="K87" s="3">
        <f>'CUOTA INDUSTRIAL'!H72</f>
        <v>0</v>
      </c>
      <c r="L87" s="3">
        <f>'CUOTA INDUSTRIAL'!I72</f>
        <v>4.0428000000035809</v>
      </c>
      <c r="M87" s="114">
        <f>'CUOTA INDUSTRIAL'!J72</f>
        <v>0</v>
      </c>
      <c r="N87" s="4" t="s">
        <v>82</v>
      </c>
      <c r="O87" s="5">
        <f>RESUMEN!$B$3</f>
        <v>44452</v>
      </c>
      <c r="P87" s="1">
        <f t="shared" si="3"/>
        <v>2021</v>
      </c>
      <c r="Q87" s="1"/>
    </row>
    <row r="88" spans="1:17">
      <c r="A88" s="2" t="s">
        <v>68</v>
      </c>
      <c r="B88" s="1" t="s">
        <v>57</v>
      </c>
      <c r="C88" s="1" t="s">
        <v>36</v>
      </c>
      <c r="D88" s="1" t="s">
        <v>58</v>
      </c>
      <c r="E88" s="1" t="str">
        <f>+'CUOTA INDUSTRIAL'!C$71</f>
        <v xml:space="preserve">FOODCORP CHILE S.A.   </v>
      </c>
      <c r="F88" s="1" t="s">
        <v>59</v>
      </c>
      <c r="G88" s="1" t="s">
        <v>62</v>
      </c>
      <c r="H88" s="3">
        <f>'CUOTA INDUSTRIAL'!K71</f>
        <v>32714.9748</v>
      </c>
      <c r="I88" s="3">
        <f>'CUOTA INDUSTRIAL'!L71</f>
        <v>7039.88</v>
      </c>
      <c r="J88" s="3">
        <f>'CUOTA INDUSTRIAL'!M71</f>
        <v>39754.854800000001</v>
      </c>
      <c r="K88" s="3">
        <f>'CUOTA INDUSTRIAL'!N71</f>
        <v>39750.811999999998</v>
      </c>
      <c r="L88" s="3">
        <f>'CUOTA INDUSTRIAL'!O71</f>
        <v>4.0428000000028987</v>
      </c>
      <c r="M88" s="114">
        <f>'CUOTA INDUSTRIAL'!P71</f>
        <v>0.99989830675975699</v>
      </c>
      <c r="N88" s="4" t="s">
        <v>82</v>
      </c>
      <c r="O88" s="5">
        <f>RESUMEN!$B$3</f>
        <v>44452</v>
      </c>
      <c r="P88" s="1">
        <f t="shared" si="3"/>
        <v>2021</v>
      </c>
      <c r="Q88" s="1"/>
    </row>
    <row r="89" spans="1:17">
      <c r="A89" s="2" t="s">
        <v>68</v>
      </c>
      <c r="B89" s="1" t="s">
        <v>57</v>
      </c>
      <c r="C89" s="1" t="s">
        <v>36</v>
      </c>
      <c r="D89" s="1" t="s">
        <v>58</v>
      </c>
      <c r="E89" s="1" t="str">
        <f>+'CUOTA INDUSTRIAL'!C$73</f>
        <v>ISLA QUIHUA S.A. PESQ.</v>
      </c>
      <c r="F89" s="1" t="s">
        <v>59</v>
      </c>
      <c r="G89" s="1" t="s">
        <v>60</v>
      </c>
      <c r="H89" s="3">
        <f>+'CUOTA INDUSTRIAL'!E73</f>
        <v>2.6568000000000001</v>
      </c>
      <c r="I89" s="3">
        <f>+'CUOTA INDUSTRIAL'!F73</f>
        <v>0</v>
      </c>
      <c r="J89" s="3">
        <f>+'CUOTA INDUSTRIAL'!G73</f>
        <v>2.6568000000000001</v>
      </c>
      <c r="K89" s="3">
        <f>+'CUOTA INDUSTRIAL'!H73</f>
        <v>0</v>
      </c>
      <c r="L89" s="3">
        <f>+'CUOTA INDUSTRIAL'!I73</f>
        <v>2.6568000000000001</v>
      </c>
      <c r="M89" s="114">
        <f>+'CUOTA INDUSTRIAL'!J73</f>
        <v>0</v>
      </c>
      <c r="N89" s="4" t="s">
        <v>82</v>
      </c>
      <c r="O89" s="5">
        <f>RESUMEN!$B$3</f>
        <v>44452</v>
      </c>
      <c r="P89" s="1">
        <f t="shared" si="3"/>
        <v>2021</v>
      </c>
      <c r="Q89" s="1"/>
    </row>
    <row r="90" spans="1:17">
      <c r="A90" s="2" t="s">
        <v>68</v>
      </c>
      <c r="B90" s="1" t="s">
        <v>57</v>
      </c>
      <c r="C90" s="1" t="s">
        <v>36</v>
      </c>
      <c r="D90" s="1" t="s">
        <v>58</v>
      </c>
      <c r="E90" s="1" t="str">
        <f>+'CUOTA INDUSTRIAL'!C$73</f>
        <v>ISLA QUIHUA S.A. PESQ.</v>
      </c>
      <c r="F90" s="1" t="s">
        <v>61</v>
      </c>
      <c r="G90" s="1" t="s">
        <v>62</v>
      </c>
      <c r="H90" s="3">
        <f>'CUOTA INDUSTRIAL'!E74</f>
        <v>5.4199999999999998E-2</v>
      </c>
      <c r="I90" s="3">
        <f>'CUOTA INDUSTRIAL'!F74</f>
        <v>0</v>
      </c>
      <c r="J90" s="3">
        <f>'CUOTA INDUSTRIAL'!G74</f>
        <v>2.7109999999999999</v>
      </c>
      <c r="K90" s="3">
        <f>'CUOTA INDUSTRIAL'!H74</f>
        <v>0</v>
      </c>
      <c r="L90" s="3">
        <f>'CUOTA INDUSTRIAL'!I74</f>
        <v>2.7109999999999999</v>
      </c>
      <c r="M90" s="114">
        <f>'CUOTA INDUSTRIAL'!J74</f>
        <v>0</v>
      </c>
      <c r="N90" s="4" t="s">
        <v>82</v>
      </c>
      <c r="O90" s="5">
        <f>RESUMEN!$B$3</f>
        <v>44452</v>
      </c>
      <c r="P90" s="1">
        <f t="shared" si="3"/>
        <v>2021</v>
      </c>
      <c r="Q90" s="1"/>
    </row>
    <row r="91" spans="1:17">
      <c r="A91" s="2" t="s">
        <v>68</v>
      </c>
      <c r="B91" s="1" t="s">
        <v>57</v>
      </c>
      <c r="C91" s="1" t="s">
        <v>36</v>
      </c>
      <c r="D91" s="1" t="s">
        <v>58</v>
      </c>
      <c r="E91" s="1" t="str">
        <f>+'CUOTA INDUSTRIAL'!C$73</f>
        <v>ISLA QUIHUA S.A. PESQ.</v>
      </c>
      <c r="F91" s="1" t="s">
        <v>59</v>
      </c>
      <c r="G91" s="1" t="s">
        <v>62</v>
      </c>
      <c r="H91" s="3">
        <f>'CUOTA INDUSTRIAL'!K73</f>
        <v>2.7109999999999999</v>
      </c>
      <c r="I91" s="3">
        <f>'CUOTA INDUSTRIAL'!L73</f>
        <v>0</v>
      </c>
      <c r="J91" s="3">
        <f>'CUOTA INDUSTRIAL'!M73</f>
        <v>2.7109999999999999</v>
      </c>
      <c r="K91" s="3">
        <f>'CUOTA INDUSTRIAL'!N73</f>
        <v>0</v>
      </c>
      <c r="L91" s="3">
        <f>'CUOTA INDUSTRIAL'!O73</f>
        <v>2.7109999999999999</v>
      </c>
      <c r="M91" s="114">
        <f>'CUOTA INDUSTRIAL'!P73</f>
        <v>0</v>
      </c>
      <c r="N91" s="4" t="s">
        <v>82</v>
      </c>
      <c r="O91" s="5">
        <f>RESUMEN!$B$3</f>
        <v>44452</v>
      </c>
      <c r="P91" s="1">
        <f t="shared" si="3"/>
        <v>2021</v>
      </c>
      <c r="Q91" s="1"/>
    </row>
    <row r="92" spans="1:17">
      <c r="A92" s="2" t="s">
        <v>68</v>
      </c>
      <c r="B92" s="1" t="s">
        <v>57</v>
      </c>
      <c r="C92" s="1" t="s">
        <v>36</v>
      </c>
      <c r="D92" s="1" t="s">
        <v>58</v>
      </c>
      <c r="E92" s="1" t="str">
        <f>+'CUOTA INDUSTRIAL'!C$75</f>
        <v xml:space="preserve">LANDES S.A. SOC. PESQ.      </v>
      </c>
      <c r="F92" s="1" t="s">
        <v>59</v>
      </c>
      <c r="G92" s="1" t="s">
        <v>60</v>
      </c>
      <c r="H92" s="3">
        <f>+'CUOTA INDUSTRIAL'!E75</f>
        <v>24713.3305</v>
      </c>
      <c r="I92" s="3">
        <f>+'CUOTA INDUSTRIAL'!F75</f>
        <v>10741.990999999998</v>
      </c>
      <c r="J92" s="3">
        <f>+'CUOTA INDUSTRIAL'!G75</f>
        <v>35455.321499999998</v>
      </c>
      <c r="K92" s="3">
        <f>+'CUOTA INDUSTRIAL'!H75</f>
        <v>35325.097000000002</v>
      </c>
      <c r="L92" s="3">
        <f>+'CUOTA INDUSTRIAL'!I75</f>
        <v>130.22449999999662</v>
      </c>
      <c r="M92" s="114">
        <f>+'CUOTA INDUSTRIAL'!J75</f>
        <v>0.99632708167658279</v>
      </c>
      <c r="N92" s="4" t="s">
        <v>82</v>
      </c>
      <c r="O92" s="5">
        <f>RESUMEN!$B$3</f>
        <v>44452</v>
      </c>
      <c r="P92" s="1">
        <f t="shared" si="3"/>
        <v>2021</v>
      </c>
      <c r="Q92" s="1"/>
    </row>
    <row r="93" spans="1:17">
      <c r="A93" s="2" t="s">
        <v>68</v>
      </c>
      <c r="B93" s="1" t="s">
        <v>57</v>
      </c>
      <c r="C93" s="1" t="s">
        <v>36</v>
      </c>
      <c r="D93" s="1" t="s">
        <v>58</v>
      </c>
      <c r="E93" s="1" t="str">
        <f>+'CUOTA INDUSTRIAL'!C$75</f>
        <v xml:space="preserve">LANDES S.A. SOC. PESQ.      </v>
      </c>
      <c r="F93" s="1" t="s">
        <v>61</v>
      </c>
      <c r="G93" s="1" t="s">
        <v>62</v>
      </c>
      <c r="H93" s="3">
        <f>+'CUOTA INDUSTRIAL'!E76</f>
        <v>504.3569</v>
      </c>
      <c r="I93" s="3">
        <f>+'CUOTA INDUSTRIAL'!F76</f>
        <v>0</v>
      </c>
      <c r="J93" s="3">
        <f>+'CUOTA INDUSTRIAL'!G76</f>
        <v>634.58139999999662</v>
      </c>
      <c r="K93" s="3">
        <f>+'CUOTA INDUSTRIAL'!H76</f>
        <v>0</v>
      </c>
      <c r="L93" s="3">
        <f>+'CUOTA INDUSTRIAL'!I76</f>
        <v>634.58139999999662</v>
      </c>
      <c r="M93" s="114">
        <f>+'CUOTA INDUSTRIAL'!J76</f>
        <v>0</v>
      </c>
      <c r="N93" s="4" t="s">
        <v>82</v>
      </c>
      <c r="O93" s="5">
        <f>RESUMEN!$B$3</f>
        <v>44452</v>
      </c>
      <c r="P93" s="1">
        <f t="shared" si="3"/>
        <v>2021</v>
      </c>
      <c r="Q93" s="1"/>
    </row>
    <row r="94" spans="1:17">
      <c r="A94" s="2" t="s">
        <v>68</v>
      </c>
      <c r="B94" s="1" t="s">
        <v>57</v>
      </c>
      <c r="C94" s="1" t="s">
        <v>36</v>
      </c>
      <c r="D94" s="1" t="s">
        <v>58</v>
      </c>
      <c r="E94" s="1" t="str">
        <f>+'CUOTA INDUSTRIAL'!C$75</f>
        <v xml:space="preserve">LANDES S.A. SOC. PESQ.      </v>
      </c>
      <c r="F94" s="1" t="s">
        <v>59</v>
      </c>
      <c r="G94" s="1" t="s">
        <v>62</v>
      </c>
      <c r="H94" s="3">
        <f>'CUOTA INDUSTRIAL'!K75</f>
        <v>25217.687399999999</v>
      </c>
      <c r="I94" s="3">
        <f>'CUOTA INDUSTRIAL'!L75</f>
        <v>10741.990999999998</v>
      </c>
      <c r="J94" s="3">
        <f>'CUOTA INDUSTRIAL'!M75</f>
        <v>35959.678399999997</v>
      </c>
      <c r="K94" s="3">
        <f>'CUOTA INDUSTRIAL'!N75</f>
        <v>35325.097000000002</v>
      </c>
      <c r="L94" s="3">
        <f>'CUOTA INDUSTRIAL'!O75</f>
        <v>634.58139999999548</v>
      </c>
      <c r="M94" s="114">
        <f>'CUOTA INDUSTRIAL'!P75</f>
        <v>0.98235297343482375</v>
      </c>
      <c r="N94" s="4" t="s">
        <v>82</v>
      </c>
      <c r="O94" s="5">
        <f>RESUMEN!$B$3</f>
        <v>44452</v>
      </c>
      <c r="P94" s="1">
        <f t="shared" si="3"/>
        <v>2021</v>
      </c>
      <c r="Q94" s="1"/>
    </row>
    <row r="95" spans="1:17">
      <c r="A95" s="2" t="s">
        <v>68</v>
      </c>
      <c r="B95" s="1" t="s">
        <v>57</v>
      </c>
      <c r="C95" s="1" t="s">
        <v>36</v>
      </c>
      <c r="D95" s="1" t="s">
        <v>58</v>
      </c>
      <c r="E95" s="1" t="str">
        <f>+'CUOTA INDUSTRIAL'!C$77</f>
        <v>ORIZON S.A</v>
      </c>
      <c r="F95" s="1" t="s">
        <v>59</v>
      </c>
      <c r="G95" s="1" t="s">
        <v>60</v>
      </c>
      <c r="H95" s="3">
        <f>+'CUOTA INDUSTRIAL'!E77</f>
        <v>79694.061300000001</v>
      </c>
      <c r="I95" s="3">
        <f>+'CUOTA INDUSTRIAL'!F77</f>
        <v>24681.578000000001</v>
      </c>
      <c r="J95" s="3">
        <f>+'CUOTA INDUSTRIAL'!G77</f>
        <v>104375.63930000001</v>
      </c>
      <c r="K95" s="3">
        <f>+'CUOTA INDUSTRIAL'!H77</f>
        <v>103177.909</v>
      </c>
      <c r="L95" s="3">
        <f>+'CUOTA INDUSTRIAL'!I77</f>
        <v>1197.7303000000102</v>
      </c>
      <c r="M95" s="114">
        <f>+'CUOTA INDUSTRIAL'!J77</f>
        <v>0.98852480992660119</v>
      </c>
      <c r="N95" s="4" t="s">
        <v>82</v>
      </c>
      <c r="O95" s="5">
        <f>RESUMEN!$B$3</f>
        <v>44452</v>
      </c>
      <c r="P95" s="1">
        <f t="shared" si="3"/>
        <v>2021</v>
      </c>
      <c r="Q95" s="1"/>
    </row>
    <row r="96" spans="1:17">
      <c r="A96" s="2" t="s">
        <v>68</v>
      </c>
      <c r="B96" s="1" t="s">
        <v>57</v>
      </c>
      <c r="C96" s="1" t="s">
        <v>36</v>
      </c>
      <c r="D96" s="1" t="s">
        <v>58</v>
      </c>
      <c r="E96" s="1" t="str">
        <f>+'CUOTA INDUSTRIAL'!C$77</f>
        <v>ORIZON S.A</v>
      </c>
      <c r="F96" s="1" t="s">
        <v>61</v>
      </c>
      <c r="G96" s="1" t="s">
        <v>62</v>
      </c>
      <c r="H96" s="3">
        <f>'CUOTA INDUSTRIAL'!E78</f>
        <v>1626.4197999999999</v>
      </c>
      <c r="I96" s="3">
        <f>'CUOTA INDUSTRIAL'!F78</f>
        <v>0</v>
      </c>
      <c r="J96" s="3">
        <f>'CUOTA INDUSTRIAL'!G78</f>
        <v>2824.1501000000098</v>
      </c>
      <c r="K96" s="3">
        <f>'CUOTA INDUSTRIAL'!H78</f>
        <v>0</v>
      </c>
      <c r="L96" s="3">
        <f>'CUOTA INDUSTRIAL'!I78</f>
        <v>2824.1501000000098</v>
      </c>
      <c r="M96" s="114">
        <f>'CUOTA INDUSTRIAL'!J78</f>
        <v>0</v>
      </c>
      <c r="N96" s="4" t="s">
        <v>82</v>
      </c>
      <c r="O96" s="5">
        <f>RESUMEN!$B$3</f>
        <v>44452</v>
      </c>
      <c r="P96" s="1">
        <f t="shared" si="3"/>
        <v>2021</v>
      </c>
      <c r="Q96" s="1"/>
    </row>
    <row r="97" spans="1:17">
      <c r="A97" s="2" t="s">
        <v>68</v>
      </c>
      <c r="B97" s="1" t="s">
        <v>57</v>
      </c>
      <c r="C97" s="1" t="s">
        <v>36</v>
      </c>
      <c r="D97" s="1" t="s">
        <v>58</v>
      </c>
      <c r="E97" s="1" t="str">
        <f>+'CUOTA INDUSTRIAL'!C$77</f>
        <v>ORIZON S.A</v>
      </c>
      <c r="F97" s="1" t="s">
        <v>59</v>
      </c>
      <c r="G97" s="1" t="s">
        <v>62</v>
      </c>
      <c r="H97" s="3">
        <f>'CUOTA INDUSTRIAL'!K77</f>
        <v>81320.481100000005</v>
      </c>
      <c r="I97" s="3">
        <f>'CUOTA INDUSTRIAL'!L77</f>
        <v>24681.578000000001</v>
      </c>
      <c r="J97" s="3">
        <f>'CUOTA INDUSTRIAL'!M77</f>
        <v>106002.05910000001</v>
      </c>
      <c r="K97" s="3">
        <f>'CUOTA INDUSTRIAL'!N77</f>
        <v>103177.909</v>
      </c>
      <c r="L97" s="3">
        <f>'CUOTA INDUSTRIAL'!O77</f>
        <v>2824.1501000000135</v>
      </c>
      <c r="M97" s="114">
        <f>'CUOTA INDUSTRIAL'!P77</f>
        <v>0.97335759206964301</v>
      </c>
      <c r="N97" s="4" t="s">
        <v>82</v>
      </c>
      <c r="O97" s="5">
        <f>RESUMEN!$B$3</f>
        <v>44452</v>
      </c>
      <c r="P97" s="1">
        <f t="shared" si="3"/>
        <v>2021</v>
      </c>
      <c r="Q97" s="1"/>
    </row>
    <row r="98" spans="1:17">
      <c r="A98" s="7" t="s">
        <v>68</v>
      </c>
      <c r="B98" s="1" t="s">
        <v>57</v>
      </c>
      <c r="C98" s="1" t="s">
        <v>36</v>
      </c>
      <c r="D98" s="1" t="s">
        <v>58</v>
      </c>
      <c r="E98" s="1" t="str">
        <f>+'CUOTA INDUSTRIAL'!C$79</f>
        <v>SUR AUSTRAL S.A. PESQ.</v>
      </c>
      <c r="F98" s="1" t="s">
        <v>59</v>
      </c>
      <c r="G98" s="1" t="s">
        <v>60</v>
      </c>
      <c r="H98" s="3">
        <f>+'CUOTA INDUSTRIAL'!E79</f>
        <v>102.5539</v>
      </c>
      <c r="I98" s="3">
        <f>+'CUOTA INDUSTRIAL'!F79</f>
        <v>0</v>
      </c>
      <c r="J98" s="3">
        <f>+'CUOTA INDUSTRIAL'!G79</f>
        <v>102.5539</v>
      </c>
      <c r="K98" s="3">
        <f>+'CUOTA INDUSTRIAL'!H79</f>
        <v>0</v>
      </c>
      <c r="L98" s="3">
        <f>+'CUOTA INDUSTRIAL'!I79</f>
        <v>102.5539</v>
      </c>
      <c r="M98" s="114">
        <f>+'CUOTA INDUSTRIAL'!J79</f>
        <v>0</v>
      </c>
      <c r="N98" s="4" t="s">
        <v>82</v>
      </c>
      <c r="O98" s="5">
        <f>RESUMEN!$B$3</f>
        <v>44452</v>
      </c>
      <c r="P98" s="1">
        <f t="shared" si="3"/>
        <v>2021</v>
      </c>
      <c r="Q98" s="1"/>
    </row>
    <row r="99" spans="1:17">
      <c r="A99" s="7" t="s">
        <v>68</v>
      </c>
      <c r="B99" s="1" t="s">
        <v>57</v>
      </c>
      <c r="C99" s="1" t="s">
        <v>36</v>
      </c>
      <c r="D99" s="1" t="s">
        <v>58</v>
      </c>
      <c r="E99" s="1" t="str">
        <f>+'CUOTA INDUSTRIAL'!C$79</f>
        <v>SUR AUSTRAL S.A. PESQ.</v>
      </c>
      <c r="F99" s="1" t="s">
        <v>61</v>
      </c>
      <c r="G99" s="1" t="s">
        <v>62</v>
      </c>
      <c r="H99" s="3">
        <f>+'CUOTA INDUSTRIAL'!E80</f>
        <v>2.0929000000000002</v>
      </c>
      <c r="I99" s="3">
        <f>+'CUOTA INDUSTRIAL'!F80</f>
        <v>0</v>
      </c>
      <c r="J99" s="3">
        <f>+'CUOTA INDUSTRIAL'!G80</f>
        <v>104.6468</v>
      </c>
      <c r="K99" s="3">
        <f>+'CUOTA INDUSTRIAL'!H80</f>
        <v>0</v>
      </c>
      <c r="L99" s="3">
        <f>+'CUOTA INDUSTRIAL'!I80</f>
        <v>104.6468</v>
      </c>
      <c r="M99" s="114">
        <f>+'CUOTA INDUSTRIAL'!J80</f>
        <v>0</v>
      </c>
      <c r="N99" s="4" t="s">
        <v>82</v>
      </c>
      <c r="O99" s="5">
        <f>RESUMEN!$B$3</f>
        <v>44452</v>
      </c>
      <c r="P99" s="1">
        <f t="shared" si="3"/>
        <v>2021</v>
      </c>
      <c r="Q99" s="1"/>
    </row>
    <row r="100" spans="1:17">
      <c r="A100" s="7" t="s">
        <v>68</v>
      </c>
      <c r="B100" s="1" t="s">
        <v>57</v>
      </c>
      <c r="C100" s="1" t="s">
        <v>36</v>
      </c>
      <c r="D100" s="1" t="s">
        <v>58</v>
      </c>
      <c r="E100" s="1" t="str">
        <f>+'CUOTA INDUSTRIAL'!C$79</f>
        <v>SUR AUSTRAL S.A. PESQ.</v>
      </c>
      <c r="F100" s="1" t="s">
        <v>59</v>
      </c>
      <c r="G100" s="1" t="s">
        <v>62</v>
      </c>
      <c r="H100" s="3">
        <f>'CUOTA INDUSTRIAL'!K79</f>
        <v>104.6468</v>
      </c>
      <c r="I100" s="3">
        <f>'CUOTA INDUSTRIAL'!L79</f>
        <v>0</v>
      </c>
      <c r="J100" s="3">
        <f>'CUOTA INDUSTRIAL'!M79</f>
        <v>104.6468</v>
      </c>
      <c r="K100" s="3">
        <f>'CUOTA INDUSTRIAL'!N79</f>
        <v>0</v>
      </c>
      <c r="L100" s="3">
        <f>'CUOTA INDUSTRIAL'!O79</f>
        <v>104.6468</v>
      </c>
      <c r="M100" s="114">
        <f>'CUOTA INDUSTRIAL'!P79</f>
        <v>0</v>
      </c>
      <c r="N100" s="4" t="s">
        <v>82</v>
      </c>
      <c r="O100" s="5">
        <f>RESUMEN!$B$3</f>
        <v>44452</v>
      </c>
      <c r="P100" s="1">
        <f t="shared" si="3"/>
        <v>2021</v>
      </c>
      <c r="Q100" s="1"/>
    </row>
    <row r="101" spans="1:17">
      <c r="A101" s="2" t="s">
        <v>68</v>
      </c>
      <c r="B101" s="1" t="s">
        <v>57</v>
      </c>
      <c r="C101" s="1" t="s">
        <v>36</v>
      </c>
      <c r="D101" s="1" t="s">
        <v>58</v>
      </c>
      <c r="E101" s="1" t="str">
        <f>+'CUOTA INDUSTRIAL'!C$81</f>
        <v xml:space="preserve"> PACIFICBLU SpA</v>
      </c>
      <c r="F101" s="1" t="s">
        <v>59</v>
      </c>
      <c r="G101" s="1" t="s">
        <v>60</v>
      </c>
      <c r="H101" s="3">
        <f>+'CUOTA INDUSTRIAL'!E81</f>
        <v>46.885399999999997</v>
      </c>
      <c r="I101" s="3">
        <f>+'CUOTA INDUSTRIAL'!F81</f>
        <v>6.3789999999999996</v>
      </c>
      <c r="J101" s="3">
        <f>+'CUOTA INDUSTRIAL'!G81</f>
        <v>53.264399999999995</v>
      </c>
      <c r="K101" s="3">
        <f>+'CUOTA INDUSTRIAL'!H81</f>
        <v>1.349</v>
      </c>
      <c r="L101" s="3">
        <f>+'CUOTA INDUSTRIAL'!I81</f>
        <v>51.915399999999998</v>
      </c>
      <c r="M101" s="114">
        <f>+'CUOTA INDUSTRIAL'!J81</f>
        <v>2.5326484481191944E-2</v>
      </c>
      <c r="N101" s="4" t="s">
        <v>82</v>
      </c>
      <c r="O101" s="5">
        <f>RESUMEN!$B$3</f>
        <v>44452</v>
      </c>
      <c r="P101" s="1">
        <f t="shared" si="3"/>
        <v>2021</v>
      </c>
      <c r="Q101" s="1"/>
    </row>
    <row r="102" spans="1:17">
      <c r="A102" s="2" t="s">
        <v>68</v>
      </c>
      <c r="B102" s="1" t="s">
        <v>57</v>
      </c>
      <c r="C102" s="1" t="s">
        <v>36</v>
      </c>
      <c r="D102" s="1" t="s">
        <v>58</v>
      </c>
      <c r="E102" s="1" t="str">
        <f>+'CUOTA INDUSTRIAL'!C$81</f>
        <v xml:space="preserve"> PACIFICBLU SpA</v>
      </c>
      <c r="F102" s="1" t="s">
        <v>61</v>
      </c>
      <c r="G102" s="1" t="s">
        <v>62</v>
      </c>
      <c r="H102" s="3">
        <f>'CUOTA INDUSTRIAL'!E82</f>
        <v>0.95689999999999997</v>
      </c>
      <c r="I102" s="3">
        <f>'CUOTA INDUSTRIAL'!F82</f>
        <v>0</v>
      </c>
      <c r="J102" s="3">
        <f>'CUOTA INDUSTRIAL'!G82</f>
        <v>52.872299999999996</v>
      </c>
      <c r="K102" s="3">
        <f>'CUOTA INDUSTRIAL'!H82</f>
        <v>0</v>
      </c>
      <c r="L102" s="3">
        <f>'CUOTA INDUSTRIAL'!I82</f>
        <v>52.872299999999996</v>
      </c>
      <c r="M102" s="114">
        <f>'CUOTA INDUSTRIAL'!J82</f>
        <v>0</v>
      </c>
      <c r="N102" s="4" t="s">
        <v>82</v>
      </c>
      <c r="O102" s="5">
        <f>RESUMEN!$B$3</f>
        <v>44452</v>
      </c>
      <c r="P102" s="1">
        <f t="shared" si="3"/>
        <v>2021</v>
      </c>
      <c r="Q102" s="1"/>
    </row>
    <row r="103" spans="1:17">
      <c r="A103" s="2" t="s">
        <v>68</v>
      </c>
      <c r="B103" s="1" t="s">
        <v>57</v>
      </c>
      <c r="C103" s="1" t="s">
        <v>36</v>
      </c>
      <c r="D103" s="1" t="s">
        <v>58</v>
      </c>
      <c r="E103" s="1" t="str">
        <f>+'CUOTA INDUSTRIAL'!C$81</f>
        <v xml:space="preserve"> PACIFICBLU SpA</v>
      </c>
      <c r="F103" s="1" t="s">
        <v>59</v>
      </c>
      <c r="G103" s="1" t="s">
        <v>62</v>
      </c>
      <c r="H103" s="3">
        <f>'CUOTA INDUSTRIAL'!K81</f>
        <v>47.842299999999994</v>
      </c>
      <c r="I103" s="3">
        <f>'CUOTA INDUSTRIAL'!L81</f>
        <v>6.3789999999999996</v>
      </c>
      <c r="J103" s="3">
        <f>'CUOTA INDUSTRIAL'!M81</f>
        <v>54.221299999999992</v>
      </c>
      <c r="K103" s="3">
        <f>'CUOTA INDUSTRIAL'!N81</f>
        <v>1.349</v>
      </c>
      <c r="L103" s="3">
        <f>'CUOTA INDUSTRIAL'!O81</f>
        <v>52.872299999999996</v>
      </c>
      <c r="M103" s="114">
        <f>'CUOTA INDUSTRIAL'!P81</f>
        <v>2.4879521516452025E-2</v>
      </c>
      <c r="N103" s="4" t="s">
        <v>82</v>
      </c>
      <c r="O103" s="5">
        <f>RESUMEN!$B$3</f>
        <v>44452</v>
      </c>
      <c r="P103" s="1">
        <f t="shared" si="3"/>
        <v>2021</v>
      </c>
      <c r="Q103" s="1"/>
    </row>
    <row r="104" spans="1:17">
      <c r="A104" s="2" t="s">
        <v>68</v>
      </c>
      <c r="B104" s="1" t="s">
        <v>57</v>
      </c>
      <c r="C104" s="1" t="s">
        <v>36</v>
      </c>
      <c r="D104" s="1" t="s">
        <v>58</v>
      </c>
      <c r="E104" s="1" t="str">
        <f>+'CUOTA INDUSTRIAL'!C$83</f>
        <v>ANTONIO CRUZ CORDOZA NAKOUZI E.I.R.L</v>
      </c>
      <c r="F104" s="1" t="s">
        <v>59</v>
      </c>
      <c r="G104" s="1" t="s">
        <v>60</v>
      </c>
      <c r="H104" s="3">
        <f>+'CUOTA INDUSTRIAL'!E83</f>
        <v>3.1257000000000001</v>
      </c>
      <c r="I104" s="3">
        <f>+'CUOTA INDUSTRIAL'!F83</f>
        <v>-3.1894999999999998</v>
      </c>
      <c r="J104" s="3">
        <f>+'CUOTA INDUSTRIAL'!G83</f>
        <v>-6.3799999999999635E-2</v>
      </c>
      <c r="K104" s="3">
        <f>+'CUOTA INDUSTRIAL'!H83</f>
        <v>0</v>
      </c>
      <c r="L104" s="3">
        <f>+'CUOTA INDUSTRIAL'!I83</f>
        <v>-6.3799999999999635E-2</v>
      </c>
      <c r="M104" s="114">
        <f>+'CUOTA INDUSTRIAL'!J83</f>
        <v>0</v>
      </c>
      <c r="N104" s="4" t="s">
        <v>82</v>
      </c>
      <c r="O104" s="5">
        <f>RESUMEN!$B$3</f>
        <v>44452</v>
      </c>
      <c r="P104" s="1">
        <f t="shared" si="3"/>
        <v>2021</v>
      </c>
      <c r="Q104" s="1"/>
    </row>
    <row r="105" spans="1:17">
      <c r="A105" s="2" t="s">
        <v>68</v>
      </c>
      <c r="B105" s="1" t="s">
        <v>57</v>
      </c>
      <c r="C105" s="1" t="s">
        <v>36</v>
      </c>
      <c r="D105" s="1" t="s">
        <v>58</v>
      </c>
      <c r="E105" s="1" t="str">
        <f>+'CUOTA INDUSTRIAL'!C$83</f>
        <v>ANTONIO CRUZ CORDOZA NAKOUZI E.I.R.L</v>
      </c>
      <c r="F105" s="1" t="s">
        <v>61</v>
      </c>
      <c r="G105" s="1" t="s">
        <v>62</v>
      </c>
      <c r="H105" s="3">
        <f>'CUOTA INDUSTRIAL'!E84</f>
        <v>6.3799999999999996E-2</v>
      </c>
      <c r="I105" s="3">
        <f>'CUOTA INDUSTRIAL'!F84</f>
        <v>0</v>
      </c>
      <c r="J105" s="3">
        <f>'CUOTA INDUSTRIAL'!G84</f>
        <v>3.6082248300317588E-16</v>
      </c>
      <c r="K105" s="3">
        <f>'CUOTA INDUSTRIAL'!H84</f>
        <v>0</v>
      </c>
      <c r="L105" s="3">
        <f>'CUOTA INDUSTRIAL'!I84</f>
        <v>3.6082248300317588E-16</v>
      </c>
      <c r="M105" s="114">
        <f>'CUOTA INDUSTRIAL'!J84</f>
        <v>0</v>
      </c>
      <c r="N105" s="4" t="s">
        <v>82</v>
      </c>
      <c r="O105" s="5">
        <f>RESUMEN!$B$3</f>
        <v>44452</v>
      </c>
      <c r="P105" s="1">
        <f t="shared" si="3"/>
        <v>2021</v>
      </c>
      <c r="Q105" s="1"/>
    </row>
    <row r="106" spans="1:17">
      <c r="A106" s="2" t="s">
        <v>68</v>
      </c>
      <c r="B106" s="1" t="s">
        <v>57</v>
      </c>
      <c r="C106" s="1" t="s">
        <v>36</v>
      </c>
      <c r="D106" s="1" t="s">
        <v>58</v>
      </c>
      <c r="E106" s="1" t="str">
        <f>+'CUOTA INDUSTRIAL'!C$83</f>
        <v>ANTONIO CRUZ CORDOZA NAKOUZI E.I.R.L</v>
      </c>
      <c r="F106" s="1" t="s">
        <v>59</v>
      </c>
      <c r="G106" s="1" t="s">
        <v>62</v>
      </c>
      <c r="H106" s="3">
        <f>'CUOTA INDUSTRIAL'!K83</f>
        <v>3.1895000000000002</v>
      </c>
      <c r="I106" s="3">
        <f>'CUOTA INDUSTRIAL'!L83</f>
        <v>-3.1894999999999998</v>
      </c>
      <c r="J106" s="3">
        <f>'CUOTA INDUSTRIAL'!M83</f>
        <v>0</v>
      </c>
      <c r="K106" s="3">
        <f>'CUOTA INDUSTRIAL'!N83</f>
        <v>0</v>
      </c>
      <c r="L106" s="3">
        <f>'CUOTA INDUSTRIAL'!O83</f>
        <v>0</v>
      </c>
      <c r="M106" s="114">
        <f>'CUOTA INDUSTRIAL'!P83</f>
        <v>0</v>
      </c>
      <c r="N106" s="4" t="s">
        <v>82</v>
      </c>
      <c r="O106" s="5">
        <f>RESUMEN!$B$3</f>
        <v>44452</v>
      </c>
      <c r="P106" s="1">
        <f t="shared" si="3"/>
        <v>2021</v>
      </c>
      <c r="Q106" s="1"/>
    </row>
    <row r="107" spans="1:17">
      <c r="A107" s="2" t="s">
        <v>68</v>
      </c>
      <c r="B107" s="1" t="s">
        <v>57</v>
      </c>
      <c r="C107" s="1" t="s">
        <v>36</v>
      </c>
      <c r="D107" s="1" t="s">
        <v>58</v>
      </c>
      <c r="E107" s="1" t="str">
        <f>+'CUOTA INDUSTRIAL'!C$85</f>
        <v>SOC. PESQ. ENFERMAR LTDA.</v>
      </c>
      <c r="F107" s="1" t="s">
        <v>59</v>
      </c>
      <c r="G107" s="1" t="s">
        <v>60</v>
      </c>
      <c r="H107" s="3">
        <f>+'CUOTA INDUSTRIAL'!E85</f>
        <v>3.1257000000000001</v>
      </c>
      <c r="I107" s="3">
        <f>+'CUOTA INDUSTRIAL'!F85</f>
        <v>-3.1894999999999998</v>
      </c>
      <c r="J107" s="3">
        <f>+'CUOTA INDUSTRIAL'!G85</f>
        <v>-6.3799999999999635E-2</v>
      </c>
      <c r="K107" s="3">
        <f>+'CUOTA INDUSTRIAL'!H85</f>
        <v>5.0999999999999997E-2</v>
      </c>
      <c r="L107" s="3">
        <f>+'CUOTA INDUSTRIAL'!I85</f>
        <v>-0.11479999999999962</v>
      </c>
      <c r="M107" s="114">
        <f>+'CUOTA INDUSTRIAL'!J85</f>
        <v>-0.7993730407523556</v>
      </c>
      <c r="N107" s="4" t="s">
        <v>82</v>
      </c>
      <c r="O107" s="5">
        <f>RESUMEN!$B$3</f>
        <v>44452</v>
      </c>
      <c r="P107" s="1">
        <f t="shared" si="3"/>
        <v>2021</v>
      </c>
      <c r="Q107" s="1"/>
    </row>
    <row r="108" spans="1:17">
      <c r="A108" s="2" t="s">
        <v>68</v>
      </c>
      <c r="B108" s="1" t="s">
        <v>57</v>
      </c>
      <c r="C108" s="1" t="s">
        <v>36</v>
      </c>
      <c r="D108" s="1" t="s">
        <v>58</v>
      </c>
      <c r="E108" s="1" t="str">
        <f>+'CUOTA INDUSTRIAL'!C$85</f>
        <v>SOC. PESQ. ENFERMAR LTDA.</v>
      </c>
      <c r="F108" s="1" t="s">
        <v>61</v>
      </c>
      <c r="G108" s="1" t="s">
        <v>62</v>
      </c>
      <c r="H108" s="3">
        <f>'CUOTA INDUSTRIAL'!E86</f>
        <v>6.3799999999999996E-2</v>
      </c>
      <c r="I108" s="3">
        <f>'CUOTA INDUSTRIAL'!F86</f>
        <v>0</v>
      </c>
      <c r="J108" s="3">
        <f>'CUOTA INDUSTRIAL'!G86</f>
        <v>-5.0999999999999629E-2</v>
      </c>
      <c r="K108" s="3">
        <f>'CUOTA INDUSTRIAL'!H86</f>
        <v>0</v>
      </c>
      <c r="L108" s="3">
        <f>'CUOTA INDUSTRIAL'!I86</f>
        <v>-5.0999999999999629E-2</v>
      </c>
      <c r="M108" s="114">
        <f>'CUOTA INDUSTRIAL'!J86</f>
        <v>0</v>
      </c>
      <c r="N108" s="4" t="s">
        <v>82</v>
      </c>
      <c r="O108" s="5">
        <f>RESUMEN!$B$3</f>
        <v>44452</v>
      </c>
      <c r="P108" s="1">
        <f t="shared" si="3"/>
        <v>2021</v>
      </c>
      <c r="Q108" s="1"/>
    </row>
    <row r="109" spans="1:17">
      <c r="A109" s="2" t="s">
        <v>68</v>
      </c>
      <c r="B109" s="1" t="s">
        <v>57</v>
      </c>
      <c r="C109" s="1" t="s">
        <v>36</v>
      </c>
      <c r="D109" s="1" t="s">
        <v>58</v>
      </c>
      <c r="E109" s="1" t="str">
        <f>+'CUOTA INDUSTRIAL'!C$85</f>
        <v>SOC. PESQ. ENFERMAR LTDA.</v>
      </c>
      <c r="F109" s="1" t="s">
        <v>59</v>
      </c>
      <c r="G109" s="1" t="s">
        <v>62</v>
      </c>
      <c r="H109" s="3">
        <f>'CUOTA INDUSTRIAL'!K85</f>
        <v>3.1895000000000002</v>
      </c>
      <c r="I109" s="3">
        <f>'CUOTA INDUSTRIAL'!L85</f>
        <v>-3.1894999999999998</v>
      </c>
      <c r="J109" s="3">
        <f>'CUOTA INDUSTRIAL'!M85</f>
        <v>0</v>
      </c>
      <c r="K109" s="3">
        <f>'CUOTA INDUSTRIAL'!N85</f>
        <v>5.0999999999999997E-2</v>
      </c>
      <c r="L109" s="3">
        <f>'CUOTA INDUSTRIAL'!O85</f>
        <v>-5.0999999999999997E-2</v>
      </c>
      <c r="M109" s="114" t="e">
        <f>'CUOTA INDUSTRIAL'!P85</f>
        <v>#DIV/0!</v>
      </c>
      <c r="N109" s="4" t="s">
        <v>82</v>
      </c>
      <c r="O109" s="5">
        <f>RESUMEN!$B$3</f>
        <v>44452</v>
      </c>
      <c r="P109" s="1">
        <f t="shared" si="3"/>
        <v>2021</v>
      </c>
      <c r="Q109" s="1"/>
    </row>
    <row r="110" spans="1:17">
      <c r="A110" s="2" t="s">
        <v>68</v>
      </c>
      <c r="B110" s="1" t="s">
        <v>57</v>
      </c>
      <c r="C110" s="1" t="s">
        <v>36</v>
      </c>
      <c r="D110" s="1" t="s">
        <v>58</v>
      </c>
      <c r="E110" s="1" t="str">
        <f>+'CUOTA INDUSTRIAL'!C$87</f>
        <v>PAOLA POBLETE NOVOA</v>
      </c>
      <c r="F110" s="1" t="s">
        <v>59</v>
      </c>
      <c r="G110" s="1" t="s">
        <v>60</v>
      </c>
      <c r="H110" s="3">
        <f>+'CUOTA INDUSTRIAL'!E87</f>
        <v>15.628500000000001</v>
      </c>
      <c r="I110" s="3">
        <f>+'CUOTA INDUSTRIAL'!F87</f>
        <v>0</v>
      </c>
      <c r="J110" s="3">
        <f>+'CUOTA INDUSTRIAL'!G87</f>
        <v>15.628500000000001</v>
      </c>
      <c r="K110" s="3">
        <f>+'CUOTA INDUSTRIAL'!H87</f>
        <v>0</v>
      </c>
      <c r="L110" s="3">
        <f>+'CUOTA INDUSTRIAL'!I87</f>
        <v>15.628500000000001</v>
      </c>
      <c r="M110" s="114">
        <f>+'CUOTA INDUSTRIAL'!J87</f>
        <v>0</v>
      </c>
      <c r="N110" s="4" t="s">
        <v>82</v>
      </c>
      <c r="O110" s="5">
        <f>RESUMEN!$B$3</f>
        <v>44452</v>
      </c>
      <c r="P110" s="1">
        <f t="shared" si="3"/>
        <v>2021</v>
      </c>
      <c r="Q110" s="1"/>
    </row>
    <row r="111" spans="1:17">
      <c r="A111" s="2" t="s">
        <v>68</v>
      </c>
      <c r="B111" s="1" t="s">
        <v>57</v>
      </c>
      <c r="C111" s="1" t="s">
        <v>36</v>
      </c>
      <c r="D111" s="1" t="s">
        <v>58</v>
      </c>
      <c r="E111" s="1" t="str">
        <f>+'CUOTA INDUSTRIAL'!C$87</f>
        <v>PAOLA POBLETE NOVOA</v>
      </c>
      <c r="F111" s="1" t="s">
        <v>61</v>
      </c>
      <c r="G111" s="1" t="s">
        <v>62</v>
      </c>
      <c r="H111" s="3">
        <f>+'CUOTA INDUSTRIAL'!E88</f>
        <v>0.31900000000000001</v>
      </c>
      <c r="I111" s="3">
        <f>+'CUOTA INDUSTRIAL'!F88</f>
        <v>0</v>
      </c>
      <c r="J111" s="3">
        <f>+'CUOTA INDUSTRIAL'!G88</f>
        <v>15.947500000000002</v>
      </c>
      <c r="K111" s="3">
        <f>+'CUOTA INDUSTRIAL'!H88</f>
        <v>0</v>
      </c>
      <c r="L111" s="3">
        <f>+'CUOTA INDUSTRIAL'!I88</f>
        <v>15.947500000000002</v>
      </c>
      <c r="M111" s="114">
        <f>+'CUOTA INDUSTRIAL'!J88</f>
        <v>0</v>
      </c>
      <c r="N111" s="4" t="s">
        <v>82</v>
      </c>
      <c r="O111" s="5">
        <f>RESUMEN!$B$3</f>
        <v>44452</v>
      </c>
      <c r="P111" s="1">
        <f t="shared" si="3"/>
        <v>2021</v>
      </c>
      <c r="Q111" s="1"/>
    </row>
    <row r="112" spans="1:17">
      <c r="A112" s="2" t="s">
        <v>68</v>
      </c>
      <c r="B112" s="1" t="s">
        <v>57</v>
      </c>
      <c r="C112" s="1" t="s">
        <v>36</v>
      </c>
      <c r="D112" s="1" t="s">
        <v>58</v>
      </c>
      <c r="E112" s="1" t="str">
        <f>+'CUOTA INDUSTRIAL'!C$87</f>
        <v>PAOLA POBLETE NOVOA</v>
      </c>
      <c r="F112" s="1" t="s">
        <v>59</v>
      </c>
      <c r="G112" s="1" t="s">
        <v>62</v>
      </c>
      <c r="H112" s="3">
        <f>'CUOTA INDUSTRIAL'!K87</f>
        <v>15.947500000000002</v>
      </c>
      <c r="I112" s="3">
        <f>'CUOTA INDUSTRIAL'!L87</f>
        <v>0</v>
      </c>
      <c r="J112" s="3">
        <f>'CUOTA INDUSTRIAL'!M87</f>
        <v>15.947500000000002</v>
      </c>
      <c r="K112" s="3">
        <f>'CUOTA INDUSTRIAL'!N87</f>
        <v>0</v>
      </c>
      <c r="L112" s="3">
        <f>'CUOTA INDUSTRIAL'!O87</f>
        <v>15.947500000000002</v>
      </c>
      <c r="M112" s="114">
        <f>'CUOTA INDUSTRIAL'!P87</f>
        <v>0</v>
      </c>
      <c r="N112" s="4" t="s">
        <v>82</v>
      </c>
      <c r="O112" s="5">
        <f>RESUMEN!$B$3</f>
        <v>44452</v>
      </c>
      <c r="P112" s="1">
        <f t="shared" si="3"/>
        <v>2021</v>
      </c>
      <c r="Q112" s="1"/>
    </row>
    <row r="113" spans="1:17">
      <c r="A113" s="2" t="s">
        <v>68</v>
      </c>
      <c r="B113" s="1" t="s">
        <v>57</v>
      </c>
      <c r="C113" s="1" t="s">
        <v>36</v>
      </c>
      <c r="D113" s="1" t="s">
        <v>58</v>
      </c>
      <c r="E113" s="1" t="str">
        <f>+'CUOTA INDUSTRIAL'!C$89</f>
        <v>COMERCIAL Y CONSERVERA SAN LAZARO LIMITADA</v>
      </c>
      <c r="F113" s="1" t="s">
        <v>59</v>
      </c>
      <c r="G113" s="1" t="s">
        <v>60</v>
      </c>
      <c r="H113" s="3">
        <f>+'CUOTA INDUSTRIAL'!E89</f>
        <v>2813.1210000000001</v>
      </c>
      <c r="I113" s="3">
        <f>+'CUOTA INDUSTRIAL'!F89</f>
        <v>3537.192</v>
      </c>
      <c r="J113" s="3">
        <f>+'CUOTA INDUSTRIAL'!G89</f>
        <v>6350.3130000000001</v>
      </c>
      <c r="K113" s="3">
        <f>+'CUOTA INDUSTRIAL'!H89</f>
        <v>4705.4189999999999</v>
      </c>
      <c r="L113" s="3">
        <f>+'CUOTA INDUSTRIAL'!I89</f>
        <v>1644.8940000000002</v>
      </c>
      <c r="M113" s="114">
        <f>+'CUOTA INDUSTRIAL'!J89</f>
        <v>0.74097434252453376</v>
      </c>
      <c r="N113" s="4" t="s">
        <v>82</v>
      </c>
      <c r="O113" s="5">
        <f>RESUMEN!$B$3</f>
        <v>44452</v>
      </c>
      <c r="P113" s="1">
        <f t="shared" si="3"/>
        <v>2021</v>
      </c>
      <c r="Q113" s="1"/>
    </row>
    <row r="114" spans="1:17">
      <c r="A114" s="2" t="s">
        <v>68</v>
      </c>
      <c r="B114" s="1" t="s">
        <v>57</v>
      </c>
      <c r="C114" s="1" t="s">
        <v>36</v>
      </c>
      <c r="D114" s="1" t="s">
        <v>58</v>
      </c>
      <c r="E114" s="1" t="str">
        <f>+'CUOTA INDUSTRIAL'!C$89</f>
        <v>COMERCIAL Y CONSERVERA SAN LAZARO LIMITADA</v>
      </c>
      <c r="F114" s="1" t="s">
        <v>61</v>
      </c>
      <c r="G114" s="1" t="s">
        <v>62</v>
      </c>
      <c r="H114" s="3">
        <f>+'CUOTA INDUSTRIAL'!E90</f>
        <v>57.411000000000001</v>
      </c>
      <c r="I114" s="3">
        <f>+'CUOTA INDUSTRIAL'!F90</f>
        <v>0</v>
      </c>
      <c r="J114" s="3">
        <f>+'CUOTA INDUSTRIAL'!G90</f>
        <v>1702.3050000000003</v>
      </c>
      <c r="K114" s="3">
        <f>+'CUOTA INDUSTRIAL'!H90</f>
        <v>0</v>
      </c>
      <c r="L114" s="3">
        <f>+'CUOTA INDUSTRIAL'!I90</f>
        <v>1702.3050000000003</v>
      </c>
      <c r="M114" s="114">
        <f>+'CUOTA INDUSTRIAL'!J90</f>
        <v>0</v>
      </c>
      <c r="N114" s="4" t="s">
        <v>82</v>
      </c>
      <c r="O114" s="5">
        <f>RESUMEN!$B$3</f>
        <v>44452</v>
      </c>
      <c r="P114" s="1">
        <f t="shared" si="3"/>
        <v>2021</v>
      </c>
      <c r="Q114" s="1"/>
    </row>
    <row r="115" spans="1:17">
      <c r="A115" s="2" t="s">
        <v>68</v>
      </c>
      <c r="B115" s="1" t="s">
        <v>57</v>
      </c>
      <c r="C115" s="1" t="s">
        <v>36</v>
      </c>
      <c r="D115" s="1" t="s">
        <v>58</v>
      </c>
      <c r="E115" s="1" t="str">
        <f>+'CUOTA INDUSTRIAL'!C$89</f>
        <v>COMERCIAL Y CONSERVERA SAN LAZARO LIMITADA</v>
      </c>
      <c r="F115" s="1" t="s">
        <v>59</v>
      </c>
      <c r="G115" s="1" t="s">
        <v>62</v>
      </c>
      <c r="H115" s="3">
        <f>+'CUOTA INDUSTRIAL'!K89</f>
        <v>2870.5320000000002</v>
      </c>
      <c r="I115" s="3">
        <f>+'CUOTA INDUSTRIAL'!L89</f>
        <v>3537.192</v>
      </c>
      <c r="J115" s="3">
        <f>+'CUOTA INDUSTRIAL'!M89</f>
        <v>6407.7240000000002</v>
      </c>
      <c r="K115" s="3">
        <f>+'CUOTA INDUSTRIAL'!N89</f>
        <v>4705.4189999999999</v>
      </c>
      <c r="L115" s="3">
        <f>+'CUOTA INDUSTRIAL'!O89</f>
        <v>1702.3050000000003</v>
      </c>
      <c r="M115" s="114">
        <f>+'CUOTA INDUSTRIAL'!P89</f>
        <v>0.73433546763250102</v>
      </c>
      <c r="N115" s="4" t="s">
        <v>82</v>
      </c>
      <c r="O115" s="5">
        <f>RESUMEN!$B$3</f>
        <v>44452</v>
      </c>
      <c r="P115" s="1">
        <f t="shared" si="3"/>
        <v>2021</v>
      </c>
      <c r="Q115" s="1"/>
    </row>
    <row r="116" spans="1:17">
      <c r="A116" s="2" t="s">
        <v>68</v>
      </c>
      <c r="B116" s="1" t="s">
        <v>57</v>
      </c>
      <c r="C116" s="1" t="s">
        <v>36</v>
      </c>
      <c r="D116" s="1" t="s">
        <v>58</v>
      </c>
      <c r="E116" s="1" t="str">
        <f>'CUOTA INDUSTRIAL'!$C$91</f>
        <v>LOTA PROTEIN S.A.</v>
      </c>
      <c r="F116" s="1" t="s">
        <v>59</v>
      </c>
      <c r="G116" s="1" t="s">
        <v>60</v>
      </c>
      <c r="H116" s="3">
        <f>'CUOTA INDUSTRIAL'!E91</f>
        <v>0</v>
      </c>
      <c r="I116" s="3">
        <f>'CUOTA INDUSTRIAL'!F91</f>
        <v>8.1534778928471496E-13</v>
      </c>
      <c r="J116" s="3">
        <f>'CUOTA INDUSTRIAL'!G91</f>
        <v>8.1534778928471496E-13</v>
      </c>
      <c r="K116" s="3">
        <f>'CUOTA INDUSTRIAL'!H91</f>
        <v>0</v>
      </c>
      <c r="L116" s="3">
        <f>'CUOTA INDUSTRIAL'!I91</f>
        <v>8.1534778928471496E-13</v>
      </c>
      <c r="M116" s="114">
        <f>'CUOTA INDUSTRIAL'!J91</f>
        <v>0</v>
      </c>
      <c r="N116" s="4" t="s">
        <v>82</v>
      </c>
      <c r="O116" s="5">
        <f>RESUMEN!$B$3</f>
        <v>44452</v>
      </c>
      <c r="P116" s="1">
        <f t="shared" si="3"/>
        <v>2021</v>
      </c>
      <c r="Q116" s="1"/>
    </row>
    <row r="117" spans="1:17">
      <c r="A117" s="2" t="s">
        <v>68</v>
      </c>
      <c r="B117" s="1" t="s">
        <v>57</v>
      </c>
      <c r="C117" s="1" t="s">
        <v>36</v>
      </c>
      <c r="D117" s="1" t="s">
        <v>58</v>
      </c>
      <c r="E117" s="1" t="str">
        <f>'CUOTA INDUSTRIAL'!$C$91</f>
        <v>LOTA PROTEIN S.A.</v>
      </c>
      <c r="F117" s="1" t="s">
        <v>61</v>
      </c>
      <c r="G117" s="1" t="s">
        <v>62</v>
      </c>
      <c r="H117" s="3">
        <f>'CUOTA INDUSTRIAL'!E92</f>
        <v>0</v>
      </c>
      <c r="I117" s="3">
        <f>'CUOTA INDUSTRIAL'!F92</f>
        <v>0</v>
      </c>
      <c r="J117" s="3">
        <f>'CUOTA INDUSTRIAL'!G92</f>
        <v>8.1534778928471496E-13</v>
      </c>
      <c r="K117" s="3">
        <f>'CUOTA INDUSTRIAL'!H92</f>
        <v>0</v>
      </c>
      <c r="L117" s="3">
        <f>'CUOTA INDUSTRIAL'!I92</f>
        <v>8.1534778928471496E-13</v>
      </c>
      <c r="M117" s="114">
        <f>'CUOTA INDUSTRIAL'!J92</f>
        <v>0</v>
      </c>
      <c r="N117" s="4" t="s">
        <v>82</v>
      </c>
      <c r="O117" s="5">
        <f>RESUMEN!$B$3</f>
        <v>44452</v>
      </c>
      <c r="P117" s="1">
        <f t="shared" si="3"/>
        <v>2021</v>
      </c>
      <c r="Q117" s="1"/>
    </row>
    <row r="118" spans="1:17">
      <c r="A118" s="2" t="s">
        <v>68</v>
      </c>
      <c r="B118" s="1" t="s">
        <v>57</v>
      </c>
      <c r="C118" s="1" t="s">
        <v>36</v>
      </c>
      <c r="D118" s="1" t="s">
        <v>58</v>
      </c>
      <c r="E118" s="1" t="str">
        <f>'CUOTA INDUSTRIAL'!$C$91</f>
        <v>LOTA PROTEIN S.A.</v>
      </c>
      <c r="F118" s="1" t="s">
        <v>59</v>
      </c>
      <c r="G118" s="1" t="s">
        <v>62</v>
      </c>
      <c r="H118" s="3">
        <f>'CUOTA INDUSTRIAL'!K91</f>
        <v>0</v>
      </c>
      <c r="I118" s="3">
        <f>'CUOTA INDUSTRIAL'!L91</f>
        <v>8.1534778928471496E-13</v>
      </c>
      <c r="J118" s="3">
        <f>'CUOTA INDUSTRIAL'!M91</f>
        <v>8.1534778928471496E-13</v>
      </c>
      <c r="K118" s="3">
        <f>'CUOTA INDUSTRIAL'!N91</f>
        <v>0</v>
      </c>
      <c r="L118" s="3">
        <f>'CUOTA INDUSTRIAL'!O91</f>
        <v>8.1534778928471496E-13</v>
      </c>
      <c r="M118" s="114">
        <f>'CUOTA INDUSTRIAL'!P91</f>
        <v>0</v>
      </c>
      <c r="N118" s="4" t="s">
        <v>82</v>
      </c>
      <c r="O118" s="5">
        <f>RESUMEN!$B$3</f>
        <v>44452</v>
      </c>
      <c r="P118" s="1">
        <f t="shared" si="3"/>
        <v>2021</v>
      </c>
      <c r="Q118" s="1"/>
    </row>
    <row r="119" spans="1:17">
      <c r="A119" s="2" t="s">
        <v>68</v>
      </c>
      <c r="B119" s="1" t="s">
        <v>57</v>
      </c>
      <c r="C119" s="1" t="s">
        <v>36</v>
      </c>
      <c r="D119" s="1" t="s">
        <v>58</v>
      </c>
      <c r="E119" s="1" t="str">
        <f>'CUOTA INDUSTRIAL'!$C$93</f>
        <v>EGS BRAMA AUSTRALIS  SEAFOOD S.A.</v>
      </c>
      <c r="F119" s="1" t="s">
        <v>59</v>
      </c>
      <c r="G119" s="1" t="s">
        <v>60</v>
      </c>
      <c r="H119" s="3">
        <f>'CUOTA INDUSTRIAL'!E93</f>
        <v>0</v>
      </c>
      <c r="I119" s="3">
        <f>'CUOTA INDUSTRIAL'!F93</f>
        <v>0</v>
      </c>
      <c r="J119" s="3">
        <f>'CUOTA INDUSTRIAL'!G93</f>
        <v>0</v>
      </c>
      <c r="K119" s="3">
        <f>'CUOTA INDUSTRIAL'!H93</f>
        <v>0</v>
      </c>
      <c r="L119" s="3">
        <f>'CUOTA INDUSTRIAL'!I93</f>
        <v>0</v>
      </c>
      <c r="M119" s="114" t="e">
        <f>'CUOTA INDUSTRIAL'!J93</f>
        <v>#DIV/0!</v>
      </c>
      <c r="N119" s="4" t="s">
        <v>82</v>
      </c>
      <c r="O119" s="5">
        <f>RESUMEN!$B$3</f>
        <v>44452</v>
      </c>
      <c r="P119" s="1">
        <f t="shared" si="3"/>
        <v>2021</v>
      </c>
      <c r="Q119" s="1"/>
    </row>
    <row r="120" spans="1:17">
      <c r="A120" s="2" t="s">
        <v>68</v>
      </c>
      <c r="B120" s="1" t="s">
        <v>57</v>
      </c>
      <c r="C120" s="1" t="s">
        <v>36</v>
      </c>
      <c r="D120" s="1" t="s">
        <v>58</v>
      </c>
      <c r="E120" s="1" t="str">
        <f>'CUOTA INDUSTRIAL'!$C$93</f>
        <v>EGS BRAMA AUSTRALIS  SEAFOOD S.A.</v>
      </c>
      <c r="F120" s="1" t="s">
        <v>61</v>
      </c>
      <c r="G120" s="1" t="s">
        <v>62</v>
      </c>
      <c r="H120" s="3">
        <f>'CUOTA INDUSTRIAL'!E94</f>
        <v>0</v>
      </c>
      <c r="I120" s="3">
        <f>'CUOTA INDUSTRIAL'!F94</f>
        <v>0</v>
      </c>
      <c r="J120" s="3">
        <f>'CUOTA INDUSTRIAL'!G94</f>
        <v>0</v>
      </c>
      <c r="K120" s="3">
        <f>'CUOTA INDUSTRIAL'!H94</f>
        <v>0</v>
      </c>
      <c r="L120" s="3">
        <f>'CUOTA INDUSTRIAL'!I94</f>
        <v>0</v>
      </c>
      <c r="M120" s="114" t="e">
        <f>'CUOTA INDUSTRIAL'!J94</f>
        <v>#DIV/0!</v>
      </c>
      <c r="N120" s="4" t="s">
        <v>82</v>
      </c>
      <c r="O120" s="5">
        <f>RESUMEN!$B$3</f>
        <v>44452</v>
      </c>
      <c r="P120" s="1">
        <f t="shared" si="3"/>
        <v>2021</v>
      </c>
      <c r="Q120" s="1"/>
    </row>
    <row r="121" spans="1:17">
      <c r="A121" s="2" t="s">
        <v>68</v>
      </c>
      <c r="B121" s="1" t="s">
        <v>57</v>
      </c>
      <c r="C121" s="1" t="s">
        <v>36</v>
      </c>
      <c r="D121" s="1" t="s">
        <v>58</v>
      </c>
      <c r="E121" s="1" t="str">
        <f>'CUOTA INDUSTRIAL'!$C$93</f>
        <v>EGS BRAMA AUSTRALIS  SEAFOOD S.A.</v>
      </c>
      <c r="F121" s="1" t="s">
        <v>59</v>
      </c>
      <c r="G121" s="1" t="s">
        <v>62</v>
      </c>
      <c r="H121" s="3">
        <f>'CUOTA INDUSTRIAL'!K93</f>
        <v>0</v>
      </c>
      <c r="I121" s="3">
        <f>'CUOTA INDUSTRIAL'!L93</f>
        <v>0</v>
      </c>
      <c r="J121" s="3">
        <f>'CUOTA INDUSTRIAL'!M93</f>
        <v>0</v>
      </c>
      <c r="K121" s="3">
        <f>'CUOTA INDUSTRIAL'!N93</f>
        <v>0</v>
      </c>
      <c r="L121" s="3">
        <f>'CUOTA INDUSTRIAL'!O93</f>
        <v>0</v>
      </c>
      <c r="M121" s="114" t="e">
        <f>'CUOTA INDUSTRIAL'!P93</f>
        <v>#DIV/0!</v>
      </c>
      <c r="N121" s="4" t="s">
        <v>82</v>
      </c>
      <c r="O121" s="5">
        <f>RESUMEN!$B$3</f>
        <v>44452</v>
      </c>
      <c r="P121" s="1">
        <f t="shared" si="3"/>
        <v>2021</v>
      </c>
      <c r="Q121" s="1"/>
    </row>
    <row r="122" spans="1:17">
      <c r="A122" s="2" t="s">
        <v>68</v>
      </c>
      <c r="B122" s="1" t="s">
        <v>57</v>
      </c>
      <c r="C122" s="1" t="s">
        <v>36</v>
      </c>
      <c r="D122" s="1" t="s">
        <v>58</v>
      </c>
      <c r="E122" s="1" t="str">
        <f>'CUOTA INDUSTRIAL'!C95</f>
        <v>THOR FISHIRIES CHILE SPA</v>
      </c>
      <c r="F122" s="1" t="s">
        <v>59</v>
      </c>
      <c r="G122" s="1" t="s">
        <v>60</v>
      </c>
      <c r="H122" s="3">
        <f>'CUOTA INDUSTRIAL'!E95</f>
        <v>0</v>
      </c>
      <c r="I122" s="3">
        <f>'CUOTA INDUSTRIAL'!F95</f>
        <v>9.5679999999999996</v>
      </c>
      <c r="J122" s="3">
        <f>'CUOTA INDUSTRIAL'!G95</f>
        <v>9.5679999999999996</v>
      </c>
      <c r="K122" s="3">
        <f>'CUOTA INDUSTRIAL'!H95</f>
        <v>0</v>
      </c>
      <c r="L122" s="3">
        <f>'CUOTA INDUSTRIAL'!I95</f>
        <v>9.5679999999999996</v>
      </c>
      <c r="M122" s="114">
        <f>'CUOTA INDUSTRIAL'!J95</f>
        <v>0</v>
      </c>
      <c r="N122" s="4" t="s">
        <v>82</v>
      </c>
      <c r="O122" s="5">
        <f>RESUMEN!$B$3</f>
        <v>44452</v>
      </c>
      <c r="P122" s="1">
        <f t="shared" ref="P122:P127" si="4">YEAR(O122)</f>
        <v>2021</v>
      </c>
      <c r="Q122" s="1"/>
    </row>
    <row r="123" spans="1:17">
      <c r="A123" s="2" t="s">
        <v>68</v>
      </c>
      <c r="B123" s="1" t="s">
        <v>57</v>
      </c>
      <c r="C123" s="1" t="s">
        <v>36</v>
      </c>
      <c r="D123" s="1" t="s">
        <v>58</v>
      </c>
      <c r="E123" s="1" t="str">
        <f>'CUOTA INDUSTRIAL'!C95</f>
        <v>THOR FISHIRIES CHILE SPA</v>
      </c>
      <c r="F123" s="1" t="s">
        <v>61</v>
      </c>
      <c r="G123" s="1" t="s">
        <v>62</v>
      </c>
      <c r="H123" s="3">
        <f>'CUOTA INDUSTRIAL'!E96</f>
        <v>0</v>
      </c>
      <c r="I123" s="3">
        <f>'CUOTA INDUSTRIAL'!F96</f>
        <v>0</v>
      </c>
      <c r="J123" s="3">
        <f>'CUOTA INDUSTRIAL'!G96</f>
        <v>9.5679999999999996</v>
      </c>
      <c r="K123" s="3">
        <f>'CUOTA INDUSTRIAL'!H96</f>
        <v>0</v>
      </c>
      <c r="L123" s="3">
        <f>'CUOTA INDUSTRIAL'!I96</f>
        <v>9.5679999999999996</v>
      </c>
      <c r="M123" s="114">
        <f>'CUOTA INDUSTRIAL'!J96</f>
        <v>0</v>
      </c>
      <c r="N123" s="4" t="s">
        <v>82</v>
      </c>
      <c r="O123" s="5">
        <f>RESUMEN!$B$3</f>
        <v>44452</v>
      </c>
      <c r="P123" s="1">
        <f t="shared" si="4"/>
        <v>2021</v>
      </c>
      <c r="Q123" s="1"/>
    </row>
    <row r="124" spans="1:17">
      <c r="A124" s="2" t="s">
        <v>68</v>
      </c>
      <c r="B124" s="1" t="s">
        <v>57</v>
      </c>
      <c r="C124" s="1" t="s">
        <v>36</v>
      </c>
      <c r="D124" s="1" t="s">
        <v>58</v>
      </c>
      <c r="E124" s="1" t="str">
        <f>'CUOTA INDUSTRIAL'!C95</f>
        <v>THOR FISHIRIES CHILE SPA</v>
      </c>
      <c r="F124" s="1" t="s">
        <v>59</v>
      </c>
      <c r="G124" s="1" t="s">
        <v>62</v>
      </c>
      <c r="H124" s="3">
        <f>'CUOTA INDUSTRIAL'!K95</f>
        <v>0</v>
      </c>
      <c r="I124" s="3">
        <f>'CUOTA INDUSTRIAL'!L95</f>
        <v>9.5679999999999996</v>
      </c>
      <c r="J124" s="3">
        <f>'CUOTA INDUSTRIAL'!M95</f>
        <v>9.5679999999999996</v>
      </c>
      <c r="K124" s="3">
        <f>'CUOTA INDUSTRIAL'!N95</f>
        <v>0</v>
      </c>
      <c r="L124" s="3">
        <f>'CUOTA INDUSTRIAL'!O95</f>
        <v>9.5679999999999996</v>
      </c>
      <c r="M124" s="114">
        <f>'CUOTA INDUSTRIAL'!P95</f>
        <v>0</v>
      </c>
      <c r="N124" s="4" t="s">
        <v>82</v>
      </c>
      <c r="O124" s="5">
        <f>RESUMEN!$B$3</f>
        <v>44452</v>
      </c>
      <c r="P124" s="1">
        <f t="shared" si="4"/>
        <v>2021</v>
      </c>
      <c r="Q124" s="1"/>
    </row>
    <row r="125" spans="1:17">
      <c r="A125" s="2" t="s">
        <v>68</v>
      </c>
      <c r="B125" s="1" t="s">
        <v>57</v>
      </c>
      <c r="C125" s="1" t="s">
        <v>36</v>
      </c>
      <c r="D125" s="1" t="s">
        <v>58</v>
      </c>
      <c r="E125" s="1" t="str">
        <f>'CUOTA INDUSTRIAL'!C97</f>
        <v>ROSSANA MUÑOZ HELLER</v>
      </c>
      <c r="F125" s="1" t="s">
        <v>59</v>
      </c>
      <c r="G125" s="1" t="s">
        <v>60</v>
      </c>
      <c r="H125" s="3">
        <f>'CUOTA INDUSTRIAL'!E97</f>
        <v>0</v>
      </c>
      <c r="I125" s="3">
        <f>'CUOTA INDUSTRIAL'!F97</f>
        <v>0</v>
      </c>
      <c r="J125" s="3">
        <f>'CUOTA INDUSTRIAL'!G97</f>
        <v>0</v>
      </c>
      <c r="K125" s="3">
        <f>'CUOTA INDUSTRIAL'!H97</f>
        <v>0</v>
      </c>
      <c r="L125" s="3">
        <f>'CUOTA INDUSTRIAL'!I97</f>
        <v>0</v>
      </c>
      <c r="M125" s="114" t="e">
        <f>'CUOTA INDUSTRIAL'!J97</f>
        <v>#DIV/0!</v>
      </c>
      <c r="N125" s="4" t="s">
        <v>82</v>
      </c>
      <c r="O125" s="5">
        <f>RESUMEN!$B$3</f>
        <v>44452</v>
      </c>
      <c r="P125" s="1">
        <f t="shared" si="4"/>
        <v>2021</v>
      </c>
      <c r="Q125" s="1"/>
    </row>
    <row r="126" spans="1:17">
      <c r="A126" s="2" t="s">
        <v>68</v>
      </c>
      <c r="B126" s="1" t="s">
        <v>57</v>
      </c>
      <c r="C126" s="1" t="s">
        <v>36</v>
      </c>
      <c r="D126" s="1" t="s">
        <v>58</v>
      </c>
      <c r="E126" s="1" t="str">
        <f>'CUOTA INDUSTRIAL'!C97</f>
        <v>ROSSANA MUÑOZ HELLER</v>
      </c>
      <c r="F126" s="1" t="s">
        <v>61</v>
      </c>
      <c r="G126" s="1" t="s">
        <v>62</v>
      </c>
      <c r="H126" s="3">
        <f>'CUOTA INDUSTRIAL'!E98</f>
        <v>0</v>
      </c>
      <c r="I126" s="3">
        <f>'CUOTA INDUSTRIAL'!F98</f>
        <v>0</v>
      </c>
      <c r="J126" s="3">
        <f>'CUOTA INDUSTRIAL'!G98</f>
        <v>0</v>
      </c>
      <c r="K126" s="3">
        <f>'CUOTA INDUSTRIAL'!H98</f>
        <v>0</v>
      </c>
      <c r="L126" s="3">
        <f>'CUOTA INDUSTRIAL'!I98</f>
        <v>0</v>
      </c>
      <c r="M126" s="114" t="e">
        <f>'CUOTA INDUSTRIAL'!J98</f>
        <v>#DIV/0!</v>
      </c>
      <c r="N126" s="4" t="s">
        <v>82</v>
      </c>
      <c r="O126" s="5">
        <f>RESUMEN!$B$3</f>
        <v>44452</v>
      </c>
      <c r="P126" s="1">
        <f t="shared" si="4"/>
        <v>2021</v>
      </c>
      <c r="Q126" s="1"/>
    </row>
    <row r="127" spans="1:17">
      <c r="A127" s="2" t="s">
        <v>68</v>
      </c>
      <c r="B127" s="1" t="s">
        <v>57</v>
      </c>
      <c r="C127" s="1" t="s">
        <v>36</v>
      </c>
      <c r="D127" s="1" t="s">
        <v>58</v>
      </c>
      <c r="E127" s="1" t="str">
        <f>'CUOTA INDUSTRIAL'!C97</f>
        <v>ROSSANA MUÑOZ HELLER</v>
      </c>
      <c r="F127" s="1" t="s">
        <v>59</v>
      </c>
      <c r="G127" s="1" t="s">
        <v>62</v>
      </c>
      <c r="H127" s="3">
        <f>'CUOTA INDUSTRIAL'!K97</f>
        <v>0</v>
      </c>
      <c r="I127" s="3">
        <f>'CUOTA INDUSTRIAL'!L97</f>
        <v>0</v>
      </c>
      <c r="J127" s="3">
        <f>'CUOTA INDUSTRIAL'!M97</f>
        <v>0</v>
      </c>
      <c r="K127" s="3">
        <f>'CUOTA INDUSTRIAL'!N97</f>
        <v>0</v>
      </c>
      <c r="L127" s="3">
        <f>'CUOTA INDUSTRIAL'!O97</f>
        <v>0</v>
      </c>
      <c r="M127" s="114" t="e">
        <f>'CUOTA INDUSTRIAL'!P97</f>
        <v>#DIV/0!</v>
      </c>
      <c r="N127" s="4" t="s">
        <v>82</v>
      </c>
      <c r="O127" s="5">
        <f>RESUMEN!$B$3</f>
        <v>44452</v>
      </c>
      <c r="P127" s="1">
        <f t="shared" si="4"/>
        <v>2021</v>
      </c>
      <c r="Q127" s="1"/>
    </row>
    <row r="128" spans="1:17">
      <c r="A128" s="2" t="s">
        <v>69</v>
      </c>
      <c r="B128" s="1" t="s">
        <v>57</v>
      </c>
      <c r="C128" s="1" t="s">
        <v>38</v>
      </c>
      <c r="D128" s="1" t="s">
        <v>58</v>
      </c>
      <c r="E128" s="1" t="str">
        <f>+'CUOTA INDUSTRIAL'!C$103</f>
        <v xml:space="preserve">ALIMENTOS MARINOS S.A.    </v>
      </c>
      <c r="F128" s="1" t="s">
        <v>59</v>
      </c>
      <c r="G128" s="1" t="s">
        <v>60</v>
      </c>
      <c r="H128" s="3">
        <f>+'CUOTA INDUSTRIAL'!E103</f>
        <v>4252.0544</v>
      </c>
      <c r="I128" s="3">
        <f>+'CUOTA INDUSTRIAL'!F103</f>
        <v>-4335</v>
      </c>
      <c r="J128" s="3">
        <f>+'CUOTA INDUSTRIAL'!G103</f>
        <v>-82.945600000000013</v>
      </c>
      <c r="K128" s="3">
        <f>+'CUOTA INDUSTRIAL'!H103</f>
        <v>0</v>
      </c>
      <c r="L128" s="3">
        <f>+'CUOTA INDUSTRIAL'!I103</f>
        <v>-82.945600000000013</v>
      </c>
      <c r="M128" s="114">
        <f>+'CUOTA INDUSTRIAL'!J103</f>
        <v>0</v>
      </c>
      <c r="N128" s="4" t="s">
        <v>82</v>
      </c>
      <c r="O128" s="5">
        <f>RESUMEN!$B$3</f>
        <v>44452</v>
      </c>
      <c r="P128" s="1">
        <f t="shared" si="3"/>
        <v>2021</v>
      </c>
      <c r="Q128" s="1"/>
    </row>
    <row r="129" spans="1:17">
      <c r="A129" s="2" t="s">
        <v>69</v>
      </c>
      <c r="B129" s="1" t="s">
        <v>57</v>
      </c>
      <c r="C129" s="1" t="s">
        <v>38</v>
      </c>
      <c r="D129" s="1" t="s">
        <v>58</v>
      </c>
      <c r="E129" s="1" t="str">
        <f>+'CUOTA INDUSTRIAL'!C$103</f>
        <v xml:space="preserve">ALIMENTOS MARINOS S.A.    </v>
      </c>
      <c r="F129" s="1" t="s">
        <v>61</v>
      </c>
      <c r="G129" s="1" t="s">
        <v>62</v>
      </c>
      <c r="H129" s="3">
        <f>+'CUOTA INDUSTRIAL'!E104</f>
        <v>86.744699999999995</v>
      </c>
      <c r="I129" s="3">
        <f>+'CUOTA INDUSTRIAL'!F104</f>
        <v>0</v>
      </c>
      <c r="J129" s="3">
        <f>+'CUOTA INDUSTRIAL'!G104</f>
        <v>3.7990999999999815</v>
      </c>
      <c r="K129" s="3">
        <f>+'CUOTA INDUSTRIAL'!H104</f>
        <v>0</v>
      </c>
      <c r="L129" s="3">
        <f>+'CUOTA INDUSTRIAL'!I104</f>
        <v>3.7990999999999815</v>
      </c>
      <c r="M129" s="114">
        <f>+'CUOTA INDUSTRIAL'!J104</f>
        <v>0</v>
      </c>
      <c r="N129" s="4" t="s">
        <v>82</v>
      </c>
      <c r="O129" s="5">
        <f>RESUMEN!$B$3</f>
        <v>44452</v>
      </c>
      <c r="P129" s="1">
        <f t="shared" si="3"/>
        <v>2021</v>
      </c>
      <c r="Q129" s="1"/>
    </row>
    <row r="130" spans="1:17">
      <c r="A130" s="2" t="s">
        <v>69</v>
      </c>
      <c r="B130" s="1" t="s">
        <v>57</v>
      </c>
      <c r="C130" s="1" t="s">
        <v>38</v>
      </c>
      <c r="D130" s="1" t="s">
        <v>58</v>
      </c>
      <c r="E130" s="1" t="str">
        <f>+'CUOTA INDUSTRIAL'!C$103</f>
        <v xml:space="preserve">ALIMENTOS MARINOS S.A.    </v>
      </c>
      <c r="F130" s="1" t="s">
        <v>59</v>
      </c>
      <c r="G130" s="1" t="s">
        <v>62</v>
      </c>
      <c r="H130" s="3">
        <f>'CUOTA INDUSTRIAL'!K103</f>
        <v>4338.7991000000002</v>
      </c>
      <c r="I130" s="3">
        <f>'CUOTA INDUSTRIAL'!L103</f>
        <v>-4335</v>
      </c>
      <c r="J130" s="3">
        <f>'CUOTA INDUSTRIAL'!M103</f>
        <v>3.7991000000001804</v>
      </c>
      <c r="K130" s="3">
        <f>'CUOTA INDUSTRIAL'!N103</f>
        <v>0</v>
      </c>
      <c r="L130" s="3">
        <f>'CUOTA INDUSTRIAL'!O103</f>
        <v>3.7991000000001804</v>
      </c>
      <c r="M130" s="114">
        <f>'CUOTA INDUSTRIAL'!P103</f>
        <v>0</v>
      </c>
      <c r="N130" s="4" t="s">
        <v>82</v>
      </c>
      <c r="O130" s="5">
        <f>RESUMEN!$B$3</f>
        <v>44452</v>
      </c>
      <c r="P130" s="1">
        <f t="shared" si="3"/>
        <v>2021</v>
      </c>
      <c r="Q130" s="1"/>
    </row>
    <row r="131" spans="1:17">
      <c r="A131" s="2" t="s">
        <v>69</v>
      </c>
      <c r="B131" s="1" t="s">
        <v>57</v>
      </c>
      <c r="C131" s="1" t="s">
        <v>38</v>
      </c>
      <c r="D131" s="1" t="s">
        <v>58</v>
      </c>
      <c r="E131" s="1" t="str">
        <f>+'CUOTA INDUSTRIAL'!C$105</f>
        <v>BAHIA CALDERA S.A. PESQ</v>
      </c>
      <c r="F131" s="1" t="s">
        <v>59</v>
      </c>
      <c r="G131" s="1" t="s">
        <v>60</v>
      </c>
      <c r="H131" s="3">
        <f>+'CUOTA INDUSTRIAL'!E105</f>
        <v>37.599499999999999</v>
      </c>
      <c r="I131" s="3">
        <f>+'CUOTA INDUSTRIAL'!F105</f>
        <v>0</v>
      </c>
      <c r="J131" s="3">
        <f>+'CUOTA INDUSTRIAL'!G105</f>
        <v>37.599499999999999</v>
      </c>
      <c r="K131" s="3">
        <f>+'CUOTA INDUSTRIAL'!H105</f>
        <v>0</v>
      </c>
      <c r="L131" s="3">
        <f>+'CUOTA INDUSTRIAL'!I105</f>
        <v>37.599499999999999</v>
      </c>
      <c r="M131" s="114">
        <f>+'CUOTA INDUSTRIAL'!J105</f>
        <v>0</v>
      </c>
      <c r="N131" s="4" t="s">
        <v>82</v>
      </c>
      <c r="O131" s="5">
        <f>RESUMEN!$B$3</f>
        <v>44452</v>
      </c>
      <c r="P131" s="1">
        <f t="shared" si="3"/>
        <v>2021</v>
      </c>
      <c r="Q131" s="1"/>
    </row>
    <row r="132" spans="1:17">
      <c r="A132" s="2" t="s">
        <v>69</v>
      </c>
      <c r="B132" s="1" t="s">
        <v>57</v>
      </c>
      <c r="C132" s="1" t="s">
        <v>38</v>
      </c>
      <c r="D132" s="1" t="s">
        <v>58</v>
      </c>
      <c r="E132" s="1" t="str">
        <f>+'CUOTA INDUSTRIAL'!C$105</f>
        <v>BAHIA CALDERA S.A. PESQ</v>
      </c>
      <c r="F132" s="1" t="s">
        <v>61</v>
      </c>
      <c r="G132" s="1" t="s">
        <v>62</v>
      </c>
      <c r="H132" s="3">
        <f>+'CUOTA INDUSTRIAL'!E106</f>
        <v>0.7671</v>
      </c>
      <c r="I132" s="3">
        <f>+'CUOTA INDUSTRIAL'!F106</f>
        <v>0</v>
      </c>
      <c r="J132" s="3">
        <f>+'CUOTA INDUSTRIAL'!G106</f>
        <v>38.366599999999998</v>
      </c>
      <c r="K132" s="3">
        <f>+'CUOTA INDUSTRIAL'!H106</f>
        <v>0</v>
      </c>
      <c r="L132" s="3">
        <f>+'CUOTA INDUSTRIAL'!I106</f>
        <v>38.366599999999998</v>
      </c>
      <c r="M132" s="114">
        <f>+'CUOTA INDUSTRIAL'!J106</f>
        <v>0</v>
      </c>
      <c r="N132" s="4" t="s">
        <v>82</v>
      </c>
      <c r="O132" s="5">
        <f>RESUMEN!$B$3</f>
        <v>44452</v>
      </c>
      <c r="P132" s="1">
        <f t="shared" si="3"/>
        <v>2021</v>
      </c>
      <c r="Q132" s="1"/>
    </row>
    <row r="133" spans="1:17">
      <c r="A133" s="2" t="s">
        <v>69</v>
      </c>
      <c r="B133" s="1" t="s">
        <v>57</v>
      </c>
      <c r="C133" s="1" t="s">
        <v>38</v>
      </c>
      <c r="D133" s="1" t="s">
        <v>58</v>
      </c>
      <c r="E133" s="1" t="str">
        <f>+'CUOTA INDUSTRIAL'!C$105</f>
        <v>BAHIA CALDERA S.A. PESQ</v>
      </c>
      <c r="F133" s="1" t="s">
        <v>59</v>
      </c>
      <c r="G133" s="1" t="s">
        <v>62</v>
      </c>
      <c r="H133" s="3">
        <f>'CUOTA INDUSTRIAL'!K105</f>
        <v>38.366599999999998</v>
      </c>
      <c r="I133" s="3">
        <f>'CUOTA INDUSTRIAL'!L105</f>
        <v>0</v>
      </c>
      <c r="J133" s="3">
        <f>'CUOTA INDUSTRIAL'!M105</f>
        <v>38.366599999999998</v>
      </c>
      <c r="K133" s="3">
        <f>'CUOTA INDUSTRIAL'!N105</f>
        <v>0</v>
      </c>
      <c r="L133" s="3">
        <f>'CUOTA INDUSTRIAL'!O105</f>
        <v>38.366599999999998</v>
      </c>
      <c r="M133" s="114">
        <f>'CUOTA INDUSTRIAL'!P105</f>
        <v>0</v>
      </c>
      <c r="N133" s="4" t="s">
        <v>82</v>
      </c>
      <c r="O133" s="5">
        <f>RESUMEN!$B$3</f>
        <v>44452</v>
      </c>
      <c r="P133" s="1">
        <f t="shared" si="3"/>
        <v>2021</v>
      </c>
      <c r="Q133" s="1"/>
    </row>
    <row r="134" spans="1:17">
      <c r="A134" s="2" t="s">
        <v>69</v>
      </c>
      <c r="B134" s="1" t="s">
        <v>57</v>
      </c>
      <c r="C134" s="1" t="s">
        <v>38</v>
      </c>
      <c r="D134" s="1" t="s">
        <v>58</v>
      </c>
      <c r="E134" s="1" t="str">
        <f>+'CUOTA INDUSTRIAL'!C$107</f>
        <v>CAMANCHACA PESCA SUR S.A.</v>
      </c>
      <c r="F134" s="1" t="s">
        <v>59</v>
      </c>
      <c r="G134" s="1" t="s">
        <v>60</v>
      </c>
      <c r="H134" s="3">
        <f>+'CUOTA INDUSTRIAL'!E107</f>
        <v>6012.8099000000002</v>
      </c>
      <c r="I134" s="3">
        <f>+'CUOTA INDUSTRIAL'!F107</f>
        <v>-5343.9619000000002</v>
      </c>
      <c r="J134" s="3">
        <f>+'CUOTA INDUSTRIAL'!G107</f>
        <v>668.84799999999996</v>
      </c>
      <c r="K134" s="3">
        <f>+'CUOTA INDUSTRIAL'!H107</f>
        <v>779.34199999999998</v>
      </c>
      <c r="L134" s="3">
        <f>+'CUOTA INDUSTRIAL'!I107</f>
        <v>-110.49400000000003</v>
      </c>
      <c r="M134" s="114">
        <f>+'CUOTA INDUSTRIAL'!J107</f>
        <v>1.1652004640815252</v>
      </c>
      <c r="N134" s="4" t="s">
        <v>82</v>
      </c>
      <c r="O134" s="5">
        <f>RESUMEN!$B$3</f>
        <v>44452</v>
      </c>
      <c r="P134" s="1">
        <f t="shared" si="3"/>
        <v>2021</v>
      </c>
      <c r="Q134" s="1"/>
    </row>
    <row r="135" spans="1:17">
      <c r="A135" s="2" t="s">
        <v>69</v>
      </c>
      <c r="B135" s="1" t="s">
        <v>57</v>
      </c>
      <c r="C135" s="1" t="s">
        <v>38</v>
      </c>
      <c r="D135" s="1" t="s">
        <v>58</v>
      </c>
      <c r="E135" s="1" t="str">
        <f>+'CUOTA INDUSTRIAL'!C$107</f>
        <v>CAMANCHACA PESCA SUR S.A.</v>
      </c>
      <c r="F135" s="1" t="s">
        <v>61</v>
      </c>
      <c r="G135" s="1" t="s">
        <v>62</v>
      </c>
      <c r="H135" s="3">
        <f>+'CUOTA INDUSTRIAL'!E108</f>
        <v>122.6653</v>
      </c>
      <c r="I135" s="3">
        <f>+'CUOTA INDUSTRIAL'!F108</f>
        <v>0</v>
      </c>
      <c r="J135" s="3">
        <f>+'CUOTA INDUSTRIAL'!G108</f>
        <v>12.171299999999974</v>
      </c>
      <c r="K135" s="3">
        <f>+'CUOTA INDUSTRIAL'!H108</f>
        <v>0</v>
      </c>
      <c r="L135" s="3">
        <f>+'CUOTA INDUSTRIAL'!I108</f>
        <v>12.171299999999974</v>
      </c>
      <c r="M135" s="114">
        <f>+'CUOTA INDUSTRIAL'!J108</f>
        <v>0</v>
      </c>
      <c r="N135" s="4" t="s">
        <v>82</v>
      </c>
      <c r="O135" s="5">
        <f>RESUMEN!$B$3</f>
        <v>44452</v>
      </c>
      <c r="P135" s="1">
        <f t="shared" si="3"/>
        <v>2021</v>
      </c>
      <c r="Q135" s="1"/>
    </row>
    <row r="136" spans="1:17">
      <c r="A136" s="2" t="s">
        <v>69</v>
      </c>
      <c r="B136" s="1" t="s">
        <v>57</v>
      </c>
      <c r="C136" s="1" t="s">
        <v>38</v>
      </c>
      <c r="D136" s="1" t="s">
        <v>58</v>
      </c>
      <c r="E136" s="1" t="str">
        <f>+'CUOTA INDUSTRIAL'!C$107</f>
        <v>CAMANCHACA PESCA SUR S.A.</v>
      </c>
      <c r="F136" s="1" t="s">
        <v>59</v>
      </c>
      <c r="G136" s="1" t="s">
        <v>62</v>
      </c>
      <c r="H136" s="3">
        <f>'CUOTA INDUSTRIAL'!K107</f>
        <v>6135.4751999999999</v>
      </c>
      <c r="I136" s="3">
        <f>'CUOTA INDUSTRIAL'!L107</f>
        <v>-5343.9619000000002</v>
      </c>
      <c r="J136" s="3">
        <f>'CUOTA INDUSTRIAL'!M107</f>
        <v>791.51329999999962</v>
      </c>
      <c r="K136" s="3">
        <f>'CUOTA INDUSTRIAL'!N107</f>
        <v>779.34199999999998</v>
      </c>
      <c r="L136" s="3">
        <f>'CUOTA INDUSTRIAL'!O107</f>
        <v>12.171299999999633</v>
      </c>
      <c r="M136" s="114">
        <f>'CUOTA INDUSTRIAL'!P107</f>
        <v>0.98462274733728461</v>
      </c>
      <c r="N136" s="4" t="s">
        <v>82</v>
      </c>
      <c r="O136" s="5">
        <f>RESUMEN!$B$3</f>
        <v>44452</v>
      </c>
      <c r="P136" s="1">
        <f t="shared" si="3"/>
        <v>2021</v>
      </c>
      <c r="Q136" s="1"/>
    </row>
    <row r="137" spans="1:17">
      <c r="A137" s="2" t="s">
        <v>69</v>
      </c>
      <c r="B137" s="1" t="s">
        <v>57</v>
      </c>
      <c r="C137" s="1" t="s">
        <v>38</v>
      </c>
      <c r="D137" s="1" t="s">
        <v>58</v>
      </c>
      <c r="E137" s="1" t="str">
        <f>+'CUOTA INDUSTRIAL'!C$109</f>
        <v>PACIFICBLU SpA.</v>
      </c>
      <c r="F137" s="1" t="s">
        <v>59</v>
      </c>
      <c r="G137" s="1" t="s">
        <v>60</v>
      </c>
      <c r="H137" s="3">
        <f>+'CUOTA INDUSTRIAL'!E109</f>
        <v>1.48</v>
      </c>
      <c r="I137" s="3">
        <f>+'CUOTA INDUSTRIAL'!F109</f>
        <v>0</v>
      </c>
      <c r="J137" s="3">
        <f>+'CUOTA INDUSTRIAL'!G109</f>
        <v>1.48</v>
      </c>
      <c r="K137" s="3">
        <f>+'CUOTA INDUSTRIAL'!H109</f>
        <v>0</v>
      </c>
      <c r="L137" s="3">
        <f>+'CUOTA INDUSTRIAL'!I109</f>
        <v>1.48</v>
      </c>
      <c r="M137" s="114">
        <f>'CUOTA INDUSTRIAL'!J105</f>
        <v>0</v>
      </c>
      <c r="N137" s="4" t="s">
        <v>82</v>
      </c>
      <c r="O137" s="5">
        <f>RESUMEN!$B$3</f>
        <v>44452</v>
      </c>
      <c r="P137" s="1">
        <f t="shared" si="3"/>
        <v>2021</v>
      </c>
      <c r="Q137" s="1"/>
    </row>
    <row r="138" spans="1:17">
      <c r="A138" s="2" t="s">
        <v>69</v>
      </c>
      <c r="B138" s="1" t="s">
        <v>57</v>
      </c>
      <c r="C138" s="1" t="s">
        <v>38</v>
      </c>
      <c r="D138" s="1" t="s">
        <v>58</v>
      </c>
      <c r="E138" s="1" t="str">
        <f>+'CUOTA INDUSTRIAL'!C$109</f>
        <v>PACIFICBLU SpA.</v>
      </c>
      <c r="F138" s="1" t="s">
        <v>61</v>
      </c>
      <c r="G138" s="1" t="s">
        <v>62</v>
      </c>
      <c r="H138" s="3">
        <f>+'CUOTA INDUSTRIAL'!E110</f>
        <v>3.0200000000000001E-2</v>
      </c>
      <c r="I138" s="3">
        <f>+'CUOTA INDUSTRIAL'!F110</f>
        <v>0</v>
      </c>
      <c r="J138" s="3">
        <f>+'CUOTA INDUSTRIAL'!G110</f>
        <v>1.5102</v>
      </c>
      <c r="K138" s="3">
        <f>+'CUOTA INDUSTRIAL'!H110</f>
        <v>0</v>
      </c>
      <c r="L138" s="3">
        <f>+'CUOTA INDUSTRIAL'!I110</f>
        <v>1.5102</v>
      </c>
      <c r="M138" s="114">
        <f>'CUOTA INDUSTRIAL'!J106</f>
        <v>0</v>
      </c>
      <c r="N138" s="4" t="s">
        <v>82</v>
      </c>
      <c r="O138" s="5">
        <f>RESUMEN!$B$3</f>
        <v>44452</v>
      </c>
      <c r="P138" s="1">
        <f t="shared" si="3"/>
        <v>2021</v>
      </c>
      <c r="Q138" s="1"/>
    </row>
    <row r="139" spans="1:17">
      <c r="A139" s="2" t="s">
        <v>69</v>
      </c>
      <c r="B139" s="1" t="s">
        <v>57</v>
      </c>
      <c r="C139" s="1" t="s">
        <v>38</v>
      </c>
      <c r="D139" s="1" t="s">
        <v>58</v>
      </c>
      <c r="E139" s="1" t="str">
        <f>+'CUOTA INDUSTRIAL'!C$109</f>
        <v>PACIFICBLU SpA.</v>
      </c>
      <c r="F139" s="1" t="s">
        <v>59</v>
      </c>
      <c r="G139" s="1" t="s">
        <v>62</v>
      </c>
      <c r="H139" s="3">
        <f>'CUOTA INDUSTRIAL'!K109</f>
        <v>1.5102</v>
      </c>
      <c r="I139" s="3">
        <f>'CUOTA INDUSTRIAL'!L109</f>
        <v>0</v>
      </c>
      <c r="J139" s="3">
        <f>'CUOTA INDUSTRIAL'!M109</f>
        <v>1.5102</v>
      </c>
      <c r="K139" s="3">
        <f>'CUOTA INDUSTRIAL'!N109</f>
        <v>0</v>
      </c>
      <c r="L139" s="3">
        <f>'CUOTA INDUSTRIAL'!O109</f>
        <v>1.5102</v>
      </c>
      <c r="M139" s="114">
        <f>'CUOTA INDUSTRIAL'!P105</f>
        <v>0</v>
      </c>
      <c r="N139" s="4" t="s">
        <v>82</v>
      </c>
      <c r="O139" s="5">
        <f>RESUMEN!$B$3</f>
        <v>44452</v>
      </c>
      <c r="P139" s="1">
        <f t="shared" si="3"/>
        <v>2021</v>
      </c>
      <c r="Q139" s="1"/>
    </row>
    <row r="140" spans="1:17">
      <c r="A140" s="2" t="s">
        <v>69</v>
      </c>
      <c r="B140" s="1" t="s">
        <v>57</v>
      </c>
      <c r="C140" s="1" t="s">
        <v>38</v>
      </c>
      <c r="D140" s="1" t="s">
        <v>58</v>
      </c>
      <c r="E140" s="1" t="str">
        <f>+'CUOTA INDUSTRIAL'!C$111</f>
        <v xml:space="preserve">BLUMAR S.A.             </v>
      </c>
      <c r="F140" s="1" t="s">
        <v>59</v>
      </c>
      <c r="G140" s="1" t="s">
        <v>60</v>
      </c>
      <c r="H140" s="3">
        <f>+'CUOTA INDUSTRIAL'!E111</f>
        <v>9035.5161000000007</v>
      </c>
      <c r="I140" s="3">
        <f>+'CUOTA INDUSTRIAL'!F111</f>
        <v>-9000</v>
      </c>
      <c r="J140" s="3">
        <f>+'CUOTA INDUSTRIAL'!G111</f>
        <v>35.516100000000733</v>
      </c>
      <c r="K140" s="3">
        <f>+'CUOTA INDUSTRIAL'!H111</f>
        <v>0</v>
      </c>
      <c r="L140" s="3">
        <f>+'CUOTA INDUSTRIAL'!I111</f>
        <v>35.516100000000733</v>
      </c>
      <c r="M140" s="114">
        <f>+'CUOTA INDUSTRIAL'!J111</f>
        <v>0</v>
      </c>
      <c r="N140" s="4" t="s">
        <v>82</v>
      </c>
      <c r="O140" s="5">
        <f>RESUMEN!$B$3</f>
        <v>44452</v>
      </c>
      <c r="P140" s="1">
        <f t="shared" si="3"/>
        <v>2021</v>
      </c>
      <c r="Q140" s="1"/>
    </row>
    <row r="141" spans="1:17">
      <c r="A141" s="2" t="s">
        <v>69</v>
      </c>
      <c r="B141" s="1" t="s">
        <v>57</v>
      </c>
      <c r="C141" s="1" t="s">
        <v>38</v>
      </c>
      <c r="D141" s="1" t="s">
        <v>58</v>
      </c>
      <c r="E141" s="1" t="str">
        <f>+'CUOTA INDUSTRIAL'!C$111</f>
        <v xml:space="preserve">BLUMAR S.A.             </v>
      </c>
      <c r="F141" s="1" t="s">
        <v>61</v>
      </c>
      <c r="G141" s="1" t="s">
        <v>62</v>
      </c>
      <c r="H141" s="3">
        <f>+'CUOTA INDUSTRIAL'!E112</f>
        <v>184.3305</v>
      </c>
      <c r="I141" s="3">
        <f>+'CUOTA INDUSTRIAL'!F112</f>
        <v>0</v>
      </c>
      <c r="J141" s="3">
        <f>+'CUOTA INDUSTRIAL'!G112</f>
        <v>219.84660000000073</v>
      </c>
      <c r="K141" s="3">
        <f>+'CUOTA INDUSTRIAL'!H112</f>
        <v>0</v>
      </c>
      <c r="L141" s="3">
        <f>+'CUOTA INDUSTRIAL'!I112</f>
        <v>219.84660000000073</v>
      </c>
      <c r="M141" s="114">
        <f>+'CUOTA INDUSTRIAL'!J112</f>
        <v>0</v>
      </c>
      <c r="N141" s="4" t="s">
        <v>82</v>
      </c>
      <c r="O141" s="5">
        <f>RESUMEN!$B$3</f>
        <v>44452</v>
      </c>
      <c r="P141" s="1">
        <f t="shared" si="3"/>
        <v>2021</v>
      </c>
      <c r="Q141" s="1"/>
    </row>
    <row r="142" spans="1:17">
      <c r="A142" s="2" t="s">
        <v>69</v>
      </c>
      <c r="B142" s="1" t="s">
        <v>57</v>
      </c>
      <c r="C142" s="1" t="s">
        <v>38</v>
      </c>
      <c r="D142" s="1" t="s">
        <v>58</v>
      </c>
      <c r="E142" s="1" t="str">
        <f>+'CUOTA INDUSTRIAL'!C$111</f>
        <v xml:space="preserve">BLUMAR S.A.             </v>
      </c>
      <c r="F142" s="1" t="s">
        <v>59</v>
      </c>
      <c r="G142" s="1" t="s">
        <v>62</v>
      </c>
      <c r="H142" s="3">
        <f>'CUOTA INDUSTRIAL'!K111</f>
        <v>9219.8466000000008</v>
      </c>
      <c r="I142" s="3">
        <f>'CUOTA INDUSTRIAL'!L111</f>
        <v>-9000</v>
      </c>
      <c r="J142" s="3">
        <f>'CUOTA INDUSTRIAL'!M111</f>
        <v>219.84660000000076</v>
      </c>
      <c r="K142" s="3">
        <f>'CUOTA INDUSTRIAL'!N111</f>
        <v>0</v>
      </c>
      <c r="L142" s="3">
        <f>'CUOTA INDUSTRIAL'!O111</f>
        <v>219.84660000000076</v>
      </c>
      <c r="M142" s="114">
        <f>'CUOTA INDUSTRIAL'!P111</f>
        <v>0</v>
      </c>
      <c r="N142" s="4" t="s">
        <v>82</v>
      </c>
      <c r="O142" s="5">
        <f>RESUMEN!$B$3</f>
        <v>44452</v>
      </c>
      <c r="P142" s="1">
        <f t="shared" ref="P142:P208" si="5">YEAR(O142)</f>
        <v>2021</v>
      </c>
      <c r="Q142" s="1"/>
    </row>
    <row r="143" spans="1:17">
      <c r="A143" s="2" t="s">
        <v>69</v>
      </c>
      <c r="B143" s="1" t="s">
        <v>57</v>
      </c>
      <c r="C143" s="1" t="s">
        <v>38</v>
      </c>
      <c r="D143" s="1" t="s">
        <v>58</v>
      </c>
      <c r="E143" s="1" t="str">
        <f>+'CUOTA INDUSTRIAL'!C$113</f>
        <v>CAMANCHACA S.A.</v>
      </c>
      <c r="F143" s="1" t="s">
        <v>59</v>
      </c>
      <c r="G143" s="1" t="s">
        <v>60</v>
      </c>
      <c r="H143" s="3">
        <f>+'CUOTA INDUSTRIAL'!E113</f>
        <v>211.27189999999999</v>
      </c>
      <c r="I143" s="3">
        <f>+'CUOTA INDUSTRIAL'!F113</f>
        <v>-215.58199999999999</v>
      </c>
      <c r="J143" s="3">
        <f>+'CUOTA INDUSTRIAL'!G113</f>
        <v>-4.3101000000000056</v>
      </c>
      <c r="K143" s="3">
        <f>+'CUOTA INDUSTRIAL'!H113</f>
        <v>0</v>
      </c>
      <c r="L143" s="3">
        <f>+'CUOTA INDUSTRIAL'!I113</f>
        <v>-4.3101000000000056</v>
      </c>
      <c r="M143" s="114">
        <f>+'CUOTA INDUSTRIAL'!J113</f>
        <v>0</v>
      </c>
      <c r="N143" s="4" t="s">
        <v>82</v>
      </c>
      <c r="O143" s="5">
        <f>RESUMEN!$B$3</f>
        <v>44452</v>
      </c>
      <c r="P143" s="1">
        <f t="shared" si="5"/>
        <v>2021</v>
      </c>
      <c r="Q143" s="1"/>
    </row>
    <row r="144" spans="1:17">
      <c r="A144" s="2" t="s">
        <v>69</v>
      </c>
      <c r="B144" s="1" t="s">
        <v>57</v>
      </c>
      <c r="C144" s="1" t="s">
        <v>38</v>
      </c>
      <c r="D144" s="1" t="s">
        <v>58</v>
      </c>
      <c r="E144" s="1" t="str">
        <f>+'CUOTA INDUSTRIAL'!C$113</f>
        <v>CAMANCHACA S.A.</v>
      </c>
      <c r="F144" s="1" t="s">
        <v>61</v>
      </c>
      <c r="G144" s="1" t="s">
        <v>62</v>
      </c>
      <c r="H144" s="3">
        <f>+'CUOTA INDUSTRIAL'!E114</f>
        <v>4.3101000000000003</v>
      </c>
      <c r="I144" s="3">
        <f>+'CUOTA INDUSTRIAL'!F114</f>
        <v>0</v>
      </c>
      <c r="J144" s="3">
        <f>+'CUOTA INDUSTRIAL'!G114</f>
        <v>0</v>
      </c>
      <c r="K144" s="3">
        <f>+'CUOTA INDUSTRIAL'!H114</f>
        <v>0</v>
      </c>
      <c r="L144" s="3">
        <f>+'CUOTA INDUSTRIAL'!I114</f>
        <v>0</v>
      </c>
      <c r="M144" s="114" t="e">
        <f>+'CUOTA INDUSTRIAL'!J114</f>
        <v>#DIV/0!</v>
      </c>
      <c r="N144" s="4" t="s">
        <v>82</v>
      </c>
      <c r="O144" s="5">
        <f>RESUMEN!$B$3</f>
        <v>44452</v>
      </c>
      <c r="P144" s="1">
        <f t="shared" si="5"/>
        <v>2021</v>
      </c>
      <c r="Q144" s="1"/>
    </row>
    <row r="145" spans="1:17">
      <c r="A145" s="2" t="s">
        <v>69</v>
      </c>
      <c r="B145" s="1" t="s">
        <v>57</v>
      </c>
      <c r="C145" s="1" t="s">
        <v>38</v>
      </c>
      <c r="D145" s="1" t="s">
        <v>58</v>
      </c>
      <c r="E145" s="1" t="str">
        <f>+'CUOTA INDUSTRIAL'!C$113</f>
        <v>CAMANCHACA S.A.</v>
      </c>
      <c r="F145" s="1" t="s">
        <v>59</v>
      </c>
      <c r="G145" s="1" t="s">
        <v>62</v>
      </c>
      <c r="H145" s="3">
        <f>'CUOTA INDUSTRIAL'!K113</f>
        <v>215.58199999999999</v>
      </c>
      <c r="I145" s="3">
        <f>'CUOTA INDUSTRIAL'!L113</f>
        <v>-215.58199999999999</v>
      </c>
      <c r="J145" s="3">
        <f>'CUOTA INDUSTRIAL'!M113</f>
        <v>0</v>
      </c>
      <c r="K145" s="3">
        <f>'CUOTA INDUSTRIAL'!N113</f>
        <v>0</v>
      </c>
      <c r="L145" s="3">
        <f>'CUOTA INDUSTRIAL'!O113</f>
        <v>0</v>
      </c>
      <c r="M145" s="114">
        <f>'CUOTA INDUSTRIAL'!P113</f>
        <v>0</v>
      </c>
      <c r="N145" s="4" t="s">
        <v>82</v>
      </c>
      <c r="O145" s="5">
        <f>RESUMEN!$B$3</f>
        <v>44452</v>
      </c>
      <c r="P145" s="1">
        <f t="shared" si="5"/>
        <v>2021</v>
      </c>
      <c r="Q145" s="1"/>
    </row>
    <row r="146" spans="1:17">
      <c r="A146" s="2" t="s">
        <v>69</v>
      </c>
      <c r="B146" s="1" t="s">
        <v>57</v>
      </c>
      <c r="C146" s="1" t="s">
        <v>38</v>
      </c>
      <c r="D146" s="1" t="s">
        <v>58</v>
      </c>
      <c r="E146" s="1" t="str">
        <f>+'CUOTA INDUSTRIAL'!C$115</f>
        <v xml:space="preserve">LITORAL SpA PESQ   </v>
      </c>
      <c r="F146" s="1" t="s">
        <v>59</v>
      </c>
      <c r="G146" s="1" t="s">
        <v>60</v>
      </c>
      <c r="H146" s="3">
        <f>+'CUOTA INDUSTRIAL'!E115</f>
        <v>2760.9375</v>
      </c>
      <c r="I146" s="3">
        <f>+'CUOTA INDUSTRIAL'!F115</f>
        <v>-2800</v>
      </c>
      <c r="J146" s="3">
        <f>+'CUOTA INDUSTRIAL'!G115</f>
        <v>-39.0625</v>
      </c>
      <c r="K146" s="3">
        <f>+'CUOTA INDUSTRIAL'!H115</f>
        <v>0</v>
      </c>
      <c r="L146" s="3">
        <f>+'CUOTA INDUSTRIAL'!I115</f>
        <v>-39.0625</v>
      </c>
      <c r="M146" s="114">
        <f>+'CUOTA INDUSTRIAL'!J115</f>
        <v>0</v>
      </c>
      <c r="N146" s="4" t="s">
        <v>82</v>
      </c>
      <c r="O146" s="5">
        <f>RESUMEN!$B$3</f>
        <v>44452</v>
      </c>
      <c r="P146" s="1">
        <f t="shared" si="5"/>
        <v>2021</v>
      </c>
      <c r="Q146" s="1"/>
    </row>
    <row r="147" spans="1:17">
      <c r="A147" s="2" t="s">
        <v>69</v>
      </c>
      <c r="B147" s="1" t="s">
        <v>57</v>
      </c>
      <c r="C147" s="1" t="s">
        <v>38</v>
      </c>
      <c r="D147" s="1" t="s">
        <v>58</v>
      </c>
      <c r="E147" s="1" t="str">
        <f>+'CUOTA INDUSTRIAL'!C$115</f>
        <v xml:space="preserve">LITORAL SpA PESQ   </v>
      </c>
      <c r="F147" s="1" t="s">
        <v>61</v>
      </c>
      <c r="G147" s="1" t="s">
        <v>62</v>
      </c>
      <c r="H147" s="3">
        <f>+'CUOTA INDUSTRIAL'!E116</f>
        <v>56.325000000000003</v>
      </c>
      <c r="I147" s="3">
        <f>+'CUOTA INDUSTRIAL'!F116</f>
        <v>0</v>
      </c>
      <c r="J147" s="3">
        <f>+'CUOTA INDUSTRIAL'!G116</f>
        <v>17.262500000000003</v>
      </c>
      <c r="K147" s="3">
        <f>+'CUOTA INDUSTRIAL'!H116</f>
        <v>0</v>
      </c>
      <c r="L147" s="3">
        <f>+'CUOTA INDUSTRIAL'!I116</f>
        <v>17.262500000000003</v>
      </c>
      <c r="M147" s="114">
        <f>+'CUOTA INDUSTRIAL'!J116</f>
        <v>0</v>
      </c>
      <c r="N147" s="4" t="s">
        <v>82</v>
      </c>
      <c r="O147" s="5">
        <f>RESUMEN!$B$3</f>
        <v>44452</v>
      </c>
      <c r="P147" s="1">
        <f t="shared" si="5"/>
        <v>2021</v>
      </c>
      <c r="Q147" s="1"/>
    </row>
    <row r="148" spans="1:17">
      <c r="A148" s="2" t="s">
        <v>69</v>
      </c>
      <c r="B148" s="1" t="s">
        <v>57</v>
      </c>
      <c r="C148" s="1" t="s">
        <v>38</v>
      </c>
      <c r="D148" s="1" t="s">
        <v>58</v>
      </c>
      <c r="E148" s="1" t="str">
        <f>+'CUOTA INDUSTRIAL'!C$115</f>
        <v xml:space="preserve">LITORAL SpA PESQ   </v>
      </c>
      <c r="F148" s="1" t="s">
        <v>59</v>
      </c>
      <c r="G148" s="1" t="s">
        <v>62</v>
      </c>
      <c r="H148" s="3">
        <f>'CUOTA INDUSTRIAL'!K115</f>
        <v>2817.2624999999998</v>
      </c>
      <c r="I148" s="3">
        <f>'CUOTA INDUSTRIAL'!L115</f>
        <v>-2800</v>
      </c>
      <c r="J148" s="3">
        <f>'CUOTA INDUSTRIAL'!M115</f>
        <v>17.262499999999818</v>
      </c>
      <c r="K148" s="3">
        <f>'CUOTA INDUSTRIAL'!N115</f>
        <v>0</v>
      </c>
      <c r="L148" s="3">
        <f>'CUOTA INDUSTRIAL'!O115</f>
        <v>17.262499999999818</v>
      </c>
      <c r="M148" s="114">
        <f>'CUOTA INDUSTRIAL'!P115</f>
        <v>0</v>
      </c>
      <c r="N148" s="4" t="s">
        <v>82</v>
      </c>
      <c r="O148" s="5">
        <f>RESUMEN!$B$3</f>
        <v>44452</v>
      </c>
      <c r="P148" s="1">
        <f t="shared" si="5"/>
        <v>2021</v>
      </c>
      <c r="Q148" s="1"/>
    </row>
    <row r="149" spans="1:17">
      <c r="A149" s="2" t="s">
        <v>69</v>
      </c>
      <c r="B149" s="1" t="s">
        <v>57</v>
      </c>
      <c r="C149" s="1" t="s">
        <v>38</v>
      </c>
      <c r="D149" s="1" t="s">
        <v>58</v>
      </c>
      <c r="E149" s="1" t="str">
        <f>+'CUOTA INDUSTRIAL'!C$117</f>
        <v xml:space="preserve">FOODCORP CHILE S.A.   </v>
      </c>
      <c r="F149" s="1" t="s">
        <v>59</v>
      </c>
      <c r="G149" s="1" t="s">
        <v>60</v>
      </c>
      <c r="H149" s="3">
        <f>+'CUOTA INDUSTRIAL'!E117</f>
        <v>4341.8091999999997</v>
      </c>
      <c r="I149" s="3">
        <f>+'CUOTA INDUSTRIAL'!F117</f>
        <v>-4430</v>
      </c>
      <c r="J149" s="3">
        <f>+'CUOTA INDUSTRIAL'!G117</f>
        <v>-88.190800000000309</v>
      </c>
      <c r="K149" s="3">
        <f>+'CUOTA INDUSTRIAL'!H117</f>
        <v>0</v>
      </c>
      <c r="L149" s="3">
        <f>+'CUOTA INDUSTRIAL'!I117</f>
        <v>-88.190800000000309</v>
      </c>
      <c r="M149" s="114">
        <f>+'CUOTA INDUSTRIAL'!J117</f>
        <v>0</v>
      </c>
      <c r="N149" s="4" t="s">
        <v>82</v>
      </c>
      <c r="O149" s="5">
        <f>RESUMEN!$B$3</f>
        <v>44452</v>
      </c>
      <c r="P149" s="1">
        <f t="shared" si="5"/>
        <v>2021</v>
      </c>
      <c r="Q149" s="1"/>
    </row>
    <row r="150" spans="1:17">
      <c r="A150" s="2" t="s">
        <v>69</v>
      </c>
      <c r="B150" s="1" t="s">
        <v>57</v>
      </c>
      <c r="C150" s="1" t="s">
        <v>38</v>
      </c>
      <c r="D150" s="1" t="s">
        <v>58</v>
      </c>
      <c r="E150" s="1" t="str">
        <f>+'CUOTA INDUSTRIAL'!C$117</f>
        <v xml:space="preserve">FOODCORP CHILE S.A.   </v>
      </c>
      <c r="F150" s="1" t="s">
        <v>61</v>
      </c>
      <c r="G150" s="1" t="s">
        <v>62</v>
      </c>
      <c r="H150" s="3">
        <f>+'CUOTA INDUSTRIAL'!E118</f>
        <v>88.575800000000001</v>
      </c>
      <c r="I150" s="3">
        <f>+'CUOTA INDUSTRIAL'!F118</f>
        <v>0</v>
      </c>
      <c r="J150" s="3">
        <f>+'CUOTA INDUSTRIAL'!G118</f>
        <v>0.38499999999969248</v>
      </c>
      <c r="K150" s="3">
        <f>+'CUOTA INDUSTRIAL'!H118</f>
        <v>0</v>
      </c>
      <c r="L150" s="3">
        <f>+'CUOTA INDUSTRIAL'!I118</f>
        <v>0.38499999999969248</v>
      </c>
      <c r="M150" s="114">
        <f>+'CUOTA INDUSTRIAL'!J118</f>
        <v>0</v>
      </c>
      <c r="N150" s="4" t="s">
        <v>82</v>
      </c>
      <c r="O150" s="5">
        <f>RESUMEN!$B$3</f>
        <v>44452</v>
      </c>
      <c r="P150" s="1">
        <f t="shared" si="5"/>
        <v>2021</v>
      </c>
      <c r="Q150" s="1"/>
    </row>
    <row r="151" spans="1:17">
      <c r="A151" s="2" t="s">
        <v>69</v>
      </c>
      <c r="B151" s="1" t="s">
        <v>57</v>
      </c>
      <c r="C151" s="1" t="s">
        <v>38</v>
      </c>
      <c r="D151" s="1" t="s">
        <v>58</v>
      </c>
      <c r="E151" s="1" t="str">
        <f>+'CUOTA INDUSTRIAL'!C$117</f>
        <v xml:space="preserve">FOODCORP CHILE S.A.   </v>
      </c>
      <c r="F151" s="1" t="s">
        <v>59</v>
      </c>
      <c r="G151" s="1" t="s">
        <v>62</v>
      </c>
      <c r="H151" s="3">
        <f>'CUOTA INDUSTRIAL'!K117</f>
        <v>4430.3849999999993</v>
      </c>
      <c r="I151" s="3">
        <f>'CUOTA INDUSTRIAL'!L117</f>
        <v>-4430</v>
      </c>
      <c r="J151" s="3">
        <f>'CUOTA INDUSTRIAL'!M117</f>
        <v>0.38499999999930878</v>
      </c>
      <c r="K151" s="3">
        <f>'CUOTA INDUSTRIAL'!N117</f>
        <v>0</v>
      </c>
      <c r="L151" s="3">
        <f>'CUOTA INDUSTRIAL'!O117</f>
        <v>0.38499999999930878</v>
      </c>
      <c r="M151" s="114">
        <f>'CUOTA INDUSTRIAL'!P117</f>
        <v>0</v>
      </c>
      <c r="N151" s="4" t="s">
        <v>82</v>
      </c>
      <c r="O151" s="5">
        <f>RESUMEN!$B$3</f>
        <v>44452</v>
      </c>
      <c r="P151" s="1">
        <f t="shared" si="5"/>
        <v>2021</v>
      </c>
      <c r="Q151" s="1"/>
    </row>
    <row r="152" spans="1:17">
      <c r="A152" s="2" t="s">
        <v>69</v>
      </c>
      <c r="B152" s="1" t="s">
        <v>57</v>
      </c>
      <c r="C152" s="1" t="s">
        <v>38</v>
      </c>
      <c r="D152" s="1" t="s">
        <v>58</v>
      </c>
      <c r="E152" s="1" t="str">
        <f>+'CUOTA INDUSTRIAL'!C$119</f>
        <v>PAOLA POBLETE NOVOA</v>
      </c>
      <c r="F152" s="1" t="s">
        <v>59</v>
      </c>
      <c r="G152" s="1" t="s">
        <v>60</v>
      </c>
      <c r="H152" s="3">
        <f>+'CUOTA INDUSTRIAL'!E119</f>
        <v>0.37</v>
      </c>
      <c r="I152" s="3">
        <f>+'CUOTA INDUSTRIAL'!F119</f>
        <v>0</v>
      </c>
      <c r="J152" s="3">
        <f>+'CUOTA INDUSTRIAL'!G119</f>
        <v>0.37</v>
      </c>
      <c r="K152" s="3">
        <f>+'CUOTA INDUSTRIAL'!H119</f>
        <v>0</v>
      </c>
      <c r="L152" s="3">
        <f>+'CUOTA INDUSTRIAL'!I119</f>
        <v>0.37</v>
      </c>
      <c r="M152" s="114">
        <f>+'CUOTA INDUSTRIAL'!J119</f>
        <v>0</v>
      </c>
      <c r="N152" s="4" t="s">
        <v>82</v>
      </c>
      <c r="O152" s="5">
        <f>RESUMEN!$B$3</f>
        <v>44452</v>
      </c>
      <c r="P152" s="1">
        <f t="shared" si="5"/>
        <v>2021</v>
      </c>
      <c r="Q152" s="1"/>
    </row>
    <row r="153" spans="1:17">
      <c r="A153" s="2" t="s">
        <v>69</v>
      </c>
      <c r="B153" s="1" t="s">
        <v>57</v>
      </c>
      <c r="C153" s="1" t="s">
        <v>38</v>
      </c>
      <c r="D153" s="1" t="s">
        <v>58</v>
      </c>
      <c r="E153" s="1" t="str">
        <f>+'CUOTA INDUSTRIAL'!C$119</f>
        <v>PAOLA POBLETE NOVOA</v>
      </c>
      <c r="F153" s="1" t="s">
        <v>61</v>
      </c>
      <c r="G153" s="1" t="s">
        <v>62</v>
      </c>
      <c r="H153" s="3">
        <f>+'CUOTA INDUSTRIAL'!E120</f>
        <v>7.4999999999999997E-3</v>
      </c>
      <c r="I153" s="3">
        <f>+'CUOTA INDUSTRIAL'!F120</f>
        <v>0</v>
      </c>
      <c r="J153" s="3">
        <f>+'CUOTA INDUSTRIAL'!G120</f>
        <v>0.3775</v>
      </c>
      <c r="K153" s="3">
        <f>+'CUOTA INDUSTRIAL'!H120</f>
        <v>0</v>
      </c>
      <c r="L153" s="3">
        <f>+'CUOTA INDUSTRIAL'!I120</f>
        <v>0.3775</v>
      </c>
      <c r="M153" s="114">
        <f>+'CUOTA INDUSTRIAL'!J120</f>
        <v>0</v>
      </c>
      <c r="N153" s="4" t="s">
        <v>82</v>
      </c>
      <c r="O153" s="5">
        <f>RESUMEN!$B$3</f>
        <v>44452</v>
      </c>
      <c r="P153" s="1">
        <f t="shared" si="5"/>
        <v>2021</v>
      </c>
      <c r="Q153" s="1"/>
    </row>
    <row r="154" spans="1:17">
      <c r="A154" s="2" t="s">
        <v>69</v>
      </c>
      <c r="B154" s="1" t="s">
        <v>57</v>
      </c>
      <c r="C154" s="1" t="s">
        <v>38</v>
      </c>
      <c r="D154" s="1" t="s">
        <v>58</v>
      </c>
      <c r="E154" s="1" t="str">
        <f>+'CUOTA INDUSTRIAL'!C$119</f>
        <v>PAOLA POBLETE NOVOA</v>
      </c>
      <c r="F154" s="1" t="s">
        <v>59</v>
      </c>
      <c r="G154" s="1" t="s">
        <v>62</v>
      </c>
      <c r="H154" s="3">
        <f>'CUOTA INDUSTRIAL'!K119</f>
        <v>0.3775</v>
      </c>
      <c r="I154" s="3">
        <f>'CUOTA INDUSTRIAL'!L119</f>
        <v>0</v>
      </c>
      <c r="J154" s="3">
        <f>'CUOTA INDUSTRIAL'!M119</f>
        <v>0.3775</v>
      </c>
      <c r="K154" s="3">
        <f>'CUOTA INDUSTRIAL'!N119</f>
        <v>0</v>
      </c>
      <c r="L154" s="3">
        <f>'CUOTA INDUSTRIAL'!O119</f>
        <v>0.3775</v>
      </c>
      <c r="M154" s="114">
        <f>'CUOTA INDUSTRIAL'!P119</f>
        <v>0</v>
      </c>
      <c r="N154" s="4" t="s">
        <v>82</v>
      </c>
      <c r="O154" s="5">
        <f>RESUMEN!$B$3</f>
        <v>44452</v>
      </c>
      <c r="P154" s="1">
        <f t="shared" si="5"/>
        <v>2021</v>
      </c>
      <c r="Q154" s="1"/>
    </row>
    <row r="155" spans="1:17">
      <c r="A155" s="2" t="s">
        <v>69</v>
      </c>
      <c r="B155" s="1" t="s">
        <v>57</v>
      </c>
      <c r="C155" s="1" t="s">
        <v>38</v>
      </c>
      <c r="D155" s="1" t="s">
        <v>58</v>
      </c>
      <c r="E155" s="1" t="str">
        <f>+'CUOTA INDUSTRIAL'!C$121</f>
        <v xml:space="preserve">LANDES S.A. SOC. PESQ.      </v>
      </c>
      <c r="F155" s="1" t="s">
        <v>59</v>
      </c>
      <c r="G155" s="1" t="s">
        <v>60</v>
      </c>
      <c r="H155" s="3">
        <f>+'CUOTA INDUSTRIAL'!E121</f>
        <v>4200.9961000000003</v>
      </c>
      <c r="I155" s="3">
        <f>+'CUOTA INDUSTRIAL'!F121</f>
        <v>-4282.6401599999999</v>
      </c>
      <c r="J155" s="3">
        <f>+'CUOTA INDUSTRIAL'!G121</f>
        <v>-81.644059999999627</v>
      </c>
      <c r="K155" s="3">
        <f>+'CUOTA INDUSTRIAL'!H121</f>
        <v>0</v>
      </c>
      <c r="L155" s="3">
        <f>+'CUOTA INDUSTRIAL'!I121</f>
        <v>-81.644059999999627</v>
      </c>
      <c r="M155" s="114">
        <f>+'CUOTA INDUSTRIAL'!J121</f>
        <v>0</v>
      </c>
      <c r="N155" s="4" t="s">
        <v>82</v>
      </c>
      <c r="O155" s="5">
        <f>RESUMEN!$B$3</f>
        <v>44452</v>
      </c>
      <c r="P155" s="1">
        <f t="shared" si="5"/>
        <v>2021</v>
      </c>
      <c r="Q155" s="1"/>
    </row>
    <row r="156" spans="1:17">
      <c r="A156" s="2" t="s">
        <v>69</v>
      </c>
      <c r="B156" s="1" t="s">
        <v>57</v>
      </c>
      <c r="C156" s="1" t="s">
        <v>38</v>
      </c>
      <c r="D156" s="1" t="s">
        <v>58</v>
      </c>
      <c r="E156" s="1" t="str">
        <f>+'CUOTA INDUSTRIAL'!C$121</f>
        <v xml:space="preserve">LANDES S.A. SOC. PESQ.      </v>
      </c>
      <c r="F156" s="1" t="s">
        <v>61</v>
      </c>
      <c r="G156" s="1" t="s">
        <v>62</v>
      </c>
      <c r="H156" s="3">
        <f>+'CUOTA INDUSTRIAL'!E122</f>
        <v>85.703100000000006</v>
      </c>
      <c r="I156" s="3">
        <f>+'CUOTA INDUSTRIAL'!F122</f>
        <v>0</v>
      </c>
      <c r="J156" s="3">
        <f>+'CUOTA INDUSTRIAL'!G122</f>
        <v>4.0590400000003797</v>
      </c>
      <c r="K156" s="3">
        <f>+'CUOTA INDUSTRIAL'!H122</f>
        <v>0</v>
      </c>
      <c r="L156" s="3">
        <f>+'CUOTA INDUSTRIAL'!I122</f>
        <v>4.0590400000003797</v>
      </c>
      <c r="M156" s="114">
        <f>+'CUOTA INDUSTRIAL'!J122</f>
        <v>0</v>
      </c>
      <c r="N156" s="4" t="s">
        <v>82</v>
      </c>
      <c r="O156" s="5">
        <f>RESUMEN!$B$3</f>
        <v>44452</v>
      </c>
      <c r="P156" s="1">
        <f t="shared" si="5"/>
        <v>2021</v>
      </c>
      <c r="Q156" s="1"/>
    </row>
    <row r="157" spans="1:17">
      <c r="A157" s="2" t="s">
        <v>69</v>
      </c>
      <c r="B157" s="1" t="s">
        <v>57</v>
      </c>
      <c r="C157" s="1" t="s">
        <v>38</v>
      </c>
      <c r="D157" s="1" t="s">
        <v>58</v>
      </c>
      <c r="E157" s="1" t="str">
        <f>+'CUOTA INDUSTRIAL'!C$121</f>
        <v xml:space="preserve">LANDES S.A. SOC. PESQ.      </v>
      </c>
      <c r="F157" s="1" t="s">
        <v>59</v>
      </c>
      <c r="G157" s="1" t="s">
        <v>62</v>
      </c>
      <c r="H157" s="3">
        <f>'CUOTA INDUSTRIAL'!K121</f>
        <v>4286.6992</v>
      </c>
      <c r="I157" s="3">
        <f>'CUOTA INDUSTRIAL'!L121</f>
        <v>-4282.6401599999999</v>
      </c>
      <c r="J157" s="3">
        <f>'CUOTA INDUSTRIAL'!M121</f>
        <v>4.0590400000000955</v>
      </c>
      <c r="K157" s="3">
        <f>'CUOTA INDUSTRIAL'!N121</f>
        <v>0</v>
      </c>
      <c r="L157" s="3">
        <f>'CUOTA INDUSTRIAL'!O121</f>
        <v>4.0590400000000955</v>
      </c>
      <c r="M157" s="114">
        <f>'CUOTA INDUSTRIAL'!P121</f>
        <v>0</v>
      </c>
      <c r="N157" s="4" t="s">
        <v>82</v>
      </c>
      <c r="O157" s="5">
        <f>RESUMEN!$B$3</f>
        <v>44452</v>
      </c>
      <c r="P157" s="1">
        <f t="shared" si="5"/>
        <v>2021</v>
      </c>
      <c r="Q157" s="1"/>
    </row>
    <row r="158" spans="1:17">
      <c r="A158" s="2" t="s">
        <v>69</v>
      </c>
      <c r="B158" s="1" t="s">
        <v>57</v>
      </c>
      <c r="C158" s="1" t="s">
        <v>38</v>
      </c>
      <c r="D158" s="1" t="s">
        <v>58</v>
      </c>
      <c r="E158" s="1" t="str">
        <f>+'CUOTA INDUSTRIAL'!C$123</f>
        <v>ORIZON S.A</v>
      </c>
      <c r="F158" s="1" t="s">
        <v>59</v>
      </c>
      <c r="G158" s="1" t="s">
        <v>60</v>
      </c>
      <c r="H158" s="3">
        <f>+'CUOTA INDUSTRIAL'!E123</f>
        <v>11490.1036</v>
      </c>
      <c r="I158" s="3">
        <f>+'CUOTA INDUSTRIAL'!F123</f>
        <v>-10824</v>
      </c>
      <c r="J158" s="3">
        <f>+'CUOTA INDUSTRIAL'!G123</f>
        <v>666.10360000000037</v>
      </c>
      <c r="K158" s="3">
        <f>+'CUOTA INDUSTRIAL'!H123</f>
        <v>899.74</v>
      </c>
      <c r="L158" s="3">
        <f>+'CUOTA INDUSTRIAL'!I123</f>
        <v>-233.63639999999964</v>
      </c>
      <c r="M158" s="114">
        <f>+'CUOTA INDUSTRIAL'!J123</f>
        <v>1.3507508441629794</v>
      </c>
      <c r="N158" s="4" t="s">
        <v>82</v>
      </c>
      <c r="O158" s="5">
        <f>RESUMEN!$B$3</f>
        <v>44452</v>
      </c>
      <c r="P158" s="1">
        <f t="shared" si="5"/>
        <v>2021</v>
      </c>
      <c r="Q158" s="1"/>
    </row>
    <row r="159" spans="1:17">
      <c r="A159" s="2" t="s">
        <v>69</v>
      </c>
      <c r="B159" s="1" t="s">
        <v>57</v>
      </c>
      <c r="C159" s="1" t="s">
        <v>38</v>
      </c>
      <c r="D159" s="1" t="s">
        <v>58</v>
      </c>
      <c r="E159" s="1" t="str">
        <f>+'CUOTA INDUSTRIAL'!C$123</f>
        <v>ORIZON S.A</v>
      </c>
      <c r="F159" s="1" t="s">
        <v>61</v>
      </c>
      <c r="G159" s="1" t="s">
        <v>62</v>
      </c>
      <c r="H159" s="3">
        <f>+'CUOTA INDUSTRIAL'!E124</f>
        <v>234.4057</v>
      </c>
      <c r="I159" s="3">
        <f>+'CUOTA INDUSTRIAL'!F124</f>
        <v>0</v>
      </c>
      <c r="J159" s="3">
        <f>+'CUOTA INDUSTRIAL'!G124</f>
        <v>0.76930000000035648</v>
      </c>
      <c r="K159" s="3">
        <f>+'CUOTA INDUSTRIAL'!H124</f>
        <v>0</v>
      </c>
      <c r="L159" s="3">
        <f>+'CUOTA INDUSTRIAL'!I124</f>
        <v>0.76930000000035648</v>
      </c>
      <c r="M159" s="114">
        <f>+'CUOTA INDUSTRIAL'!J124</f>
        <v>0</v>
      </c>
      <c r="N159" s="4" t="s">
        <v>82</v>
      </c>
      <c r="O159" s="5">
        <f>RESUMEN!$B$3</f>
        <v>44452</v>
      </c>
      <c r="P159" s="1">
        <f t="shared" si="5"/>
        <v>2021</v>
      </c>
      <c r="Q159" s="1"/>
    </row>
    <row r="160" spans="1:17">
      <c r="A160" s="2" t="s">
        <v>69</v>
      </c>
      <c r="B160" s="1" t="s">
        <v>57</v>
      </c>
      <c r="C160" s="1" t="s">
        <v>38</v>
      </c>
      <c r="D160" s="1" t="s">
        <v>58</v>
      </c>
      <c r="E160" s="1" t="str">
        <f>+'CUOTA INDUSTRIAL'!C$123</f>
        <v>ORIZON S.A</v>
      </c>
      <c r="F160" s="1" t="s">
        <v>59</v>
      </c>
      <c r="G160" s="1" t="s">
        <v>62</v>
      </c>
      <c r="H160" s="3">
        <f>'CUOTA INDUSTRIAL'!K123</f>
        <v>11724.5093</v>
      </c>
      <c r="I160" s="3">
        <f>'CUOTA INDUSTRIAL'!L123</f>
        <v>-10824</v>
      </c>
      <c r="J160" s="3">
        <f>'CUOTA INDUSTRIAL'!M123</f>
        <v>900.50929999999971</v>
      </c>
      <c r="K160" s="3">
        <f>'CUOTA INDUSTRIAL'!N123</f>
        <v>899.74</v>
      </c>
      <c r="L160" s="3">
        <f>'CUOTA INDUSTRIAL'!O123</f>
        <v>0.76929999999970278</v>
      </c>
      <c r="M160" s="114">
        <f>'CUOTA INDUSTRIAL'!P123</f>
        <v>0.99914570565789862</v>
      </c>
      <c r="N160" s="4" t="s">
        <v>82</v>
      </c>
      <c r="O160" s="5">
        <f>RESUMEN!$B$3</f>
        <v>44452</v>
      </c>
      <c r="P160" s="1">
        <f t="shared" si="5"/>
        <v>2021</v>
      </c>
      <c r="Q160" s="1"/>
    </row>
    <row r="161" spans="1:17">
      <c r="A161" s="2" t="s">
        <v>69</v>
      </c>
      <c r="B161" s="1" t="s">
        <v>57</v>
      </c>
      <c r="C161" s="1" t="s">
        <v>38</v>
      </c>
      <c r="D161" s="1" t="s">
        <v>58</v>
      </c>
      <c r="E161" s="1" t="str">
        <f>+'CUOTA INDUSTRIAL'!C$125</f>
        <v>SUR AUSTRAL S.A. PESQ.</v>
      </c>
      <c r="F161" s="1" t="s">
        <v>59</v>
      </c>
      <c r="G161" s="1" t="s">
        <v>60</v>
      </c>
      <c r="H161" s="3">
        <f>+'CUOTA INDUSTRIAL'!E125</f>
        <v>73.083500000000001</v>
      </c>
      <c r="I161" s="3">
        <f>+'CUOTA INDUSTRIAL'!F125</f>
        <v>0</v>
      </c>
      <c r="J161" s="3">
        <f>+'CUOTA INDUSTRIAL'!G125</f>
        <v>73.083500000000001</v>
      </c>
      <c r="K161" s="3">
        <f>+'CUOTA INDUSTRIAL'!H125</f>
        <v>66.566999999999993</v>
      </c>
      <c r="L161" s="3">
        <f>+'CUOTA INDUSTRIAL'!I125</f>
        <v>6.5165000000000077</v>
      </c>
      <c r="M161" s="114">
        <f>+'CUOTA INDUSTRIAL'!J125</f>
        <v>0.91083486696723603</v>
      </c>
      <c r="N161" s="4" t="s">
        <v>82</v>
      </c>
      <c r="O161" s="5">
        <f>RESUMEN!$B$3</f>
        <v>44452</v>
      </c>
      <c r="P161" s="1">
        <f t="shared" si="5"/>
        <v>2021</v>
      </c>
      <c r="Q161" s="1"/>
    </row>
    <row r="162" spans="1:17">
      <c r="A162" s="2" t="s">
        <v>69</v>
      </c>
      <c r="B162" s="1" t="s">
        <v>57</v>
      </c>
      <c r="C162" s="1" t="s">
        <v>38</v>
      </c>
      <c r="D162" s="1" t="s">
        <v>58</v>
      </c>
      <c r="E162" s="1" t="str">
        <f>+'CUOTA INDUSTRIAL'!C$125</f>
        <v>SUR AUSTRAL S.A. PESQ.</v>
      </c>
      <c r="F162" s="1" t="s">
        <v>61</v>
      </c>
      <c r="G162" s="1" t="s">
        <v>62</v>
      </c>
      <c r="H162" s="3">
        <f>+'CUOTA INDUSTRIAL'!E126</f>
        <v>1.4910000000000001</v>
      </c>
      <c r="I162" s="3">
        <f>+'CUOTA INDUSTRIAL'!F126</f>
        <v>0</v>
      </c>
      <c r="J162" s="3">
        <f>+'CUOTA INDUSTRIAL'!G126</f>
        <v>8.0075000000000074</v>
      </c>
      <c r="K162" s="3">
        <f>+'CUOTA INDUSTRIAL'!H126</f>
        <v>0</v>
      </c>
      <c r="L162" s="3">
        <f>+'CUOTA INDUSTRIAL'!I126</f>
        <v>8.0075000000000074</v>
      </c>
      <c r="M162" s="114">
        <f>+'CUOTA INDUSTRIAL'!J126</f>
        <v>0</v>
      </c>
      <c r="N162" s="4" t="s">
        <v>82</v>
      </c>
      <c r="O162" s="5">
        <f>RESUMEN!$B$3</f>
        <v>44452</v>
      </c>
      <c r="P162" s="1">
        <f t="shared" si="5"/>
        <v>2021</v>
      </c>
      <c r="Q162" s="1"/>
    </row>
    <row r="163" spans="1:17">
      <c r="A163" s="2" t="s">
        <v>69</v>
      </c>
      <c r="B163" s="1" t="s">
        <v>57</v>
      </c>
      <c r="C163" s="1" t="s">
        <v>38</v>
      </c>
      <c r="D163" s="1" t="s">
        <v>58</v>
      </c>
      <c r="E163" s="1" t="str">
        <f>+'CUOTA INDUSTRIAL'!C$125</f>
        <v>SUR AUSTRAL S.A. PESQ.</v>
      </c>
      <c r="F163" s="1" t="s">
        <v>59</v>
      </c>
      <c r="G163" s="1" t="s">
        <v>62</v>
      </c>
      <c r="H163" s="3">
        <f>'CUOTA INDUSTRIAL'!K125</f>
        <v>74.5745</v>
      </c>
      <c r="I163" s="3">
        <f>'CUOTA INDUSTRIAL'!L125</f>
        <v>0</v>
      </c>
      <c r="J163" s="3">
        <f>'CUOTA INDUSTRIAL'!M125</f>
        <v>74.5745</v>
      </c>
      <c r="K163" s="3">
        <f>'CUOTA INDUSTRIAL'!N125</f>
        <v>66.566999999999993</v>
      </c>
      <c r="L163" s="3">
        <f>'CUOTA INDUSTRIAL'!O125</f>
        <v>8.0075000000000074</v>
      </c>
      <c r="M163" s="114">
        <f>'CUOTA INDUSTRIAL'!P125</f>
        <v>0.89262415436912068</v>
      </c>
      <c r="N163" s="4" t="s">
        <v>82</v>
      </c>
      <c r="O163" s="5">
        <f>RESUMEN!$B$3</f>
        <v>44452</v>
      </c>
      <c r="P163" s="1">
        <f t="shared" si="5"/>
        <v>2021</v>
      </c>
      <c r="Q163" s="1"/>
    </row>
    <row r="164" spans="1:17">
      <c r="A164" s="2" t="s">
        <v>69</v>
      </c>
      <c r="B164" s="1" t="s">
        <v>57</v>
      </c>
      <c r="C164" s="1" t="s">
        <v>38</v>
      </c>
      <c r="D164" s="1" t="s">
        <v>58</v>
      </c>
      <c r="E164" s="1" t="str">
        <f>+'CUOTA INDUSTRIAL'!C$127</f>
        <v>COMERCIAL Y CONSERVERA SAN LAZARO LIMITADA</v>
      </c>
      <c r="F164" s="1" t="s">
        <v>59</v>
      </c>
      <c r="G164" s="1" t="s">
        <v>60</v>
      </c>
      <c r="H164" s="3">
        <f>+'CUOTA INDUSTRIAL'!E127</f>
        <v>1109.9639999999999</v>
      </c>
      <c r="I164" s="3">
        <f>+'CUOTA INDUSTRIAL'!F127</f>
        <v>-1132.6079999999999</v>
      </c>
      <c r="J164" s="3">
        <f>+'CUOTA INDUSTRIAL'!G127</f>
        <v>-22.644000000000005</v>
      </c>
      <c r="K164" s="3">
        <f>+'CUOTA INDUSTRIAL'!H127</f>
        <v>0</v>
      </c>
      <c r="L164" s="3">
        <f>+'CUOTA INDUSTRIAL'!I127</f>
        <v>-22.644000000000005</v>
      </c>
      <c r="M164" s="114">
        <f>+'CUOTA INDUSTRIAL'!J127</f>
        <v>0</v>
      </c>
      <c r="N164" s="4" t="s">
        <v>82</v>
      </c>
      <c r="O164" s="5">
        <f>RESUMEN!$B$3</f>
        <v>44452</v>
      </c>
      <c r="P164" s="1">
        <f t="shared" si="5"/>
        <v>2021</v>
      </c>
      <c r="Q164" s="1"/>
    </row>
    <row r="165" spans="1:17">
      <c r="A165" s="2" t="s">
        <v>69</v>
      </c>
      <c r="B165" s="1" t="s">
        <v>57</v>
      </c>
      <c r="C165" s="1" t="s">
        <v>38</v>
      </c>
      <c r="D165" s="1" t="s">
        <v>58</v>
      </c>
      <c r="E165" s="1" t="str">
        <f>+'CUOTA INDUSTRIAL'!C$127</f>
        <v>COMERCIAL Y CONSERVERA SAN LAZARO LIMITADA</v>
      </c>
      <c r="F165" s="1" t="s">
        <v>61</v>
      </c>
      <c r="G165" s="1" t="s">
        <v>62</v>
      </c>
      <c r="H165" s="3">
        <f>+'CUOTA INDUSTRIAL'!E128</f>
        <v>22.643999999999998</v>
      </c>
      <c r="I165" s="3">
        <f>+'CUOTA INDUSTRIAL'!F128</f>
        <v>0</v>
      </c>
      <c r="J165" s="3">
        <f>+'CUOTA INDUSTRIAL'!G128</f>
        <v>0</v>
      </c>
      <c r="K165" s="3">
        <f>+'CUOTA INDUSTRIAL'!H128</f>
        <v>0</v>
      </c>
      <c r="L165" s="3">
        <f>+'CUOTA INDUSTRIAL'!I128</f>
        <v>0</v>
      </c>
      <c r="M165" s="114" t="e">
        <f>+'CUOTA INDUSTRIAL'!J128</f>
        <v>#DIV/0!</v>
      </c>
      <c r="N165" s="4" t="s">
        <v>82</v>
      </c>
      <c r="O165" s="5">
        <f>RESUMEN!$B$3</f>
        <v>44452</v>
      </c>
      <c r="P165" s="1">
        <f t="shared" si="5"/>
        <v>2021</v>
      </c>
      <c r="Q165" s="1"/>
    </row>
    <row r="166" spans="1:17">
      <c r="A166" s="2" t="s">
        <v>69</v>
      </c>
      <c r="B166" s="1" t="s">
        <v>57</v>
      </c>
      <c r="C166" s="1" t="s">
        <v>38</v>
      </c>
      <c r="D166" s="1" t="s">
        <v>58</v>
      </c>
      <c r="E166" s="1" t="str">
        <f>+'CUOTA INDUSTRIAL'!C$127</f>
        <v>COMERCIAL Y CONSERVERA SAN LAZARO LIMITADA</v>
      </c>
      <c r="F166" s="1" t="s">
        <v>59</v>
      </c>
      <c r="G166" s="1" t="s">
        <v>62</v>
      </c>
      <c r="H166" s="3">
        <f>'CUOTA INDUSTRIAL'!K127</f>
        <v>1132.6079999999999</v>
      </c>
      <c r="I166" s="3">
        <f>'CUOTA INDUSTRIAL'!L127</f>
        <v>-1132.6079999999999</v>
      </c>
      <c r="J166" s="3">
        <f>'CUOTA INDUSTRIAL'!M127</f>
        <v>0</v>
      </c>
      <c r="K166" s="3">
        <f>'CUOTA INDUSTRIAL'!N127</f>
        <v>0</v>
      </c>
      <c r="L166" s="3">
        <f>'CUOTA INDUSTRIAL'!O127</f>
        <v>0</v>
      </c>
      <c r="M166" s="114">
        <f>'CUOTA INDUSTRIAL'!P127</f>
        <v>0</v>
      </c>
      <c r="N166" s="4" t="s">
        <v>82</v>
      </c>
      <c r="O166" s="5">
        <f>RESUMEN!$B$3</f>
        <v>44452</v>
      </c>
      <c r="P166" s="1">
        <f t="shared" si="5"/>
        <v>2021</v>
      </c>
      <c r="Q166" s="1"/>
    </row>
    <row r="167" spans="1:17">
      <c r="A167" s="2" t="s">
        <v>69</v>
      </c>
      <c r="B167" s="1" t="s">
        <v>57</v>
      </c>
      <c r="C167" s="1" t="s">
        <v>38</v>
      </c>
      <c r="D167" s="1" t="s">
        <v>58</v>
      </c>
      <c r="E167" s="1" t="str">
        <f>'CUOTA INDUSTRIAL'!$C$129</f>
        <v>LOTA PROTEIN S.A.</v>
      </c>
      <c r="F167" s="1" t="s">
        <v>59</v>
      </c>
      <c r="G167" s="1" t="s">
        <v>60</v>
      </c>
      <c r="H167" s="3">
        <f>'CUOTA INDUSTRIAL'!E129</f>
        <v>0</v>
      </c>
      <c r="I167" s="3">
        <f>'CUOTA INDUSTRIAL'!F129</f>
        <v>9.9999999989996979E-4</v>
      </c>
      <c r="J167" s="3">
        <f>'CUOTA INDUSTRIAL'!G129</f>
        <v>9.9999999989996979E-4</v>
      </c>
      <c r="K167" s="3">
        <f>'CUOTA INDUSTRIAL'!H129</f>
        <v>0</v>
      </c>
      <c r="L167" s="3">
        <f>'CUOTA INDUSTRIAL'!I129</f>
        <v>9.9999999989996979E-4</v>
      </c>
      <c r="M167" s="114">
        <f>'CUOTA INDUSTRIAL'!J129</f>
        <v>0</v>
      </c>
      <c r="N167" s="4" t="s">
        <v>82</v>
      </c>
      <c r="O167" s="5">
        <f>RESUMEN!$B$3</f>
        <v>44452</v>
      </c>
      <c r="P167" s="1">
        <f t="shared" si="5"/>
        <v>2021</v>
      </c>
      <c r="Q167" s="1"/>
    </row>
    <row r="168" spans="1:17">
      <c r="A168" s="2" t="s">
        <v>69</v>
      </c>
      <c r="B168" s="1" t="s">
        <v>57</v>
      </c>
      <c r="C168" s="1" t="s">
        <v>38</v>
      </c>
      <c r="D168" s="1" t="s">
        <v>58</v>
      </c>
      <c r="E168" s="1" t="str">
        <f>'CUOTA INDUSTRIAL'!$C$129</f>
        <v>LOTA PROTEIN S.A.</v>
      </c>
      <c r="F168" s="1" t="s">
        <v>61</v>
      </c>
      <c r="G168" s="1" t="s">
        <v>62</v>
      </c>
      <c r="H168" s="3">
        <f>'CUOTA INDUSTRIAL'!E130</f>
        <v>0</v>
      </c>
      <c r="I168" s="3">
        <f>'CUOTA INDUSTRIAL'!F130</f>
        <v>0</v>
      </c>
      <c r="J168" s="3">
        <f>'CUOTA INDUSTRIAL'!G130</f>
        <v>9.9999999989996979E-4</v>
      </c>
      <c r="K168" s="3">
        <f>'CUOTA INDUSTRIAL'!H130</f>
        <v>0</v>
      </c>
      <c r="L168" s="3">
        <f>'CUOTA INDUSTRIAL'!I130</f>
        <v>9.9999999989996979E-4</v>
      </c>
      <c r="M168" s="114">
        <f>'CUOTA INDUSTRIAL'!J130</f>
        <v>0</v>
      </c>
      <c r="N168" s="4" t="s">
        <v>82</v>
      </c>
      <c r="O168" s="5">
        <f>RESUMEN!$B$3</f>
        <v>44452</v>
      </c>
      <c r="P168" s="1">
        <f t="shared" si="5"/>
        <v>2021</v>
      </c>
      <c r="Q168" s="1"/>
    </row>
    <row r="169" spans="1:17">
      <c r="A169" s="2" t="s">
        <v>69</v>
      </c>
      <c r="B169" s="1" t="s">
        <v>57</v>
      </c>
      <c r="C169" s="1" t="s">
        <v>38</v>
      </c>
      <c r="D169" s="1" t="s">
        <v>58</v>
      </c>
      <c r="E169" s="1" t="str">
        <f>'CUOTA INDUSTRIAL'!$C$129</f>
        <v>LOTA PROTEIN S.A.</v>
      </c>
      <c r="F169" s="1" t="s">
        <v>59</v>
      </c>
      <c r="G169" s="1" t="s">
        <v>62</v>
      </c>
      <c r="H169" s="3">
        <f>'CUOTA INDUSTRIAL'!K129</f>
        <v>0</v>
      </c>
      <c r="I169" s="3">
        <f>'CUOTA INDUSTRIAL'!L129</f>
        <v>9.9999999989996979E-4</v>
      </c>
      <c r="J169" s="3">
        <f>'CUOTA INDUSTRIAL'!M129</f>
        <v>9.9999999989996979E-4</v>
      </c>
      <c r="K169" s="3">
        <f>'CUOTA INDUSTRIAL'!N129</f>
        <v>0</v>
      </c>
      <c r="L169" s="3">
        <f>'CUOTA INDUSTRIAL'!O129</f>
        <v>9.9999999989996979E-4</v>
      </c>
      <c r="M169" s="114">
        <f>'CUOTA INDUSTRIAL'!P129</f>
        <v>0</v>
      </c>
      <c r="N169" s="4" t="s">
        <v>82</v>
      </c>
      <c r="O169" s="5">
        <f>RESUMEN!$B$3</f>
        <v>44452</v>
      </c>
      <c r="P169" s="1">
        <f t="shared" si="5"/>
        <v>2021</v>
      </c>
      <c r="Q169" s="1"/>
    </row>
    <row r="170" spans="1:17">
      <c r="A170" s="2" t="s">
        <v>69</v>
      </c>
      <c r="B170" s="1" t="s">
        <v>57</v>
      </c>
      <c r="C170" s="1" t="s">
        <v>38</v>
      </c>
      <c r="D170" s="1" t="s">
        <v>58</v>
      </c>
      <c r="E170" s="1" t="str">
        <f>'CUOTA INDUSTRIAL'!C131</f>
        <v>THOR FISHIRIES CHILE SPA</v>
      </c>
      <c r="F170" s="1" t="s">
        <v>59</v>
      </c>
      <c r="G170" s="1" t="s">
        <v>60</v>
      </c>
      <c r="H170" s="3">
        <f>'CUOTA INDUSTRIAL'!E131</f>
        <v>0</v>
      </c>
      <c r="I170" s="3">
        <f>'CUOTA INDUSTRIAL'!F131</f>
        <v>3.5531600000000001</v>
      </c>
      <c r="J170" s="3">
        <f>'CUOTA INDUSTRIAL'!G131</f>
        <v>3.5531600000000001</v>
      </c>
      <c r="K170" s="3">
        <f>'CUOTA INDUSTRIAL'!H131</f>
        <v>0</v>
      </c>
      <c r="L170" s="3">
        <f>'CUOTA INDUSTRIAL'!I131</f>
        <v>3.5531600000000001</v>
      </c>
      <c r="M170" s="114">
        <f>'CUOTA INDUSTRIAL'!J131</f>
        <v>0</v>
      </c>
      <c r="N170" s="4" t="s">
        <v>82</v>
      </c>
      <c r="O170" s="5">
        <f>RESUMEN!$B$3</f>
        <v>44452</v>
      </c>
      <c r="P170" s="1">
        <f t="shared" ref="P170:P172" si="6">YEAR(O170)</f>
        <v>2021</v>
      </c>
      <c r="Q170" s="1"/>
    </row>
    <row r="171" spans="1:17">
      <c r="A171" s="2" t="s">
        <v>69</v>
      </c>
      <c r="B171" s="1" t="s">
        <v>57</v>
      </c>
      <c r="C171" s="1" t="s">
        <v>38</v>
      </c>
      <c r="D171" s="1" t="s">
        <v>58</v>
      </c>
      <c r="E171" s="1" t="str">
        <f>'CUOTA INDUSTRIAL'!C131</f>
        <v>THOR FISHIRIES CHILE SPA</v>
      </c>
      <c r="F171" s="1" t="s">
        <v>61</v>
      </c>
      <c r="G171" s="1" t="s">
        <v>62</v>
      </c>
      <c r="H171" s="3">
        <f>'CUOTA INDUSTRIAL'!E132</f>
        <v>0</v>
      </c>
      <c r="I171" s="3">
        <f>'CUOTA INDUSTRIAL'!F132</f>
        <v>0</v>
      </c>
      <c r="J171" s="3">
        <f>'CUOTA INDUSTRIAL'!G132</f>
        <v>3.5531600000000001</v>
      </c>
      <c r="K171" s="3">
        <f>'CUOTA INDUSTRIAL'!H132</f>
        <v>0</v>
      </c>
      <c r="L171" s="3">
        <f>'CUOTA INDUSTRIAL'!I132</f>
        <v>3.5531600000000001</v>
      </c>
      <c r="M171" s="114">
        <f>'CUOTA INDUSTRIAL'!J132</f>
        <v>0</v>
      </c>
      <c r="N171" s="4" t="s">
        <v>82</v>
      </c>
      <c r="O171" s="5">
        <f>RESUMEN!$B$3</f>
        <v>44452</v>
      </c>
      <c r="P171" s="1">
        <f t="shared" si="6"/>
        <v>2021</v>
      </c>
      <c r="Q171" s="1"/>
    </row>
    <row r="172" spans="1:17">
      <c r="A172" s="2" t="s">
        <v>69</v>
      </c>
      <c r="B172" s="1" t="s">
        <v>57</v>
      </c>
      <c r="C172" s="1" t="s">
        <v>38</v>
      </c>
      <c r="D172" s="1" t="s">
        <v>58</v>
      </c>
      <c r="E172" s="1" t="str">
        <f>'CUOTA INDUSTRIAL'!C131</f>
        <v>THOR FISHIRIES CHILE SPA</v>
      </c>
      <c r="F172" s="1" t="s">
        <v>59</v>
      </c>
      <c r="G172" s="1" t="s">
        <v>62</v>
      </c>
      <c r="H172" s="3">
        <f>'CUOTA INDUSTRIAL'!K131</f>
        <v>0</v>
      </c>
      <c r="I172" s="3">
        <f>'CUOTA INDUSTRIAL'!L131</f>
        <v>3.5531600000000001</v>
      </c>
      <c r="J172" s="3">
        <f>'CUOTA INDUSTRIAL'!M131</f>
        <v>3.5531600000000001</v>
      </c>
      <c r="K172" s="3">
        <f>'CUOTA INDUSTRIAL'!N131</f>
        <v>0</v>
      </c>
      <c r="L172" s="3">
        <f>'CUOTA INDUSTRIAL'!O131</f>
        <v>3.5531600000000001</v>
      </c>
      <c r="M172" s="114">
        <f>'CUOTA INDUSTRIAL'!P131</f>
        <v>0</v>
      </c>
      <c r="N172" s="4" t="s">
        <v>82</v>
      </c>
      <c r="O172" s="5">
        <f>RESUMEN!$B$3</f>
        <v>44452</v>
      </c>
      <c r="P172" s="1">
        <f t="shared" si="6"/>
        <v>2021</v>
      </c>
      <c r="Q172" s="1"/>
    </row>
    <row r="173" spans="1:17">
      <c r="A173" s="2" t="s">
        <v>56</v>
      </c>
      <c r="B173" s="1" t="s">
        <v>57</v>
      </c>
      <c r="C173" s="1" t="s">
        <v>70</v>
      </c>
      <c r="D173" s="1" t="s">
        <v>63</v>
      </c>
      <c r="E173" s="1" t="str">
        <f>+'CUOTA ARTESANAL'!C$6</f>
        <v>MACROZONA XV-I</v>
      </c>
      <c r="F173" s="1" t="s">
        <v>59</v>
      </c>
      <c r="G173" s="1" t="s">
        <v>60</v>
      </c>
      <c r="H173" s="3">
        <f>'CUOTA ARTESANAL'!E6</f>
        <v>1690</v>
      </c>
      <c r="I173" s="3">
        <f>'CUOTA ARTESANAL'!F6</f>
        <v>0</v>
      </c>
      <c r="J173" s="3">
        <f>'CUOTA ARTESANAL'!G6</f>
        <v>1690</v>
      </c>
      <c r="K173" s="3">
        <f>'CUOTA ARTESANAL'!H6</f>
        <v>138.60400000000001</v>
      </c>
      <c r="L173" s="3">
        <f>'CUOTA ARTESANAL'!I6</f>
        <v>1551.396</v>
      </c>
      <c r="M173" s="114">
        <f>'CUOTA ARTESANAL'!J6</f>
        <v>8.2014201183431959E-2</v>
      </c>
      <c r="N173" s="4" t="str">
        <f>'CUOTA ARTESANAL'!Q6</f>
        <v>-</v>
      </c>
      <c r="O173" s="5">
        <f>RESUMEN!$B$3</f>
        <v>44452</v>
      </c>
      <c r="P173" s="1">
        <f t="shared" si="5"/>
        <v>2021</v>
      </c>
      <c r="Q173" s="1"/>
    </row>
    <row r="174" spans="1:17">
      <c r="A174" s="2" t="s">
        <v>56</v>
      </c>
      <c r="B174" s="1" t="s">
        <v>57</v>
      </c>
      <c r="C174" s="1" t="s">
        <v>70</v>
      </c>
      <c r="D174" s="1" t="s">
        <v>63</v>
      </c>
      <c r="E174" s="1" t="str">
        <f>+'CUOTA ARTESANAL'!C$6</f>
        <v>MACROZONA XV-I</v>
      </c>
      <c r="F174" s="1" t="s">
        <v>61</v>
      </c>
      <c r="G174" s="1" t="s">
        <v>62</v>
      </c>
      <c r="H174" s="3">
        <f>'CUOTA ARTESANAL'!E7</f>
        <v>89</v>
      </c>
      <c r="I174" s="3">
        <f>'CUOTA ARTESANAL'!F7</f>
        <v>0</v>
      </c>
      <c r="J174" s="3">
        <f>'CUOTA ARTESANAL'!G7</f>
        <v>1640.396</v>
      </c>
      <c r="K174" s="3">
        <f>'CUOTA ARTESANAL'!H7</f>
        <v>0</v>
      </c>
      <c r="L174" s="3">
        <f>'CUOTA ARTESANAL'!I7</f>
        <v>1640.396</v>
      </c>
      <c r="M174" s="114">
        <f>'CUOTA ARTESANAL'!J7</f>
        <v>0</v>
      </c>
      <c r="N174" s="4" t="str">
        <f>'CUOTA ARTESANAL'!Q7</f>
        <v>-</v>
      </c>
      <c r="O174" s="5">
        <f>RESUMEN!$B$3</f>
        <v>44452</v>
      </c>
      <c r="P174" s="1">
        <f t="shared" si="5"/>
        <v>2021</v>
      </c>
      <c r="Q174" s="1"/>
    </row>
    <row r="175" spans="1:17">
      <c r="A175" s="2" t="s">
        <v>56</v>
      </c>
      <c r="B175" s="1" t="s">
        <v>57</v>
      </c>
      <c r="C175" s="1" t="s">
        <v>70</v>
      </c>
      <c r="D175" s="1" t="s">
        <v>63</v>
      </c>
      <c r="E175" s="1" t="str">
        <f>+'CUOTA ARTESANAL'!C$6</f>
        <v>MACROZONA XV-I</v>
      </c>
      <c r="F175" s="1" t="s">
        <v>59</v>
      </c>
      <c r="G175" s="1" t="s">
        <v>62</v>
      </c>
      <c r="H175" s="3">
        <f>'CUOTA ARTESANAL'!K6</f>
        <v>1779</v>
      </c>
      <c r="I175" s="3">
        <f>'CUOTA ARTESANAL'!L6</f>
        <v>0</v>
      </c>
      <c r="J175" s="3">
        <f>'CUOTA ARTESANAL'!M6</f>
        <v>1779</v>
      </c>
      <c r="K175" s="3">
        <f>'CUOTA ARTESANAL'!N6</f>
        <v>138.60400000000001</v>
      </c>
      <c r="L175" s="3">
        <f>'CUOTA ARTESANAL'!O6</f>
        <v>1640.396</v>
      </c>
      <c r="M175" s="114">
        <f>'CUOTA ARTESANAL'!P6</f>
        <v>7.7911186059584039E-2</v>
      </c>
      <c r="N175" s="4" t="s">
        <v>82</v>
      </c>
      <c r="O175" s="5">
        <f>RESUMEN!$B$3</f>
        <v>44452</v>
      </c>
      <c r="P175" s="1">
        <f t="shared" si="5"/>
        <v>2021</v>
      </c>
      <c r="Q175" s="1"/>
    </row>
    <row r="176" spans="1:17">
      <c r="A176" s="2" t="s">
        <v>56</v>
      </c>
      <c r="B176" s="1" t="s">
        <v>57</v>
      </c>
      <c r="C176" s="1" t="s">
        <v>16</v>
      </c>
      <c r="D176" s="1" t="s">
        <v>64</v>
      </c>
      <c r="E176" s="1" t="str">
        <f>+'CUOTA ARTESANAL'!C$9</f>
        <v>II REGION</v>
      </c>
      <c r="F176" s="1" t="s">
        <v>59</v>
      </c>
      <c r="G176" s="1" t="s">
        <v>60</v>
      </c>
      <c r="H176" s="3">
        <f>'CUOTA ARTESANAL'!E9</f>
        <v>1690</v>
      </c>
      <c r="I176" s="3">
        <f>'CUOTA ARTESANAL'!F9</f>
        <v>0</v>
      </c>
      <c r="J176" s="3">
        <f>'CUOTA ARTESANAL'!G9</f>
        <v>1690</v>
      </c>
      <c r="K176" s="3">
        <f>'CUOTA ARTESANAL'!H9</f>
        <v>54.564</v>
      </c>
      <c r="L176" s="3">
        <f>'CUOTA ARTESANAL'!I9</f>
        <v>1635.4359999999999</v>
      </c>
      <c r="M176" s="114">
        <f>'CUOTA ARTESANAL'!J9</f>
        <v>3.2286390532544382E-2</v>
      </c>
      <c r="N176" s="4" t="str">
        <f>'CUOTA ARTESANAL'!Q9</f>
        <v>-</v>
      </c>
      <c r="O176" s="5">
        <f>RESUMEN!$B$3</f>
        <v>44452</v>
      </c>
      <c r="P176" s="1">
        <f t="shared" si="5"/>
        <v>2021</v>
      </c>
      <c r="Q176" s="1"/>
    </row>
    <row r="177" spans="1:17">
      <c r="A177" s="2" t="s">
        <v>56</v>
      </c>
      <c r="B177" s="1" t="s">
        <v>57</v>
      </c>
      <c r="C177" s="1" t="s">
        <v>16</v>
      </c>
      <c r="D177" s="1" t="s">
        <v>64</v>
      </c>
      <c r="E177" s="1" t="str">
        <f>+'CUOTA ARTESANAL'!C$9</f>
        <v>II REGION</v>
      </c>
      <c r="F177" s="1" t="s">
        <v>61</v>
      </c>
      <c r="G177" s="1" t="s">
        <v>62</v>
      </c>
      <c r="H177" s="3">
        <f>'CUOTA ARTESANAL'!E10</f>
        <v>89</v>
      </c>
      <c r="I177" s="3">
        <f>'CUOTA ARTESANAL'!F10</f>
        <v>0</v>
      </c>
      <c r="J177" s="3">
        <f>'CUOTA ARTESANAL'!G10</f>
        <v>1724.4359999999999</v>
      </c>
      <c r="K177" s="3">
        <f>'CUOTA ARTESANAL'!H10</f>
        <v>0</v>
      </c>
      <c r="L177" s="3">
        <f>'CUOTA ARTESANAL'!I10</f>
        <v>1724.4359999999999</v>
      </c>
      <c r="M177" s="114">
        <f>'CUOTA ARTESANAL'!J10</f>
        <v>0</v>
      </c>
      <c r="N177" s="4" t="str">
        <f>'CUOTA ARTESANAL'!Q10</f>
        <v>-</v>
      </c>
      <c r="O177" s="5">
        <f>RESUMEN!$B$3</f>
        <v>44452</v>
      </c>
      <c r="P177" s="1">
        <f t="shared" si="5"/>
        <v>2021</v>
      </c>
      <c r="Q177" s="1"/>
    </row>
    <row r="178" spans="1:17">
      <c r="A178" s="2" t="s">
        <v>56</v>
      </c>
      <c r="B178" s="1" t="s">
        <v>57</v>
      </c>
      <c r="C178" s="1" t="s">
        <v>16</v>
      </c>
      <c r="D178" s="1" t="s">
        <v>64</v>
      </c>
      <c r="E178" s="1" t="str">
        <f>+'CUOTA ARTESANAL'!C$9</f>
        <v>II REGION</v>
      </c>
      <c r="F178" s="1" t="s">
        <v>59</v>
      </c>
      <c r="G178" s="1" t="s">
        <v>62</v>
      </c>
      <c r="H178" s="3">
        <f>+'CUOTA ARTESANAL'!K9</f>
        <v>1779</v>
      </c>
      <c r="I178" s="3">
        <f>'CUOTA ARTESANAL'!L9</f>
        <v>0</v>
      </c>
      <c r="J178" s="3">
        <f>'CUOTA ARTESANAL'!M9</f>
        <v>1779</v>
      </c>
      <c r="K178" s="3">
        <f>'CUOTA ARTESANAL'!N9</f>
        <v>54.564</v>
      </c>
      <c r="L178" s="3">
        <f>'CUOTA ARTESANAL'!O9</f>
        <v>1724.4359999999999</v>
      </c>
      <c r="M178" s="114">
        <f>'CUOTA ARTESANAL'!P9</f>
        <v>3.0671163575042158E-2</v>
      </c>
      <c r="N178" s="4" t="s">
        <v>82</v>
      </c>
      <c r="O178" s="5">
        <f>RESUMEN!$B$3</f>
        <v>44452</v>
      </c>
      <c r="P178" s="1">
        <f t="shared" si="5"/>
        <v>2021</v>
      </c>
      <c r="Q178" s="1"/>
    </row>
    <row r="179" spans="1:17">
      <c r="A179" s="2" t="s">
        <v>65</v>
      </c>
      <c r="B179" s="1" t="s">
        <v>57</v>
      </c>
      <c r="C179" s="1" t="s">
        <v>17</v>
      </c>
      <c r="D179" s="1" t="s">
        <v>64</v>
      </c>
      <c r="E179" s="1" t="str">
        <f>+'CUOTA ARTESANAL'!C$14</f>
        <v>III REGION</v>
      </c>
      <c r="F179" s="1" t="s">
        <v>59</v>
      </c>
      <c r="G179" s="1" t="s">
        <v>60</v>
      </c>
      <c r="H179" s="3">
        <f>+'CUOTA ARTESANAL'!E14</f>
        <v>4648</v>
      </c>
      <c r="I179" s="3">
        <f>'CUOTA ARTESANAL'!F14</f>
        <v>2524</v>
      </c>
      <c r="J179" s="3">
        <f>'CUOTA ARTESANAL'!G14</f>
        <v>7172</v>
      </c>
      <c r="K179" s="3">
        <f>'CUOTA ARTESANAL'!H14</f>
        <v>7030.5780000000004</v>
      </c>
      <c r="L179" s="3">
        <f>'CUOTA ARTESANAL'!I14</f>
        <v>141.42199999999957</v>
      </c>
      <c r="M179" s="114">
        <f>'CUOTA ARTESANAL'!J14</f>
        <v>0.98028137200223098</v>
      </c>
      <c r="N179" s="4">
        <f>'CUOTA ARTESANAL'!Q14</f>
        <v>44287</v>
      </c>
      <c r="O179" s="5">
        <f>RESUMEN!$B$3</f>
        <v>44452</v>
      </c>
      <c r="P179" s="1">
        <f t="shared" si="5"/>
        <v>2021</v>
      </c>
      <c r="Q179" s="1"/>
    </row>
    <row r="180" spans="1:17">
      <c r="A180" s="2" t="s">
        <v>65</v>
      </c>
      <c r="B180" s="1" t="s">
        <v>57</v>
      </c>
      <c r="C180" s="1" t="s">
        <v>17</v>
      </c>
      <c r="D180" s="1" t="s">
        <v>64</v>
      </c>
      <c r="E180" s="1" t="str">
        <f>+'CUOTA ARTESANAL'!C$14</f>
        <v>III REGION</v>
      </c>
      <c r="F180" s="1" t="s">
        <v>61</v>
      </c>
      <c r="G180" s="1" t="s">
        <v>62</v>
      </c>
      <c r="H180" s="3">
        <f>'CUOTA ARTESANAL'!E15</f>
        <v>0</v>
      </c>
      <c r="I180" s="3">
        <f>'CUOTA ARTESANAL'!F15</f>
        <v>0</v>
      </c>
      <c r="J180" s="3">
        <f>'CUOTA ARTESANAL'!G15</f>
        <v>141.42199999999957</v>
      </c>
      <c r="K180" s="3">
        <f>'CUOTA ARTESANAL'!H15</f>
        <v>0</v>
      </c>
      <c r="L180" s="3">
        <f>'CUOTA ARTESANAL'!I15</f>
        <v>141.42199999999957</v>
      </c>
      <c r="M180" s="114">
        <f>'CUOTA ARTESANAL'!J15</f>
        <v>0</v>
      </c>
      <c r="N180" s="4">
        <f>'CUOTA ARTESANAL'!Q15</f>
        <v>44287</v>
      </c>
      <c r="O180" s="5">
        <f>RESUMEN!$B$3</f>
        <v>44452</v>
      </c>
      <c r="P180" s="1">
        <f t="shared" si="5"/>
        <v>2021</v>
      </c>
      <c r="Q180" s="1"/>
    </row>
    <row r="181" spans="1:17">
      <c r="A181" s="2" t="s">
        <v>65</v>
      </c>
      <c r="B181" s="1" t="s">
        <v>57</v>
      </c>
      <c r="C181" s="1" t="s">
        <v>17</v>
      </c>
      <c r="D181" s="1" t="s">
        <v>64</v>
      </c>
      <c r="E181" s="1" t="str">
        <f>+'CUOTA ARTESANAL'!C$14</f>
        <v>III REGION</v>
      </c>
      <c r="F181" s="1" t="s">
        <v>59</v>
      </c>
      <c r="G181" s="1" t="s">
        <v>62</v>
      </c>
      <c r="H181" s="3">
        <f>'CUOTA ARTESANAL'!K14</f>
        <v>4648</v>
      </c>
      <c r="I181" s="3">
        <f>'CUOTA ARTESANAL'!L14</f>
        <v>2524</v>
      </c>
      <c r="J181" s="3">
        <f>'CUOTA ARTESANAL'!M14</f>
        <v>7172</v>
      </c>
      <c r="K181" s="3">
        <f>'CUOTA ARTESANAL'!N14</f>
        <v>7030.5780000000004</v>
      </c>
      <c r="L181" s="3">
        <f>'CUOTA ARTESANAL'!O14</f>
        <v>141.42199999999957</v>
      </c>
      <c r="M181" s="114">
        <f>'CUOTA ARTESANAL'!P14</f>
        <v>0.98028137200223098</v>
      </c>
      <c r="N181" s="4" t="s">
        <v>82</v>
      </c>
      <c r="O181" s="5">
        <f>RESUMEN!$B$3</f>
        <v>44452</v>
      </c>
      <c r="P181" s="1">
        <f t="shared" si="5"/>
        <v>2021</v>
      </c>
      <c r="Q181" s="1"/>
    </row>
    <row r="182" spans="1:17">
      <c r="A182" s="2" t="s">
        <v>65</v>
      </c>
      <c r="B182" s="1" t="s">
        <v>57</v>
      </c>
      <c r="C182" s="1" t="s">
        <v>71</v>
      </c>
      <c r="D182" s="1" t="s">
        <v>83</v>
      </c>
      <c r="E182" s="1" t="str">
        <f>+'CUOTA ARTESANAL'!C$17</f>
        <v xml:space="preserve"> AG. PAR Y BUZOS DE COQUIMBO AG 55-04</v>
      </c>
      <c r="F182" s="1" t="s">
        <v>59</v>
      </c>
      <c r="G182" s="1" t="s">
        <v>60</v>
      </c>
      <c r="H182" s="3">
        <f>+'CUOTA ARTESANAL'!E17</f>
        <v>1343.4059999999999</v>
      </c>
      <c r="I182" s="3">
        <f>'CUOTA ARTESANAL'!F17</f>
        <v>-1200</v>
      </c>
      <c r="J182" s="3">
        <f>'CUOTA ARTESANAL'!G17</f>
        <v>143.40599999999995</v>
      </c>
      <c r="K182" s="3">
        <f>'CUOTA ARTESANAL'!H17</f>
        <v>91.352000000000004</v>
      </c>
      <c r="L182" s="3">
        <f>'CUOTA ARTESANAL'!I17</f>
        <v>52.053999999999945</v>
      </c>
      <c r="M182" s="114">
        <f>'CUOTA ARTESANAL'!J17</f>
        <v>0.63701658229083891</v>
      </c>
      <c r="N182" s="4">
        <f>'CUOTA ARTESANAL'!Q17</f>
        <v>44274</v>
      </c>
      <c r="O182" s="5">
        <f>RESUMEN!$B$3</f>
        <v>44452</v>
      </c>
      <c r="P182" s="1">
        <f t="shared" si="5"/>
        <v>2021</v>
      </c>
      <c r="Q182" s="1"/>
    </row>
    <row r="183" spans="1:17">
      <c r="A183" s="2" t="s">
        <v>65</v>
      </c>
      <c r="B183" s="1" t="s">
        <v>57</v>
      </c>
      <c r="C183" s="1" t="s">
        <v>71</v>
      </c>
      <c r="D183" s="1" t="s">
        <v>83</v>
      </c>
      <c r="E183" s="1" t="str">
        <f>+'CUOTA ARTESANAL'!C$17</f>
        <v xml:space="preserve"> AG. PAR Y BUZOS DE COQUIMBO AG 55-04</v>
      </c>
      <c r="F183" s="1" t="s">
        <v>61</v>
      </c>
      <c r="G183" s="1" t="s">
        <v>62</v>
      </c>
      <c r="H183" s="3">
        <f>'CUOTA ARTESANAL'!E18</f>
        <v>0</v>
      </c>
      <c r="I183" s="3">
        <f>'CUOTA ARTESANAL'!F18</f>
        <v>0</v>
      </c>
      <c r="J183" s="3">
        <f>'CUOTA ARTESANAL'!G18</f>
        <v>52.053999999999945</v>
      </c>
      <c r="K183" s="3">
        <f>'CUOTA ARTESANAL'!H18</f>
        <v>0</v>
      </c>
      <c r="L183" s="3">
        <f>'CUOTA ARTESANAL'!I18</f>
        <v>52.053999999999945</v>
      </c>
      <c r="M183" s="114">
        <f>'CUOTA ARTESANAL'!J18</f>
        <v>0</v>
      </c>
      <c r="N183" s="4" t="str">
        <f>'CUOTA ARTESANAL'!Q18</f>
        <v>-</v>
      </c>
      <c r="O183" s="5">
        <f>RESUMEN!$B$3</f>
        <v>44452</v>
      </c>
      <c r="P183" s="1">
        <f t="shared" si="5"/>
        <v>2021</v>
      </c>
      <c r="Q183" s="1"/>
    </row>
    <row r="184" spans="1:17">
      <c r="A184" s="2" t="s">
        <v>65</v>
      </c>
      <c r="B184" s="1" t="s">
        <v>57</v>
      </c>
      <c r="C184" s="1" t="s">
        <v>71</v>
      </c>
      <c r="D184" s="1" t="s">
        <v>83</v>
      </c>
      <c r="E184" s="1" t="str">
        <f>+'CUOTA ARTESANAL'!C$17</f>
        <v xml:space="preserve"> AG. PAR Y BUZOS DE COQUIMBO AG 55-04</v>
      </c>
      <c r="F184" s="1" t="s">
        <v>59</v>
      </c>
      <c r="G184" s="1" t="s">
        <v>62</v>
      </c>
      <c r="H184" s="3">
        <f>'CUOTA ARTESANAL'!K17</f>
        <v>1343.4059999999999</v>
      </c>
      <c r="I184" s="3">
        <f>'CUOTA ARTESANAL'!L17</f>
        <v>-1200</v>
      </c>
      <c r="J184" s="3">
        <f>'CUOTA ARTESANAL'!M17</f>
        <v>143.40599999999995</v>
      </c>
      <c r="K184" s="3">
        <f>'CUOTA ARTESANAL'!N17</f>
        <v>91.352000000000004</v>
      </c>
      <c r="L184" s="3">
        <f>'CUOTA ARTESANAL'!O17</f>
        <v>52.053999999999945</v>
      </c>
      <c r="M184" s="114">
        <f>'CUOTA ARTESANAL'!P17</f>
        <v>0.63701658229083891</v>
      </c>
      <c r="N184" s="4" t="s">
        <v>82</v>
      </c>
      <c r="O184" s="5">
        <f>RESUMEN!$B$3</f>
        <v>44452</v>
      </c>
      <c r="P184" s="1">
        <f t="shared" si="5"/>
        <v>2021</v>
      </c>
      <c r="Q184" s="1"/>
    </row>
    <row r="185" spans="1:17">
      <c r="A185" s="2" t="s">
        <v>65</v>
      </c>
      <c r="B185" s="1" t="s">
        <v>57</v>
      </c>
      <c r="C185" s="1" t="s">
        <v>71</v>
      </c>
      <c r="D185" s="1" t="s">
        <v>83</v>
      </c>
      <c r="E185" s="1" t="str">
        <f>+'CUOTA ARTESANAL'!C$19</f>
        <v>CERCOPESCA. ROL 4276</v>
      </c>
      <c r="F185" s="1" t="s">
        <v>59</v>
      </c>
      <c r="G185" s="1" t="s">
        <v>60</v>
      </c>
      <c r="H185" s="3">
        <f>'CUOTA ARTESANAL'!E19</f>
        <v>7148.3980000000001</v>
      </c>
      <c r="I185" s="3">
        <f>'CUOTA ARTESANAL'!F19</f>
        <v>1663.5219999999999</v>
      </c>
      <c r="J185" s="3">
        <f>'CUOTA ARTESANAL'!G19</f>
        <v>8811.92</v>
      </c>
      <c r="K185" s="3">
        <f>'CUOTA ARTESANAL'!H19</f>
        <v>8443.3639999999996</v>
      </c>
      <c r="L185" s="3">
        <f>'CUOTA ARTESANAL'!I19</f>
        <v>368.55600000000049</v>
      </c>
      <c r="M185" s="114">
        <f>'CUOTA ARTESANAL'!J19</f>
        <v>0.95817528983467848</v>
      </c>
      <c r="N185" s="4">
        <f>'CUOTA ARTESANAL'!Q19</f>
        <v>44398</v>
      </c>
      <c r="O185" s="5">
        <f>RESUMEN!$B$3</f>
        <v>44452</v>
      </c>
      <c r="P185" s="1">
        <f t="shared" si="5"/>
        <v>2021</v>
      </c>
      <c r="Q185" s="1"/>
    </row>
    <row r="186" spans="1:17">
      <c r="A186" s="2" t="s">
        <v>65</v>
      </c>
      <c r="B186" s="1" t="s">
        <v>57</v>
      </c>
      <c r="C186" s="1" t="s">
        <v>71</v>
      </c>
      <c r="D186" s="1" t="s">
        <v>83</v>
      </c>
      <c r="E186" s="1" t="str">
        <f>+'CUOTA ARTESANAL'!C$19</f>
        <v>CERCOPESCA. ROL 4276</v>
      </c>
      <c r="F186" s="1" t="s">
        <v>61</v>
      </c>
      <c r="G186" s="1" t="s">
        <v>62</v>
      </c>
      <c r="H186" s="3">
        <f>'CUOTA ARTESANAL'!E20</f>
        <v>0</v>
      </c>
      <c r="I186" s="3">
        <f>'CUOTA ARTESANAL'!F20</f>
        <v>0</v>
      </c>
      <c r="J186" s="3">
        <f>'CUOTA ARTESANAL'!G20</f>
        <v>368.55600000000049</v>
      </c>
      <c r="K186" s="3">
        <f>'CUOTA ARTESANAL'!H20</f>
        <v>0</v>
      </c>
      <c r="L186" s="3">
        <f>'CUOTA ARTESANAL'!I20</f>
        <v>368.55600000000049</v>
      </c>
      <c r="M186" s="114">
        <f>'CUOTA ARTESANAL'!J20</f>
        <v>0</v>
      </c>
      <c r="N186" s="4" t="str">
        <f>'CUOTA ARTESANAL'!Q20</f>
        <v>-</v>
      </c>
      <c r="O186" s="5">
        <f>RESUMEN!$B$3</f>
        <v>44452</v>
      </c>
      <c r="P186" s="1">
        <f t="shared" si="5"/>
        <v>2021</v>
      </c>
      <c r="Q186" s="1"/>
    </row>
    <row r="187" spans="1:17">
      <c r="A187" s="2" t="s">
        <v>65</v>
      </c>
      <c r="B187" s="1" t="s">
        <v>57</v>
      </c>
      <c r="C187" s="1" t="s">
        <v>71</v>
      </c>
      <c r="D187" s="1" t="s">
        <v>83</v>
      </c>
      <c r="E187" s="1" t="str">
        <f>+'CUOTA ARTESANAL'!C$19</f>
        <v>CERCOPESCA. ROL 4276</v>
      </c>
      <c r="F187" s="1" t="s">
        <v>59</v>
      </c>
      <c r="G187" s="1" t="s">
        <v>62</v>
      </c>
      <c r="H187" s="3">
        <f>'CUOTA ARTESANAL'!K19</f>
        <v>7148.3980000000001</v>
      </c>
      <c r="I187" s="3">
        <f>'CUOTA ARTESANAL'!L19</f>
        <v>1663.5219999999999</v>
      </c>
      <c r="J187" s="3">
        <f>'CUOTA ARTESANAL'!M19</f>
        <v>8811.92</v>
      </c>
      <c r="K187" s="3">
        <f>'CUOTA ARTESANAL'!N19</f>
        <v>8443.3639999999996</v>
      </c>
      <c r="L187" s="3">
        <f>'CUOTA ARTESANAL'!O19</f>
        <v>368.55600000000049</v>
      </c>
      <c r="M187" s="114">
        <f>'CUOTA ARTESANAL'!P19</f>
        <v>0.95817528983467848</v>
      </c>
      <c r="N187" s="4" t="s">
        <v>82</v>
      </c>
      <c r="O187" s="5">
        <f>RESUMEN!$B$3</f>
        <v>44452</v>
      </c>
      <c r="P187" s="1">
        <f t="shared" si="5"/>
        <v>2021</v>
      </c>
      <c r="Q187" s="1"/>
    </row>
    <row r="188" spans="1:17">
      <c r="A188" s="2" t="s">
        <v>65</v>
      </c>
      <c r="B188" s="1" t="s">
        <v>57</v>
      </c>
      <c r="C188" s="1" t="s">
        <v>71</v>
      </c>
      <c r="D188" s="1" t="s">
        <v>78</v>
      </c>
      <c r="E188" s="1" t="str">
        <f>+'CUOTA ARTESANAL'!C$21</f>
        <v xml:space="preserve"> BOLSON RESIDUAL</v>
      </c>
      <c r="F188" s="1" t="s">
        <v>59</v>
      </c>
      <c r="G188" s="1" t="s">
        <v>60</v>
      </c>
      <c r="H188" s="3">
        <f>'CUOTA ARTESANAL'!E21</f>
        <v>2354.1959999999999</v>
      </c>
      <c r="I188" s="3">
        <f>'CUOTA ARTESANAL'!F21</f>
        <v>547.851</v>
      </c>
      <c r="J188" s="3">
        <f>'CUOTA ARTESANAL'!G21</f>
        <v>2902.047</v>
      </c>
      <c r="K188" s="3">
        <f>'CUOTA ARTESANAL'!H21</f>
        <v>2896.27</v>
      </c>
      <c r="L188" s="3">
        <f>'CUOTA ARTESANAL'!I21</f>
        <v>5.7770000000000437</v>
      </c>
      <c r="M188" s="114">
        <f>'CUOTA ARTESANAL'!J21</f>
        <v>0.99800933616857346</v>
      </c>
      <c r="N188" s="4" t="str">
        <f>'CUOTA ARTESANAL'!Q21</f>
        <v>-</v>
      </c>
      <c r="O188" s="5">
        <f>RESUMEN!$B$3</f>
        <v>44452</v>
      </c>
      <c r="P188" s="1">
        <f t="shared" si="5"/>
        <v>2021</v>
      </c>
      <c r="Q188" s="1"/>
    </row>
    <row r="189" spans="1:17">
      <c r="A189" s="2" t="s">
        <v>65</v>
      </c>
      <c r="B189" s="1" t="s">
        <v>57</v>
      </c>
      <c r="C189" s="1" t="s">
        <v>71</v>
      </c>
      <c r="D189" s="1" t="s">
        <v>78</v>
      </c>
      <c r="E189" s="1" t="str">
        <f>+'CUOTA ARTESANAL'!C$21</f>
        <v xml:space="preserve"> BOLSON RESIDUAL</v>
      </c>
      <c r="F189" s="1" t="s">
        <v>61</v>
      </c>
      <c r="G189" s="1" t="s">
        <v>62</v>
      </c>
      <c r="H189" s="3">
        <f>'CUOTA ARTESANAL'!E22</f>
        <v>0</v>
      </c>
      <c r="I189" s="3">
        <f>'CUOTA ARTESANAL'!F22</f>
        <v>0</v>
      </c>
      <c r="J189" s="3">
        <f>'CUOTA ARTESANAL'!G22</f>
        <v>5.7770000000000437</v>
      </c>
      <c r="K189" s="3">
        <f>'CUOTA ARTESANAL'!H22</f>
        <v>0</v>
      </c>
      <c r="L189" s="3">
        <f>'CUOTA ARTESANAL'!I22</f>
        <v>5.7770000000000437</v>
      </c>
      <c r="M189" s="114">
        <f>'CUOTA ARTESANAL'!J22</f>
        <v>0</v>
      </c>
      <c r="N189" s="4" t="str">
        <f>'CUOTA ARTESANAL'!Q22</f>
        <v>-</v>
      </c>
      <c r="O189" s="5">
        <f>RESUMEN!$B$3</f>
        <v>44452</v>
      </c>
      <c r="P189" s="1">
        <f t="shared" si="5"/>
        <v>2021</v>
      </c>
      <c r="Q189" s="1"/>
    </row>
    <row r="190" spans="1:17">
      <c r="A190" s="2" t="s">
        <v>65</v>
      </c>
      <c r="B190" s="1" t="s">
        <v>57</v>
      </c>
      <c r="C190" s="1" t="s">
        <v>71</v>
      </c>
      <c r="D190" s="1" t="s">
        <v>78</v>
      </c>
      <c r="E190" s="1" t="str">
        <f>+'CUOTA ARTESANAL'!C$21</f>
        <v xml:space="preserve"> BOLSON RESIDUAL</v>
      </c>
      <c r="F190" s="1" t="s">
        <v>59</v>
      </c>
      <c r="G190" s="1" t="s">
        <v>62</v>
      </c>
      <c r="H190" s="3">
        <f>'CUOTA ARTESANAL'!K21</f>
        <v>2354.1959999999999</v>
      </c>
      <c r="I190" s="3">
        <f>'CUOTA ARTESANAL'!L21</f>
        <v>547.851</v>
      </c>
      <c r="J190" s="3">
        <f>'CUOTA ARTESANAL'!M21</f>
        <v>2902.047</v>
      </c>
      <c r="K190" s="3">
        <f>'CUOTA ARTESANAL'!N21</f>
        <v>2896.27</v>
      </c>
      <c r="L190" s="3">
        <f>'CUOTA ARTESANAL'!O21</f>
        <v>5.7770000000000437</v>
      </c>
      <c r="M190" s="114">
        <f>'CUOTA ARTESANAL'!P21</f>
        <v>0.99800933616857346</v>
      </c>
      <c r="N190" s="4" t="s">
        <v>82</v>
      </c>
      <c r="O190" s="5">
        <f>RESUMEN!$B$3</f>
        <v>44452</v>
      </c>
      <c r="P190" s="1">
        <f t="shared" si="5"/>
        <v>2021</v>
      </c>
      <c r="Q190" s="1"/>
    </row>
    <row r="191" spans="1:17">
      <c r="A191" s="2" t="s">
        <v>68</v>
      </c>
      <c r="B191" s="1" t="s">
        <v>57</v>
      </c>
      <c r="C191" s="1" t="s">
        <v>72</v>
      </c>
      <c r="D191" s="1" t="s">
        <v>83</v>
      </c>
      <c r="E191" s="1" t="str">
        <f>+'CUOTA ARTESANAL'!C$24</f>
        <v>AG DEL PUERTO DE SAN ANTONIO. RAG 2510</v>
      </c>
      <c r="F191" s="1" t="s">
        <v>59</v>
      </c>
      <c r="G191" s="1" t="s">
        <v>60</v>
      </c>
      <c r="H191" s="3">
        <f>'CUOTA ARTESANAL'!E24</f>
        <v>3949.2910000000002</v>
      </c>
      <c r="I191" s="3">
        <f>'CUOTA ARTESANAL'!F24</f>
        <v>-4146</v>
      </c>
      <c r="J191" s="3">
        <f>'CUOTA ARTESANAL'!G24</f>
        <v>-196.70899999999983</v>
      </c>
      <c r="K191" s="3">
        <f>'CUOTA ARTESANAL'!H24</f>
        <v>9.5250000000000004</v>
      </c>
      <c r="L191" s="3">
        <f>'CUOTA ARTESANAL'!I24</f>
        <v>-206.23399999999984</v>
      </c>
      <c r="M191" s="114">
        <f>'CUOTA ARTESANAL'!J24</f>
        <v>-4.8421780396423184E-2</v>
      </c>
      <c r="N191" s="13" t="str">
        <f>'CUOTA ARTESANAL'!Q24</f>
        <v>-</v>
      </c>
      <c r="O191" s="5">
        <f>RESUMEN!$B$3</f>
        <v>44452</v>
      </c>
      <c r="P191" s="1">
        <f t="shared" si="5"/>
        <v>2021</v>
      </c>
      <c r="Q191" s="1"/>
    </row>
    <row r="192" spans="1:17">
      <c r="A192" s="2" t="s">
        <v>68</v>
      </c>
      <c r="B192" s="1" t="s">
        <v>57</v>
      </c>
      <c r="C192" s="1" t="s">
        <v>72</v>
      </c>
      <c r="D192" s="1" t="s">
        <v>83</v>
      </c>
      <c r="E192" s="1" t="str">
        <f>+'CUOTA ARTESANAL'!C$24</f>
        <v>AG DEL PUERTO DE SAN ANTONIO. RAG 2510</v>
      </c>
      <c r="F192" s="1" t="s">
        <v>61</v>
      </c>
      <c r="G192" s="1" t="s">
        <v>62</v>
      </c>
      <c r="H192" s="3">
        <f>'CUOTA ARTESANAL'!E25</f>
        <v>207.6</v>
      </c>
      <c r="I192" s="3">
        <f>'CUOTA ARTESANAL'!F25</f>
        <v>0</v>
      </c>
      <c r="J192" s="3">
        <f>'CUOTA ARTESANAL'!G25</f>
        <v>1.366000000000156</v>
      </c>
      <c r="K192" s="3">
        <f>'CUOTA ARTESANAL'!H25</f>
        <v>0</v>
      </c>
      <c r="L192" s="3">
        <f>'CUOTA ARTESANAL'!I25</f>
        <v>1.366000000000156</v>
      </c>
      <c r="M192" s="114">
        <f>'CUOTA ARTESANAL'!J25</f>
        <v>0</v>
      </c>
      <c r="N192" s="13" t="str">
        <f>'CUOTA ARTESANAL'!Q25</f>
        <v>-</v>
      </c>
      <c r="O192" s="5">
        <f>RESUMEN!$B$3</f>
        <v>44452</v>
      </c>
      <c r="P192" s="1">
        <f t="shared" si="5"/>
        <v>2021</v>
      </c>
      <c r="Q192" s="1"/>
    </row>
    <row r="193" spans="1:17">
      <c r="A193" s="2" t="s">
        <v>68</v>
      </c>
      <c r="B193" s="1" t="s">
        <v>57</v>
      </c>
      <c r="C193" s="1" t="s">
        <v>72</v>
      </c>
      <c r="D193" s="1" t="s">
        <v>83</v>
      </c>
      <c r="E193" s="1" t="str">
        <f>+'CUOTA ARTESANAL'!C$24</f>
        <v>AG DEL PUERTO DE SAN ANTONIO. RAG 2510</v>
      </c>
      <c r="F193" s="1" t="s">
        <v>59</v>
      </c>
      <c r="G193" s="1" t="s">
        <v>62</v>
      </c>
      <c r="H193" s="3">
        <f>'CUOTA ARTESANAL'!K24</f>
        <v>4156.8910000000005</v>
      </c>
      <c r="I193" s="3">
        <f>'CUOTA ARTESANAL'!L24</f>
        <v>-4146</v>
      </c>
      <c r="J193" s="3">
        <f>'CUOTA ARTESANAL'!M24</f>
        <v>10.891000000000531</v>
      </c>
      <c r="K193" s="3">
        <f>'CUOTA ARTESANAL'!N24</f>
        <v>9.5250000000000004</v>
      </c>
      <c r="L193" s="3">
        <f>'CUOTA ARTESANAL'!O24</f>
        <v>1.3660000000005308</v>
      </c>
      <c r="M193" s="114">
        <f>'CUOTA ARTESANAL'!P24</f>
        <v>0.87457533743453642</v>
      </c>
      <c r="N193" s="4" t="s">
        <v>82</v>
      </c>
      <c r="O193" s="5">
        <f>RESUMEN!$B$3</f>
        <v>44452</v>
      </c>
      <c r="P193" s="1">
        <f t="shared" si="5"/>
        <v>2021</v>
      </c>
      <c r="Q193" s="1"/>
    </row>
    <row r="194" spans="1:17">
      <c r="A194" s="2" t="s">
        <v>68</v>
      </c>
      <c r="B194" s="1" t="s">
        <v>57</v>
      </c>
      <c r="C194" s="1" t="s">
        <v>72</v>
      </c>
      <c r="D194" s="1" t="s">
        <v>83</v>
      </c>
      <c r="E194" s="1" t="str">
        <f>+'CUOTA ARTESANAL'!C$26</f>
        <v>AG AGRAPES A.G 4399</v>
      </c>
      <c r="F194" s="1" t="s">
        <v>59</v>
      </c>
      <c r="G194" s="1" t="s">
        <v>60</v>
      </c>
      <c r="H194" s="3">
        <f>'CUOTA ARTESANAL'!E26</f>
        <v>67.466999999999999</v>
      </c>
      <c r="I194" s="3">
        <f>'CUOTA ARTESANAL'!F26</f>
        <v>-70</v>
      </c>
      <c r="J194" s="3">
        <f>'CUOTA ARTESANAL'!G26</f>
        <v>-2.5330000000000013</v>
      </c>
      <c r="K194" s="3">
        <f>'CUOTA ARTESANAL'!H26</f>
        <v>0</v>
      </c>
      <c r="L194" s="3">
        <f>'CUOTA ARTESANAL'!I26</f>
        <v>-2.5330000000000013</v>
      </c>
      <c r="M194" s="114">
        <f>'CUOTA ARTESANAL'!J26</f>
        <v>0</v>
      </c>
      <c r="N194" s="4" t="str">
        <f>+'CUOTA ARTESANAL'!Q26</f>
        <v>-</v>
      </c>
      <c r="O194" s="5">
        <f>RESUMEN!$B$3</f>
        <v>44452</v>
      </c>
      <c r="P194" s="1">
        <f t="shared" si="5"/>
        <v>2021</v>
      </c>
      <c r="Q194" s="1"/>
    </row>
    <row r="195" spans="1:17">
      <c r="A195" s="2" t="s">
        <v>68</v>
      </c>
      <c r="B195" s="1" t="s">
        <v>57</v>
      </c>
      <c r="C195" s="1" t="s">
        <v>72</v>
      </c>
      <c r="D195" s="1" t="s">
        <v>83</v>
      </c>
      <c r="E195" s="1" t="str">
        <f>+'CUOTA ARTESANAL'!C$26</f>
        <v>AG AGRAPES A.G 4399</v>
      </c>
      <c r="F195" s="1" t="s">
        <v>61</v>
      </c>
      <c r="G195" s="1" t="s">
        <v>62</v>
      </c>
      <c r="H195" s="3">
        <f>'CUOTA ARTESANAL'!E27</f>
        <v>3.5470000000000002</v>
      </c>
      <c r="I195" s="3">
        <f>'CUOTA ARTESANAL'!F27</f>
        <v>0</v>
      </c>
      <c r="J195" s="3">
        <f>'CUOTA ARTESANAL'!G27</f>
        <v>1.0139999999999989</v>
      </c>
      <c r="K195" s="3">
        <f>'CUOTA ARTESANAL'!H27</f>
        <v>0</v>
      </c>
      <c r="L195" s="3">
        <f>'CUOTA ARTESANAL'!I27</f>
        <v>1.0139999999999989</v>
      </c>
      <c r="M195" s="114">
        <f>'CUOTA ARTESANAL'!J27</f>
        <v>0</v>
      </c>
      <c r="N195" s="4" t="str">
        <f>+'CUOTA ARTESANAL'!Q27</f>
        <v>-</v>
      </c>
      <c r="O195" s="5">
        <f>RESUMEN!$B$3</f>
        <v>44452</v>
      </c>
      <c r="P195" s="1">
        <f t="shared" si="5"/>
        <v>2021</v>
      </c>
      <c r="Q195" s="1"/>
    </row>
    <row r="196" spans="1:17">
      <c r="A196" s="2" t="s">
        <v>68</v>
      </c>
      <c r="B196" s="1" t="s">
        <v>57</v>
      </c>
      <c r="C196" s="1" t="s">
        <v>72</v>
      </c>
      <c r="D196" s="1" t="s">
        <v>83</v>
      </c>
      <c r="E196" s="1" t="str">
        <f>+'CUOTA ARTESANAL'!C$26</f>
        <v>AG AGRAPES A.G 4399</v>
      </c>
      <c r="F196" s="1" t="s">
        <v>59</v>
      </c>
      <c r="G196" s="1" t="s">
        <v>62</v>
      </c>
      <c r="H196" s="3">
        <f>'CUOTA ARTESANAL'!K26</f>
        <v>71.013999999999996</v>
      </c>
      <c r="I196" s="3">
        <f>'CUOTA ARTESANAL'!M26</f>
        <v>1.0139999999999958</v>
      </c>
      <c r="J196" s="3">
        <f>'CUOTA ARTESANAL'!M26</f>
        <v>1.0139999999999958</v>
      </c>
      <c r="K196" s="3">
        <f>'CUOTA ARTESANAL'!N26</f>
        <v>0</v>
      </c>
      <c r="L196" s="3">
        <f>'CUOTA ARTESANAL'!O26</f>
        <v>1.0139999999999958</v>
      </c>
      <c r="M196" s="114">
        <f>'CUOTA ARTESANAL'!P26</f>
        <v>0</v>
      </c>
      <c r="N196" s="4" t="s">
        <v>82</v>
      </c>
      <c r="O196" s="5">
        <f>RESUMEN!$B$3</f>
        <v>44452</v>
      </c>
      <c r="P196" s="1">
        <f t="shared" si="5"/>
        <v>2021</v>
      </c>
      <c r="Q196" s="1"/>
    </row>
    <row r="197" spans="1:17">
      <c r="A197" s="2" t="s">
        <v>68</v>
      </c>
      <c r="B197" s="1" t="s">
        <v>57</v>
      </c>
      <c r="C197" s="1" t="s">
        <v>72</v>
      </c>
      <c r="D197" s="1" t="s">
        <v>83</v>
      </c>
      <c r="E197" s="1" t="str">
        <f>'CUOTA ARTESANAL'!C28</f>
        <v>STI DE PESCADORES MONTEMAR RSU 05.04.0117</v>
      </c>
      <c r="F197" s="1" t="s">
        <v>59</v>
      </c>
      <c r="G197" s="1" t="s">
        <v>60</v>
      </c>
      <c r="H197" s="3">
        <f>'CUOTA ARTESANAL'!E28</f>
        <v>2.004</v>
      </c>
      <c r="I197" s="3">
        <f>'CUOTA ARTESANAL'!F28</f>
        <v>0</v>
      </c>
      <c r="J197" s="3">
        <f>'CUOTA ARTESANAL'!G28</f>
        <v>2.004</v>
      </c>
      <c r="K197" s="3">
        <f>'CUOTA ARTESANAL'!H28</f>
        <v>2.008</v>
      </c>
      <c r="L197" s="3">
        <f>'CUOTA ARTESANAL'!I28</f>
        <v>-4.0000000000000036E-3</v>
      </c>
      <c r="M197" s="114">
        <f>'CUOTA ARTESANAL'!J28</f>
        <v>1.001996007984032</v>
      </c>
      <c r="N197" s="4">
        <f>'CUOTA ARTESANAL'!Q28</f>
        <v>44328</v>
      </c>
      <c r="O197" s="5">
        <f>RESUMEN!$B$3</f>
        <v>44452</v>
      </c>
      <c r="P197" s="1">
        <f t="shared" si="5"/>
        <v>2021</v>
      </c>
      <c r="Q197" s="1"/>
    </row>
    <row r="198" spans="1:17">
      <c r="A198" s="2" t="s">
        <v>68</v>
      </c>
      <c r="B198" s="1" t="s">
        <v>57</v>
      </c>
      <c r="C198" s="1" t="s">
        <v>72</v>
      </c>
      <c r="D198" s="1" t="s">
        <v>83</v>
      </c>
      <c r="E198" s="1" t="str">
        <f>'CUOTA ARTESANAL'!C28</f>
        <v>STI DE PESCADORES MONTEMAR RSU 05.04.0117</v>
      </c>
      <c r="F198" s="1" t="s">
        <v>61</v>
      </c>
      <c r="G198" s="1" t="s">
        <v>62</v>
      </c>
      <c r="H198" s="3">
        <f>'CUOTA ARTESANAL'!E29</f>
        <v>0.105</v>
      </c>
      <c r="I198" s="3">
        <f>'CUOTA ARTESANAL'!F29</f>
        <v>0</v>
      </c>
      <c r="J198" s="3">
        <f>'CUOTA ARTESANAL'!G29</f>
        <v>0.10099999999999999</v>
      </c>
      <c r="K198" s="3">
        <f>'CUOTA ARTESANAL'!H29</f>
        <v>0</v>
      </c>
      <c r="L198" s="3">
        <f>'CUOTA ARTESANAL'!I29</f>
        <v>0.10099999999999999</v>
      </c>
      <c r="M198" s="114">
        <f>'CUOTA ARTESANAL'!J29</f>
        <v>0</v>
      </c>
      <c r="N198" s="4" t="str">
        <f>'CUOTA ARTESANAL'!Q29</f>
        <v>-</v>
      </c>
      <c r="O198" s="5">
        <f>RESUMEN!$B$3</f>
        <v>44452</v>
      </c>
      <c r="P198" s="1">
        <f t="shared" si="5"/>
        <v>2021</v>
      </c>
      <c r="Q198" s="1"/>
    </row>
    <row r="199" spans="1:17">
      <c r="A199" s="2" t="s">
        <v>68</v>
      </c>
      <c r="B199" s="1" t="s">
        <v>57</v>
      </c>
      <c r="C199" s="1" t="s">
        <v>72</v>
      </c>
      <c r="D199" s="1" t="s">
        <v>83</v>
      </c>
      <c r="E199" s="1" t="str">
        <f>'CUOTA ARTESANAL'!C28</f>
        <v>STI DE PESCADORES MONTEMAR RSU 05.04.0117</v>
      </c>
      <c r="F199" s="1" t="s">
        <v>59</v>
      </c>
      <c r="G199" s="1" t="s">
        <v>62</v>
      </c>
      <c r="H199" s="3">
        <f>'CUOTA ARTESANAL'!K28</f>
        <v>2.109</v>
      </c>
      <c r="I199" s="3">
        <f>'CUOTA ARTESANAL'!L28</f>
        <v>0</v>
      </c>
      <c r="J199" s="3">
        <f>'CUOTA ARTESANAL'!M28</f>
        <v>2.109</v>
      </c>
      <c r="K199" s="3">
        <f>'CUOTA ARTESANAL'!N28</f>
        <v>2.008</v>
      </c>
      <c r="L199" s="3">
        <f>'CUOTA ARTESANAL'!O28</f>
        <v>0.10099999999999998</v>
      </c>
      <c r="M199" s="114">
        <f>'CUOTA ARTESANAL'!P28</f>
        <v>0.95211000474158369</v>
      </c>
      <c r="N199" s="4" t="s">
        <v>82</v>
      </c>
      <c r="O199" s="5">
        <f>RESUMEN!$B$3</f>
        <v>44452</v>
      </c>
      <c r="P199" s="1">
        <f t="shared" si="5"/>
        <v>2021</v>
      </c>
      <c r="Q199" s="1"/>
    </row>
    <row r="200" spans="1:17">
      <c r="A200" s="2" t="s">
        <v>68</v>
      </c>
      <c r="B200" s="1" t="s">
        <v>57</v>
      </c>
      <c r="C200" s="1" t="s">
        <v>72</v>
      </c>
      <c r="D200" s="1" t="s">
        <v>83</v>
      </c>
      <c r="E200" s="1" t="str">
        <f>+'CUOTA ARTESANAL'!C$30</f>
        <v>STI MUELLE SUD AMERICANA. RSU 5010462</v>
      </c>
      <c r="F200" s="1" t="s">
        <v>59</v>
      </c>
      <c r="G200" s="1" t="s">
        <v>60</v>
      </c>
      <c r="H200" s="3">
        <f>+'CUOTA ARTESANAL'!E30</f>
        <v>137.60900000000001</v>
      </c>
      <c r="I200" s="3">
        <f>+'CUOTA ARTESANAL'!F30</f>
        <v>-120</v>
      </c>
      <c r="J200" s="3">
        <f>+'CUOTA ARTESANAL'!G30</f>
        <v>17.609000000000009</v>
      </c>
      <c r="K200" s="3">
        <f>+'CUOTA ARTESANAL'!H30</f>
        <v>12.02</v>
      </c>
      <c r="L200" s="3">
        <f>+'CUOTA ARTESANAL'!I30</f>
        <v>5.5890000000000093</v>
      </c>
      <c r="M200" s="114">
        <f>+'CUOTA ARTESANAL'!J30</f>
        <v>0.68260548583110869</v>
      </c>
      <c r="N200" s="4" t="str">
        <f>+'CUOTA ARTESANAL'!Q30</f>
        <v>-</v>
      </c>
      <c r="O200" s="5">
        <f>RESUMEN!$B$3</f>
        <v>44452</v>
      </c>
      <c r="P200" s="1">
        <f t="shared" si="5"/>
        <v>2021</v>
      </c>
      <c r="Q200" s="1"/>
    </row>
    <row r="201" spans="1:17">
      <c r="A201" s="2" t="s">
        <v>68</v>
      </c>
      <c r="B201" s="1" t="s">
        <v>57</v>
      </c>
      <c r="C201" s="1" t="s">
        <v>72</v>
      </c>
      <c r="D201" s="1" t="s">
        <v>83</v>
      </c>
      <c r="E201" s="1" t="str">
        <f>+'CUOTA ARTESANAL'!C$30</f>
        <v>STI MUELLE SUD AMERICANA. RSU 5010462</v>
      </c>
      <c r="F201" s="1" t="s">
        <v>61</v>
      </c>
      <c r="G201" s="1" t="s">
        <v>62</v>
      </c>
      <c r="H201" s="3">
        <f>+'CUOTA ARTESANAL'!E31</f>
        <v>7.234</v>
      </c>
      <c r="I201" s="3">
        <f>+'CUOTA ARTESANAL'!F31</f>
        <v>0</v>
      </c>
      <c r="J201" s="3">
        <f>+'CUOTA ARTESANAL'!G31</f>
        <v>12.823000000000009</v>
      </c>
      <c r="K201" s="3">
        <f>+'CUOTA ARTESANAL'!H31</f>
        <v>0</v>
      </c>
      <c r="L201" s="3">
        <f>+'CUOTA ARTESANAL'!I31</f>
        <v>12.823000000000009</v>
      </c>
      <c r="M201" s="114">
        <f>+'CUOTA ARTESANAL'!J31</f>
        <v>0</v>
      </c>
      <c r="N201" s="4" t="str">
        <f>'CUOTA ARTESANAL'!Q31</f>
        <v>-</v>
      </c>
      <c r="O201" s="5">
        <f>RESUMEN!$B$3</f>
        <v>44452</v>
      </c>
      <c r="P201" s="1">
        <f t="shared" si="5"/>
        <v>2021</v>
      </c>
      <c r="Q201" s="1"/>
    </row>
    <row r="202" spans="1:17">
      <c r="A202" s="2" t="s">
        <v>68</v>
      </c>
      <c r="B202" s="1" t="s">
        <v>57</v>
      </c>
      <c r="C202" s="1" t="s">
        <v>72</v>
      </c>
      <c r="D202" s="1" t="s">
        <v>83</v>
      </c>
      <c r="E202" s="1" t="str">
        <f>+'CUOTA ARTESANAL'!C$30</f>
        <v>STI MUELLE SUD AMERICANA. RSU 5010462</v>
      </c>
      <c r="F202" s="1" t="s">
        <v>59</v>
      </c>
      <c r="G202" s="1" t="s">
        <v>62</v>
      </c>
      <c r="H202" s="3">
        <f>'CUOTA ARTESANAL'!K30</f>
        <v>144.84300000000002</v>
      </c>
      <c r="I202" s="3">
        <f>'CUOTA ARTESANAL'!L30</f>
        <v>-120</v>
      </c>
      <c r="J202" s="3">
        <f>'CUOTA ARTESANAL'!M30</f>
        <v>24.843000000000018</v>
      </c>
      <c r="K202" s="3">
        <f>'CUOTA ARTESANAL'!N30</f>
        <v>12.02</v>
      </c>
      <c r="L202" s="3">
        <f>'CUOTA ARTESANAL'!O30</f>
        <v>12.823000000000018</v>
      </c>
      <c r="M202" s="114">
        <f>'CUOTA ARTESANAL'!P30</f>
        <v>0.48383850581652743</v>
      </c>
      <c r="N202" s="8" t="s">
        <v>82</v>
      </c>
      <c r="O202" s="5">
        <f>RESUMEN!$B$3</f>
        <v>44452</v>
      </c>
      <c r="P202" s="1">
        <f t="shared" si="5"/>
        <v>2021</v>
      </c>
      <c r="Q202" s="1"/>
    </row>
    <row r="203" spans="1:17">
      <c r="A203" s="2" t="s">
        <v>68</v>
      </c>
      <c r="B203" s="1" t="s">
        <v>57</v>
      </c>
      <c r="C203" s="1" t="s">
        <v>72</v>
      </c>
      <c r="D203" s="1" t="s">
        <v>83</v>
      </c>
      <c r="E203" s="1" t="str">
        <f>+'CUOTA ARTESANAL'!C$32</f>
        <v>STI CALETA EMBARCADERO DE QUINTERO. RSU 05.06.0125</v>
      </c>
      <c r="F203" s="1" t="s">
        <v>59</v>
      </c>
      <c r="G203" s="1" t="s">
        <v>60</v>
      </c>
      <c r="H203" s="3">
        <f>+'CUOTA ARTESANAL'!E32</f>
        <v>105.486</v>
      </c>
      <c r="I203" s="3">
        <f>+'CUOTA ARTESANAL'!F32</f>
        <v>0</v>
      </c>
      <c r="J203" s="3">
        <f>+'CUOTA ARTESANAL'!G32</f>
        <v>105.486</v>
      </c>
      <c r="K203" s="3">
        <f>+'CUOTA ARTESANAL'!H32</f>
        <v>0</v>
      </c>
      <c r="L203" s="3">
        <f>+'CUOTA ARTESANAL'!I32</f>
        <v>105.486</v>
      </c>
      <c r="M203" s="114">
        <f>+'CUOTA ARTESANAL'!J32</f>
        <v>0</v>
      </c>
      <c r="N203" s="4" t="str">
        <f>+'CUOTA ARTESANAL'!Q32</f>
        <v>-</v>
      </c>
      <c r="O203" s="5">
        <f>RESUMEN!$B$3</f>
        <v>44452</v>
      </c>
      <c r="P203" s="1">
        <f t="shared" si="5"/>
        <v>2021</v>
      </c>
      <c r="Q203" s="1"/>
    </row>
    <row r="204" spans="1:17">
      <c r="A204" s="2" t="s">
        <v>68</v>
      </c>
      <c r="B204" s="1" t="s">
        <v>57</v>
      </c>
      <c r="C204" s="1" t="s">
        <v>72</v>
      </c>
      <c r="D204" s="1" t="s">
        <v>83</v>
      </c>
      <c r="E204" s="1" t="str">
        <f>+'CUOTA ARTESANAL'!C$32</f>
        <v>STI CALETA EMBARCADERO DE QUINTERO. RSU 05.06.0125</v>
      </c>
      <c r="F204" s="1" t="s">
        <v>61</v>
      </c>
      <c r="G204" s="1" t="s">
        <v>62</v>
      </c>
      <c r="H204" s="3">
        <f>+'CUOTA ARTESANAL'!E33</f>
        <v>5.5449999999999999</v>
      </c>
      <c r="I204" s="3">
        <f>+'CUOTA ARTESANAL'!F33</f>
        <v>0</v>
      </c>
      <c r="J204" s="3">
        <f>+'CUOTA ARTESANAL'!G33</f>
        <v>111.03100000000001</v>
      </c>
      <c r="K204" s="3">
        <f>+'CUOTA ARTESANAL'!H33</f>
        <v>0</v>
      </c>
      <c r="L204" s="3">
        <f>+'CUOTA ARTESANAL'!I33</f>
        <v>111.03100000000001</v>
      </c>
      <c r="M204" s="114">
        <f>+'CUOTA ARTESANAL'!J33</f>
        <v>0</v>
      </c>
      <c r="N204" s="4" t="str">
        <f>+'CUOTA ARTESANAL'!Q33</f>
        <v>-</v>
      </c>
      <c r="O204" s="5">
        <f>RESUMEN!$B$3</f>
        <v>44452</v>
      </c>
      <c r="P204" s="1">
        <f t="shared" si="5"/>
        <v>2021</v>
      </c>
      <c r="Q204" s="1"/>
    </row>
    <row r="205" spans="1:17">
      <c r="A205" s="2" t="s">
        <v>68</v>
      </c>
      <c r="B205" s="1" t="s">
        <v>57</v>
      </c>
      <c r="C205" s="1" t="s">
        <v>72</v>
      </c>
      <c r="D205" s="1" t="s">
        <v>83</v>
      </c>
      <c r="E205" s="1" t="str">
        <f>+'CUOTA ARTESANAL'!C$32</f>
        <v>STI CALETA EMBARCADERO DE QUINTERO. RSU 05.06.0125</v>
      </c>
      <c r="F205" s="1" t="s">
        <v>59</v>
      </c>
      <c r="G205" s="1" t="s">
        <v>62</v>
      </c>
      <c r="H205" s="3">
        <f>+'CUOTA ARTESANAL'!K32</f>
        <v>111.03100000000001</v>
      </c>
      <c r="I205" s="3">
        <f>+'CUOTA ARTESANAL'!L32</f>
        <v>0</v>
      </c>
      <c r="J205" s="3">
        <f>+'CUOTA ARTESANAL'!M32</f>
        <v>111.03100000000001</v>
      </c>
      <c r="K205" s="3">
        <f>+'CUOTA ARTESANAL'!N32</f>
        <v>0</v>
      </c>
      <c r="L205" s="3">
        <f>+'CUOTA ARTESANAL'!O32</f>
        <v>111.03100000000001</v>
      </c>
      <c r="M205" s="114">
        <f>+'CUOTA ARTESANAL'!P32</f>
        <v>0</v>
      </c>
      <c r="N205" s="8" t="s">
        <v>82</v>
      </c>
      <c r="O205" s="5">
        <f>RESUMEN!$B$3</f>
        <v>44452</v>
      </c>
      <c r="P205" s="1">
        <f t="shared" si="5"/>
        <v>2021</v>
      </c>
      <c r="Q205" s="1"/>
    </row>
    <row r="206" spans="1:17">
      <c r="A206" s="2" t="s">
        <v>68</v>
      </c>
      <c r="B206" s="1" t="s">
        <v>57</v>
      </c>
      <c r="C206" s="1" t="s">
        <v>72</v>
      </c>
      <c r="D206" s="1" t="s">
        <v>78</v>
      </c>
      <c r="E206" s="1" t="s">
        <v>78</v>
      </c>
      <c r="F206" s="1" t="s">
        <v>59</v>
      </c>
      <c r="G206" s="1" t="s">
        <v>60</v>
      </c>
      <c r="H206" s="3">
        <f>'CUOTA ARTESANAL'!E34</f>
        <v>589.14400000000001</v>
      </c>
      <c r="I206" s="3">
        <f>'CUOTA ARTESANAL'!F34</f>
        <v>0</v>
      </c>
      <c r="J206" s="3">
        <f>'CUOTA ARTESANAL'!G34</f>
        <v>589.14400000000001</v>
      </c>
      <c r="K206" s="3">
        <f>'CUOTA ARTESANAL'!H34</f>
        <v>92.554000000000002</v>
      </c>
      <c r="L206" s="3">
        <f>'CUOTA ARTESANAL'!I34</f>
        <v>496.59000000000003</v>
      </c>
      <c r="M206" s="114">
        <f>'CUOTA ARTESANAL'!J34</f>
        <v>0.15709911328978993</v>
      </c>
      <c r="N206" s="4" t="str">
        <f>'CUOTA ARTESANAL'!Q34</f>
        <v>-</v>
      </c>
      <c r="O206" s="5">
        <f>RESUMEN!$B$3</f>
        <v>44452</v>
      </c>
      <c r="P206" s="1">
        <f t="shared" si="5"/>
        <v>2021</v>
      </c>
      <c r="Q206" s="1"/>
    </row>
    <row r="207" spans="1:17">
      <c r="A207" s="2" t="s">
        <v>68</v>
      </c>
      <c r="B207" s="1" t="s">
        <v>57</v>
      </c>
      <c r="C207" s="1" t="s">
        <v>72</v>
      </c>
      <c r="D207" s="1" t="s">
        <v>78</v>
      </c>
      <c r="E207" s="1" t="s">
        <v>78</v>
      </c>
      <c r="F207" s="1" t="s">
        <v>61</v>
      </c>
      <c r="G207" s="1" t="s">
        <v>62</v>
      </c>
      <c r="H207" s="3">
        <f>'CUOTA ARTESANAL'!E35</f>
        <v>30.969000000000001</v>
      </c>
      <c r="I207" s="3">
        <f>'CUOTA ARTESANAL'!F35</f>
        <v>0</v>
      </c>
      <c r="J207" s="3">
        <f>'CUOTA ARTESANAL'!G35</f>
        <v>527.55900000000008</v>
      </c>
      <c r="K207" s="3">
        <f>'CUOTA ARTESANAL'!H35</f>
        <v>0</v>
      </c>
      <c r="L207" s="3">
        <f>'CUOTA ARTESANAL'!I35</f>
        <v>527.55900000000008</v>
      </c>
      <c r="M207" s="114">
        <f>'CUOTA ARTESANAL'!J35</f>
        <v>0</v>
      </c>
      <c r="N207" s="4" t="str">
        <f>'CUOTA ARTESANAL'!Q35</f>
        <v>-</v>
      </c>
      <c r="O207" s="5">
        <f>RESUMEN!$B$3</f>
        <v>44452</v>
      </c>
      <c r="P207" s="1">
        <f t="shared" si="5"/>
        <v>2021</v>
      </c>
      <c r="Q207" s="1"/>
    </row>
    <row r="208" spans="1:17">
      <c r="A208" s="2" t="s">
        <v>68</v>
      </c>
      <c r="B208" s="1" t="s">
        <v>57</v>
      </c>
      <c r="C208" s="1" t="s">
        <v>72</v>
      </c>
      <c r="D208" s="1" t="s">
        <v>78</v>
      </c>
      <c r="E208" s="1" t="s">
        <v>78</v>
      </c>
      <c r="F208" s="1" t="s">
        <v>59</v>
      </c>
      <c r="G208" s="1" t="s">
        <v>62</v>
      </c>
      <c r="H208" s="3">
        <f>'CUOTA ARTESANAL'!K34</f>
        <v>620.11300000000006</v>
      </c>
      <c r="I208" s="3">
        <f>'CUOTA ARTESANAL'!L34</f>
        <v>0</v>
      </c>
      <c r="J208" s="3">
        <f>'CUOTA ARTESANAL'!M34</f>
        <v>620.11300000000006</v>
      </c>
      <c r="K208" s="3">
        <f>'CUOTA ARTESANAL'!N34</f>
        <v>92.554000000000002</v>
      </c>
      <c r="L208" s="3">
        <f>'CUOTA ARTESANAL'!O34</f>
        <v>527.55900000000008</v>
      </c>
      <c r="M208" s="114">
        <f>'CUOTA ARTESANAL'!P34</f>
        <v>0.14925344251773465</v>
      </c>
      <c r="N208" s="4" t="s">
        <v>82</v>
      </c>
      <c r="O208" s="5">
        <f>RESUMEN!$B$3</f>
        <v>44452</v>
      </c>
      <c r="P208" s="1">
        <f t="shared" si="5"/>
        <v>2021</v>
      </c>
      <c r="Q208" s="1"/>
    </row>
    <row r="209" spans="1:17">
      <c r="A209" s="2" t="s">
        <v>68</v>
      </c>
      <c r="B209" s="1" t="s">
        <v>57</v>
      </c>
      <c r="C209" s="1" t="s">
        <v>73</v>
      </c>
      <c r="D209" s="1" t="s">
        <v>64</v>
      </c>
      <c r="E209" s="1" t="s">
        <v>74</v>
      </c>
      <c r="F209" s="1" t="s">
        <v>59</v>
      </c>
      <c r="G209" s="1" t="s">
        <v>60</v>
      </c>
      <c r="H209" s="3">
        <f>'CUOTA ARTESANAL'!E37</f>
        <v>20</v>
      </c>
      <c r="I209" s="3">
        <f>'CUOTA ARTESANAL'!F37</f>
        <v>0</v>
      </c>
      <c r="J209" s="3">
        <f>'CUOTA ARTESANAL'!G37</f>
        <v>20</v>
      </c>
      <c r="K209" s="3">
        <f>'CUOTA ARTESANAL'!H37</f>
        <v>2.96</v>
      </c>
      <c r="L209" s="3">
        <f>'CUOTA ARTESANAL'!I37</f>
        <v>17.04</v>
      </c>
      <c r="M209" s="114">
        <f>'CUOTA ARTESANAL'!J37</f>
        <v>0.14799999999999999</v>
      </c>
      <c r="N209" s="4" t="str">
        <f>'CUOTA ARTESANAL'!Q37</f>
        <v>-</v>
      </c>
      <c r="O209" s="5">
        <f>RESUMEN!$B$3</f>
        <v>44452</v>
      </c>
      <c r="P209" s="1">
        <f t="shared" ref="P209:P262" si="7">YEAR(O209)</f>
        <v>2021</v>
      </c>
      <c r="Q209" s="1"/>
    </row>
    <row r="210" spans="1:17">
      <c r="A210" s="2" t="s">
        <v>68</v>
      </c>
      <c r="B210" s="1" t="s">
        <v>57</v>
      </c>
      <c r="C210" s="1" t="s">
        <v>73</v>
      </c>
      <c r="D210" s="1" t="s">
        <v>64</v>
      </c>
      <c r="E210" s="1" t="s">
        <v>74</v>
      </c>
      <c r="F210" s="1" t="s">
        <v>61</v>
      </c>
      <c r="G210" s="1" t="s">
        <v>62</v>
      </c>
      <c r="H210" s="3">
        <f>'CUOTA ARTESANAL'!E38</f>
        <v>1</v>
      </c>
      <c r="I210" s="3">
        <f>'CUOTA ARTESANAL'!F38</f>
        <v>0</v>
      </c>
      <c r="J210" s="3">
        <f>'CUOTA ARTESANAL'!G38</f>
        <v>18.04</v>
      </c>
      <c r="K210" s="3">
        <f>'CUOTA ARTESANAL'!H38</f>
        <v>0</v>
      </c>
      <c r="L210" s="3">
        <f>'CUOTA ARTESANAL'!I38</f>
        <v>18.04</v>
      </c>
      <c r="M210" s="114">
        <f>'CUOTA ARTESANAL'!J38</f>
        <v>0</v>
      </c>
      <c r="N210" s="4" t="str">
        <f>'CUOTA ARTESANAL'!Q38</f>
        <v>-</v>
      </c>
      <c r="O210" s="5">
        <f>RESUMEN!$B$3</f>
        <v>44452</v>
      </c>
      <c r="P210" s="1">
        <f t="shared" si="7"/>
        <v>2021</v>
      </c>
      <c r="Q210" s="1"/>
    </row>
    <row r="211" spans="1:17">
      <c r="A211" s="2" t="s">
        <v>68</v>
      </c>
      <c r="B211" s="1" t="s">
        <v>57</v>
      </c>
      <c r="C211" s="1" t="s">
        <v>73</v>
      </c>
      <c r="D211" s="1" t="s">
        <v>64</v>
      </c>
      <c r="E211" s="1" t="s">
        <v>74</v>
      </c>
      <c r="F211" s="1" t="s">
        <v>59</v>
      </c>
      <c r="G211" s="1" t="s">
        <v>62</v>
      </c>
      <c r="H211" s="3">
        <f>'CUOTA ARTESANAL'!K37</f>
        <v>21</v>
      </c>
      <c r="I211" s="3">
        <f>'CUOTA ARTESANAL'!L37</f>
        <v>0</v>
      </c>
      <c r="J211" s="3">
        <f>'CUOTA ARTESANAL'!M37</f>
        <v>21</v>
      </c>
      <c r="K211" s="3">
        <f>'CUOTA ARTESANAL'!N37</f>
        <v>2.96</v>
      </c>
      <c r="L211" s="3">
        <f>'CUOTA ARTESANAL'!O37</f>
        <v>18.04</v>
      </c>
      <c r="M211" s="114">
        <f>'CUOTA ARTESANAL'!P37</f>
        <v>0.14095238095238094</v>
      </c>
      <c r="N211" s="4" t="s">
        <v>82</v>
      </c>
      <c r="O211" s="5">
        <f>RESUMEN!$B$3</f>
        <v>44452</v>
      </c>
      <c r="P211" s="1">
        <f t="shared" si="7"/>
        <v>2021</v>
      </c>
      <c r="Q211" s="1"/>
    </row>
    <row r="212" spans="1:17">
      <c r="A212" s="2" t="s">
        <v>68</v>
      </c>
      <c r="B212" s="1" t="s">
        <v>57</v>
      </c>
      <c r="C212" s="1" t="s">
        <v>39</v>
      </c>
      <c r="D212" s="1" t="s">
        <v>64</v>
      </c>
      <c r="E212" s="1" t="s">
        <v>75</v>
      </c>
      <c r="F212" s="1" t="s">
        <v>59</v>
      </c>
      <c r="G212" s="1" t="s">
        <v>60</v>
      </c>
      <c r="H212" s="3">
        <f>'CUOTA ARTESANAL'!E40</f>
        <v>159</v>
      </c>
      <c r="I212" s="3">
        <f>'CUOTA ARTESANAL'!F40</f>
        <v>0</v>
      </c>
      <c r="J212" s="3">
        <f>'CUOTA ARTESANAL'!G40</f>
        <v>159</v>
      </c>
      <c r="K212" s="3">
        <f>'CUOTA ARTESANAL'!H40</f>
        <v>160.61500000000001</v>
      </c>
      <c r="L212" s="3">
        <f>'CUOTA ARTESANAL'!I40</f>
        <v>-1.6150000000000091</v>
      </c>
      <c r="M212" s="114">
        <f>'CUOTA ARTESANAL'!J40</f>
        <v>1.0101572327044026</v>
      </c>
      <c r="N212" s="4">
        <f>'CUOTA ARTESANAL'!Q40</f>
        <v>44278</v>
      </c>
      <c r="O212" s="5">
        <f>RESUMEN!$B$3</f>
        <v>44452</v>
      </c>
      <c r="P212" s="1">
        <f t="shared" si="7"/>
        <v>2021</v>
      </c>
      <c r="Q212" s="1"/>
    </row>
    <row r="213" spans="1:17">
      <c r="A213" s="2" t="s">
        <v>68</v>
      </c>
      <c r="B213" s="1" t="s">
        <v>57</v>
      </c>
      <c r="C213" s="1" t="s">
        <v>39</v>
      </c>
      <c r="D213" s="1" t="s">
        <v>64</v>
      </c>
      <c r="E213" s="1" t="s">
        <v>75</v>
      </c>
      <c r="F213" s="1" t="s">
        <v>61</v>
      </c>
      <c r="G213" s="1" t="s">
        <v>62</v>
      </c>
      <c r="H213" s="3">
        <f>'CUOTA ARTESANAL'!E41</f>
        <v>8</v>
      </c>
      <c r="I213" s="3">
        <f>'CUOTA ARTESANAL'!F41</f>
        <v>0</v>
      </c>
      <c r="J213" s="3">
        <f>'CUOTA ARTESANAL'!G41</f>
        <v>6.3849999999999909</v>
      </c>
      <c r="K213" s="3">
        <f>'CUOTA ARTESANAL'!H41</f>
        <v>0</v>
      </c>
      <c r="L213" s="3">
        <f>'CUOTA ARTESANAL'!I41</f>
        <v>6.3849999999999909</v>
      </c>
      <c r="M213" s="114">
        <f>'CUOTA ARTESANAL'!J41</f>
        <v>0</v>
      </c>
      <c r="N213" s="4" t="str">
        <f>'CUOTA ARTESANAL'!Q41</f>
        <v>-</v>
      </c>
      <c r="O213" s="5">
        <f>RESUMEN!$B$3</f>
        <v>44452</v>
      </c>
      <c r="P213" s="1">
        <f t="shared" si="7"/>
        <v>2021</v>
      </c>
      <c r="Q213" s="1"/>
    </row>
    <row r="214" spans="1:17">
      <c r="A214" s="2" t="s">
        <v>68</v>
      </c>
      <c r="B214" s="1" t="s">
        <v>57</v>
      </c>
      <c r="C214" s="1" t="s">
        <v>39</v>
      </c>
      <c r="D214" s="1" t="s">
        <v>64</v>
      </c>
      <c r="E214" s="1" t="s">
        <v>75</v>
      </c>
      <c r="F214" s="1" t="s">
        <v>59</v>
      </c>
      <c r="G214" s="1" t="s">
        <v>62</v>
      </c>
      <c r="H214" s="3">
        <f>'CUOTA ARTESANAL'!K40</f>
        <v>167</v>
      </c>
      <c r="I214" s="3">
        <f>'CUOTA ARTESANAL'!L40</f>
        <v>0</v>
      </c>
      <c r="J214" s="3">
        <f>'CUOTA ARTESANAL'!M40</f>
        <v>167</v>
      </c>
      <c r="K214" s="3">
        <f>'CUOTA ARTESANAL'!N40</f>
        <v>160.61500000000001</v>
      </c>
      <c r="L214" s="3">
        <f>'CUOTA ARTESANAL'!O40</f>
        <v>6.3849999999999909</v>
      </c>
      <c r="M214" s="114">
        <f>'CUOTA ARTESANAL'!P40</f>
        <v>0.96176646706586832</v>
      </c>
      <c r="N214" s="4" t="s">
        <v>82</v>
      </c>
      <c r="O214" s="5">
        <f>RESUMEN!$B$3</f>
        <v>44452</v>
      </c>
      <c r="P214" s="1">
        <f t="shared" si="7"/>
        <v>2021</v>
      </c>
      <c r="Q214" s="1"/>
    </row>
    <row r="215" spans="1:17">
      <c r="A215" s="2" t="s">
        <v>68</v>
      </c>
      <c r="B215" s="1" t="s">
        <v>57</v>
      </c>
      <c r="C215" s="1" t="s">
        <v>40</v>
      </c>
      <c r="D215" s="1" t="s">
        <v>64</v>
      </c>
      <c r="E215" s="1" t="s">
        <v>106</v>
      </c>
      <c r="F215" s="1" t="s">
        <v>59</v>
      </c>
      <c r="G215" s="1" t="s">
        <v>60</v>
      </c>
      <c r="H215" s="3">
        <f>'CUOTA ARTESANAL'!E43</f>
        <v>10337</v>
      </c>
      <c r="I215" s="3">
        <f>'CUOTA ARTESANAL'!F43</f>
        <v>0</v>
      </c>
      <c r="J215" s="3">
        <f>'CUOTA ARTESANAL'!G43</f>
        <v>10337</v>
      </c>
      <c r="K215" s="3">
        <f>'CUOTA ARTESANAL'!H43</f>
        <v>10806.83</v>
      </c>
      <c r="L215" s="3">
        <f>'CUOTA ARTESANAL'!I43</f>
        <v>-469.82999999999993</v>
      </c>
      <c r="M215" s="114">
        <f>'CUOTA ARTESANAL'!J43</f>
        <v>1.0454512914772178</v>
      </c>
      <c r="N215" s="4">
        <f>'CUOTA ARTESANAL'!Q43</f>
        <v>44208</v>
      </c>
      <c r="O215" s="5">
        <f>RESUMEN!$B$3</f>
        <v>44452</v>
      </c>
      <c r="P215" s="1">
        <f t="shared" si="7"/>
        <v>2021</v>
      </c>
      <c r="Q215" s="1"/>
    </row>
    <row r="216" spans="1:17">
      <c r="A216" s="2" t="s">
        <v>68</v>
      </c>
      <c r="B216" s="1" t="s">
        <v>57</v>
      </c>
      <c r="C216" s="1" t="s">
        <v>40</v>
      </c>
      <c r="D216" s="1" t="s">
        <v>64</v>
      </c>
      <c r="E216" s="1" t="s">
        <v>106</v>
      </c>
      <c r="F216" s="1" t="s">
        <v>61</v>
      </c>
      <c r="G216" s="1" t="s">
        <v>62</v>
      </c>
      <c r="H216" s="3">
        <f>'CUOTA ARTESANAL'!E44</f>
        <v>544</v>
      </c>
      <c r="I216" s="3">
        <f>'CUOTA ARTESANAL'!F44</f>
        <v>0</v>
      </c>
      <c r="J216" s="3">
        <f>'CUOTA ARTESANAL'!G44</f>
        <v>74.170000000000073</v>
      </c>
      <c r="K216" s="3">
        <f>'CUOTA ARTESANAL'!H44</f>
        <v>0</v>
      </c>
      <c r="L216" s="3">
        <f>'CUOTA ARTESANAL'!I44</f>
        <v>74.170000000000073</v>
      </c>
      <c r="M216" s="114">
        <f>'CUOTA ARTESANAL'!J44</f>
        <v>0</v>
      </c>
      <c r="N216" s="4" t="str">
        <f>'CUOTA ARTESANAL'!Q44</f>
        <v>-</v>
      </c>
      <c r="O216" s="5">
        <f>RESUMEN!$B$3</f>
        <v>44452</v>
      </c>
      <c r="P216" s="1">
        <f t="shared" si="7"/>
        <v>2021</v>
      </c>
      <c r="Q216" s="1"/>
    </row>
    <row r="217" spans="1:17">
      <c r="A217" s="2" t="s">
        <v>68</v>
      </c>
      <c r="B217" s="1" t="s">
        <v>57</v>
      </c>
      <c r="C217" s="1" t="s">
        <v>40</v>
      </c>
      <c r="D217" s="1" t="s">
        <v>64</v>
      </c>
      <c r="E217" s="1" t="s">
        <v>106</v>
      </c>
      <c r="F217" s="1" t="s">
        <v>59</v>
      </c>
      <c r="G217" s="1" t="s">
        <v>62</v>
      </c>
      <c r="H217" s="3">
        <f>'CUOTA ARTESANAL'!K43</f>
        <v>10881</v>
      </c>
      <c r="I217" s="3">
        <f>'CUOTA ARTESANAL'!L43</f>
        <v>0</v>
      </c>
      <c r="J217" s="3">
        <f>'CUOTA ARTESANAL'!M43</f>
        <v>10881</v>
      </c>
      <c r="K217" s="3">
        <f>'CUOTA ARTESANAL'!N43</f>
        <v>10806.83</v>
      </c>
      <c r="L217" s="3">
        <f>'CUOTA ARTESANAL'!O43</f>
        <v>74.170000000000073</v>
      </c>
      <c r="M217" s="114">
        <f>'CUOTA ARTESANAL'!P43</f>
        <v>0.99318353092546641</v>
      </c>
      <c r="N217" s="4" t="s">
        <v>82</v>
      </c>
      <c r="O217" s="5">
        <f>RESUMEN!$B$3</f>
        <v>44452</v>
      </c>
      <c r="P217" s="1">
        <f t="shared" si="7"/>
        <v>2021</v>
      </c>
      <c r="Q217" s="1"/>
    </row>
    <row r="218" spans="1:17">
      <c r="A218" s="2" t="s">
        <v>68</v>
      </c>
      <c r="B218" s="1" t="s">
        <v>57</v>
      </c>
      <c r="C218" s="1" t="s">
        <v>23</v>
      </c>
      <c r="D218" s="1" t="s">
        <v>64</v>
      </c>
      <c r="E218" s="1" t="s">
        <v>76</v>
      </c>
      <c r="F218" s="1" t="s">
        <v>59</v>
      </c>
      <c r="G218" s="1" t="s">
        <v>60</v>
      </c>
      <c r="H218" s="3">
        <f>'CUOTA ARTESANAL'!E46</f>
        <v>233</v>
      </c>
      <c r="I218" s="3">
        <f>'CUOTA ARTESANAL'!F46</f>
        <v>0</v>
      </c>
      <c r="J218" s="3">
        <f>'CUOTA ARTESANAL'!G46</f>
        <v>233</v>
      </c>
      <c r="K218" s="3">
        <f>'CUOTA ARTESANAL'!H46</f>
        <v>51.064</v>
      </c>
      <c r="L218" s="3">
        <f>'CUOTA ARTESANAL'!I46</f>
        <v>181.93600000000001</v>
      </c>
      <c r="M218" s="114">
        <f>'CUOTA ARTESANAL'!J46</f>
        <v>0.21915879828326179</v>
      </c>
      <c r="N218" s="4" t="str">
        <f>'CUOTA ARTESANAL'!Q46</f>
        <v>-</v>
      </c>
      <c r="O218" s="5">
        <f>RESUMEN!$B$3</f>
        <v>44452</v>
      </c>
      <c r="P218" s="1">
        <f t="shared" si="7"/>
        <v>2021</v>
      </c>
      <c r="Q218" s="1"/>
    </row>
    <row r="219" spans="1:17">
      <c r="A219" s="2" t="s">
        <v>68</v>
      </c>
      <c r="B219" s="1" t="s">
        <v>57</v>
      </c>
      <c r="C219" s="1" t="s">
        <v>23</v>
      </c>
      <c r="D219" s="1" t="s">
        <v>64</v>
      </c>
      <c r="E219" s="1" t="s">
        <v>76</v>
      </c>
      <c r="F219" s="1" t="s">
        <v>61</v>
      </c>
      <c r="G219" s="1" t="s">
        <v>62</v>
      </c>
      <c r="H219" s="3">
        <f>'CUOTA ARTESANAL'!E47</f>
        <v>12</v>
      </c>
      <c r="I219" s="3">
        <f>'CUOTA ARTESANAL'!F47</f>
        <v>0</v>
      </c>
      <c r="J219" s="3">
        <f>'CUOTA ARTESANAL'!G47</f>
        <v>193.93600000000001</v>
      </c>
      <c r="K219" s="3">
        <f>'CUOTA ARTESANAL'!H47</f>
        <v>0</v>
      </c>
      <c r="L219" s="3">
        <f>'CUOTA ARTESANAL'!I47</f>
        <v>193.93600000000001</v>
      </c>
      <c r="M219" s="114">
        <f>'CUOTA ARTESANAL'!J47</f>
        <v>0</v>
      </c>
      <c r="N219" s="4" t="str">
        <f>'CUOTA ARTESANAL'!Q47</f>
        <v>-</v>
      </c>
      <c r="O219" s="5">
        <f>RESUMEN!$B$3</f>
        <v>44452</v>
      </c>
      <c r="P219" s="1">
        <f t="shared" si="7"/>
        <v>2021</v>
      </c>
      <c r="Q219" s="1"/>
    </row>
    <row r="220" spans="1:17">
      <c r="A220" s="2" t="s">
        <v>68</v>
      </c>
      <c r="B220" s="1" t="s">
        <v>57</v>
      </c>
      <c r="C220" s="1" t="s">
        <v>23</v>
      </c>
      <c r="D220" s="1" t="s">
        <v>64</v>
      </c>
      <c r="E220" s="1" t="s">
        <v>76</v>
      </c>
      <c r="F220" s="1" t="s">
        <v>59</v>
      </c>
      <c r="G220" s="1" t="s">
        <v>62</v>
      </c>
      <c r="H220" s="3">
        <f>'CUOTA ARTESANAL'!M46</f>
        <v>245</v>
      </c>
      <c r="I220" s="3">
        <f>'CUOTA ARTESANAL'!L46</f>
        <v>0</v>
      </c>
      <c r="J220" s="3">
        <f>'CUOTA ARTESANAL'!M46</f>
        <v>245</v>
      </c>
      <c r="K220" s="3">
        <f>'CUOTA ARTESANAL'!N46</f>
        <v>51.064</v>
      </c>
      <c r="L220" s="3">
        <f>'CUOTA ARTESANAL'!O46</f>
        <v>193.93600000000001</v>
      </c>
      <c r="M220" s="114">
        <f>'CUOTA ARTESANAL'!P46</f>
        <v>0.20842448979591838</v>
      </c>
      <c r="N220" s="4" t="s">
        <v>82</v>
      </c>
      <c r="O220" s="5">
        <f>RESUMEN!$B$3</f>
        <v>44452</v>
      </c>
      <c r="P220" s="1">
        <f t="shared" si="7"/>
        <v>2021</v>
      </c>
      <c r="Q220" s="1"/>
    </row>
    <row r="221" spans="1:17">
      <c r="A221" s="1" t="s">
        <v>69</v>
      </c>
      <c r="B221" s="1" t="s">
        <v>57</v>
      </c>
      <c r="C221" s="1" t="s">
        <v>24</v>
      </c>
      <c r="D221" s="1" t="s">
        <v>64</v>
      </c>
      <c r="E221" s="1" t="s">
        <v>77</v>
      </c>
      <c r="F221" s="1" t="s">
        <v>59</v>
      </c>
      <c r="G221" s="1" t="s">
        <v>60</v>
      </c>
      <c r="H221" s="3">
        <f>'CUOTA ARTESANAL'!E49</f>
        <v>1208</v>
      </c>
      <c r="I221" s="3">
        <f>'CUOTA ARTESANAL'!F49</f>
        <v>0</v>
      </c>
      <c r="J221" s="3">
        <f>'CUOTA ARTESANAL'!G49</f>
        <v>1208</v>
      </c>
      <c r="K221" s="3">
        <f>'CUOTA ARTESANAL'!H49</f>
        <v>1434.623</v>
      </c>
      <c r="L221" s="3">
        <f>'CUOTA ARTESANAL'!I49</f>
        <v>-226.62300000000005</v>
      </c>
      <c r="M221" s="114">
        <f>'CUOTA ARTESANAL'!J49</f>
        <v>1.1876018211920529</v>
      </c>
      <c r="N221" s="4">
        <f>'CUOTA ARTESANAL'!Q49</f>
        <v>44240</v>
      </c>
      <c r="O221" s="5">
        <f>RESUMEN!$B$3</f>
        <v>44452</v>
      </c>
      <c r="P221" s="1">
        <f t="shared" si="7"/>
        <v>2021</v>
      </c>
      <c r="Q221" s="1"/>
    </row>
    <row r="222" spans="1:17">
      <c r="A222" s="1" t="s">
        <v>69</v>
      </c>
      <c r="B222" s="1" t="s">
        <v>57</v>
      </c>
      <c r="C222" s="1" t="s">
        <v>24</v>
      </c>
      <c r="D222" s="1" t="s">
        <v>64</v>
      </c>
      <c r="E222" s="1" t="s">
        <v>77</v>
      </c>
      <c r="F222" s="1" t="s">
        <v>61</v>
      </c>
      <c r="G222" s="1" t="s">
        <v>62</v>
      </c>
      <c r="H222" s="3">
        <f>'CUOTA ARTESANAL'!E50</f>
        <v>64</v>
      </c>
      <c r="I222" s="3">
        <f>'CUOTA ARTESANAL'!F50</f>
        <v>0</v>
      </c>
      <c r="J222" s="3">
        <f>'CUOTA ARTESANAL'!G50</f>
        <v>-162.62300000000005</v>
      </c>
      <c r="K222" s="3">
        <f>'CUOTA ARTESANAL'!H50</f>
        <v>0</v>
      </c>
      <c r="L222" s="3">
        <f>'CUOTA ARTESANAL'!I50</f>
        <v>-162.62300000000005</v>
      </c>
      <c r="M222" s="114">
        <f>'CUOTA ARTESANAL'!J50</f>
        <v>0</v>
      </c>
      <c r="N222" s="4" t="str">
        <f>'CUOTA ARTESANAL'!Q50</f>
        <v>-</v>
      </c>
      <c r="O222" s="5">
        <f>RESUMEN!$B$3</f>
        <v>44452</v>
      </c>
      <c r="P222" s="1">
        <f t="shared" si="7"/>
        <v>2021</v>
      </c>
      <c r="Q222" s="1"/>
    </row>
    <row r="223" spans="1:17">
      <c r="A223" s="1" t="s">
        <v>69</v>
      </c>
      <c r="B223" s="1" t="s">
        <v>57</v>
      </c>
      <c r="C223" s="1" t="s">
        <v>24</v>
      </c>
      <c r="D223" s="1" t="s">
        <v>64</v>
      </c>
      <c r="E223" s="1" t="s">
        <v>77</v>
      </c>
      <c r="F223" s="1" t="s">
        <v>59</v>
      </c>
      <c r="G223" s="1" t="s">
        <v>62</v>
      </c>
      <c r="H223" s="3">
        <f>'CUOTA ARTESANAL'!K49</f>
        <v>1272</v>
      </c>
      <c r="I223" s="3">
        <f>'CUOTA ARTESANAL'!L49</f>
        <v>0</v>
      </c>
      <c r="J223" s="3">
        <f>'CUOTA ARTESANAL'!M49</f>
        <v>1272</v>
      </c>
      <c r="K223" s="3">
        <f>'CUOTA ARTESANAL'!N49</f>
        <v>1434.623</v>
      </c>
      <c r="L223" s="3">
        <f>'CUOTA ARTESANAL'!O49</f>
        <v>-162.62300000000005</v>
      </c>
      <c r="M223" s="114">
        <f>'CUOTA ARTESANAL'!P49</f>
        <v>1.1278482704402517</v>
      </c>
      <c r="N223" s="4" t="s">
        <v>82</v>
      </c>
      <c r="O223" s="5">
        <f>RESUMEN!$B$3</f>
        <v>44452</v>
      </c>
      <c r="P223" s="1">
        <f t="shared" si="7"/>
        <v>2021</v>
      </c>
      <c r="Q223" s="1"/>
    </row>
    <row r="224" spans="1:17">
      <c r="A224" s="1" t="s">
        <v>69</v>
      </c>
      <c r="B224" s="1" t="s">
        <v>57</v>
      </c>
      <c r="C224" s="1" t="s">
        <v>34</v>
      </c>
      <c r="D224" s="1" t="s">
        <v>83</v>
      </c>
      <c r="E224" s="1" t="str">
        <f>+'CUOTA ARTESANAL'!C52</f>
        <v>ARMAR AG. RAG 320-10</v>
      </c>
      <c r="F224" s="1" t="s">
        <v>59</v>
      </c>
      <c r="G224" s="1" t="s">
        <v>60</v>
      </c>
      <c r="H224" s="3">
        <f>'CUOTA ARTESANAL'!E52</f>
        <v>123.786</v>
      </c>
      <c r="I224" s="3">
        <f>'CUOTA ARTESANAL'!F52</f>
        <v>-120</v>
      </c>
      <c r="J224" s="3">
        <f>'CUOTA ARTESANAL'!G52</f>
        <v>3.7860000000000014</v>
      </c>
      <c r="K224" s="3">
        <f>'CUOTA ARTESANAL'!H52</f>
        <v>0</v>
      </c>
      <c r="L224" s="3">
        <f>'CUOTA ARTESANAL'!I52</f>
        <v>3.7860000000000014</v>
      </c>
      <c r="M224" s="114">
        <f>'CUOTA ARTESANAL'!J52</f>
        <v>0</v>
      </c>
      <c r="N224" s="4" t="str">
        <f>'CUOTA ARTESANAL'!Q52</f>
        <v>-</v>
      </c>
      <c r="O224" s="5">
        <f>RESUMEN!$B$3</f>
        <v>44452</v>
      </c>
      <c r="P224" s="1">
        <f t="shared" si="7"/>
        <v>2021</v>
      </c>
      <c r="Q224" s="1"/>
    </row>
    <row r="225" spans="1:17">
      <c r="A225" s="1" t="s">
        <v>69</v>
      </c>
      <c r="B225" s="1" t="s">
        <v>57</v>
      </c>
      <c r="C225" s="1" t="s">
        <v>34</v>
      </c>
      <c r="D225" s="1" t="s">
        <v>83</v>
      </c>
      <c r="E225" s="1" t="str">
        <f>+'CUOTA ARTESANAL'!C52</f>
        <v>ARMAR AG. RAG 320-10</v>
      </c>
      <c r="F225" s="1" t="s">
        <v>61</v>
      </c>
      <c r="G225" s="1" t="s">
        <v>62</v>
      </c>
      <c r="H225" s="3">
        <f>'CUOTA ARTESANAL'!E53</f>
        <v>6.5209999999999999</v>
      </c>
      <c r="I225" s="3">
        <f>'CUOTA ARTESANAL'!F53</f>
        <v>0</v>
      </c>
      <c r="J225" s="3">
        <f>'CUOTA ARTESANAL'!G53</f>
        <v>10.307000000000002</v>
      </c>
      <c r="K225" s="3">
        <f>'CUOTA ARTESANAL'!H53</f>
        <v>0</v>
      </c>
      <c r="L225" s="3">
        <f>'CUOTA ARTESANAL'!I53</f>
        <v>10.307000000000002</v>
      </c>
      <c r="M225" s="114">
        <f>'CUOTA ARTESANAL'!J53</f>
        <v>0</v>
      </c>
      <c r="N225" s="4" t="str">
        <f>'CUOTA ARTESANAL'!Q53</f>
        <v>-</v>
      </c>
      <c r="O225" s="5">
        <f>RESUMEN!$B$3</f>
        <v>44452</v>
      </c>
      <c r="P225" s="1">
        <f t="shared" si="7"/>
        <v>2021</v>
      </c>
      <c r="Q225" s="1"/>
    </row>
    <row r="226" spans="1:17">
      <c r="A226" s="1" t="s">
        <v>69</v>
      </c>
      <c r="B226" s="1" t="s">
        <v>57</v>
      </c>
      <c r="C226" s="1" t="s">
        <v>34</v>
      </c>
      <c r="D226" s="1" t="s">
        <v>83</v>
      </c>
      <c r="E226" s="1" t="str">
        <f>+'CUOTA ARTESANAL'!C52</f>
        <v>ARMAR AG. RAG 320-10</v>
      </c>
      <c r="F226" s="1" t="s">
        <v>59</v>
      </c>
      <c r="G226" s="1" t="s">
        <v>62</v>
      </c>
      <c r="H226" s="3">
        <f>'CUOTA ARTESANAL'!K52</f>
        <v>130.30699999999999</v>
      </c>
      <c r="I226" s="3">
        <f>'CUOTA ARTESANAL'!L52</f>
        <v>-120</v>
      </c>
      <c r="J226" s="3">
        <f>'CUOTA ARTESANAL'!M52</f>
        <v>10.306999999999988</v>
      </c>
      <c r="K226" s="3">
        <f>'CUOTA ARTESANAL'!N52</f>
        <v>0</v>
      </c>
      <c r="L226" s="3">
        <f>'CUOTA ARTESANAL'!O52</f>
        <v>10.306999999999988</v>
      </c>
      <c r="M226" s="114">
        <f>'CUOTA ARTESANAL'!P52</f>
        <v>0</v>
      </c>
      <c r="N226" s="4" t="s">
        <v>82</v>
      </c>
      <c r="O226" s="5">
        <f>RESUMEN!$B$3</f>
        <v>44452</v>
      </c>
      <c r="P226" s="1">
        <f t="shared" si="7"/>
        <v>2021</v>
      </c>
      <c r="Q226" s="1"/>
    </row>
    <row r="227" spans="1:17">
      <c r="A227" s="1" t="s">
        <v>69</v>
      </c>
      <c r="B227" s="1" t="s">
        <v>57</v>
      </c>
      <c r="C227" s="1" t="s">
        <v>34</v>
      </c>
      <c r="D227" s="1" t="s">
        <v>83</v>
      </c>
      <c r="E227" s="1" t="str">
        <f>+'CUOTA ARTESANAL'!C54</f>
        <v>ASOGFER AG. RAG 310-10</v>
      </c>
      <c r="F227" s="1" t="s">
        <v>59</v>
      </c>
      <c r="G227" s="1" t="s">
        <v>60</v>
      </c>
      <c r="H227" s="3">
        <f>'CUOTA ARTESANAL'!E54</f>
        <v>584.81299999999999</v>
      </c>
      <c r="I227" s="3">
        <f>'CUOTA ARTESANAL'!F54</f>
        <v>-615</v>
      </c>
      <c r="J227" s="3">
        <f>'CUOTA ARTESANAL'!G54</f>
        <v>-30.187000000000012</v>
      </c>
      <c r="K227" s="3">
        <f>'CUOTA ARTESANAL'!H54</f>
        <v>0</v>
      </c>
      <c r="L227" s="3">
        <f>'CUOTA ARTESANAL'!I54</f>
        <v>-30.187000000000012</v>
      </c>
      <c r="M227" s="114">
        <f>'CUOTA ARTESANAL'!J54</f>
        <v>0</v>
      </c>
      <c r="N227" s="4">
        <f>'CUOTA ARTESANAL'!Q54</f>
        <v>44252</v>
      </c>
      <c r="O227" s="5">
        <f>RESUMEN!$B$3</f>
        <v>44452</v>
      </c>
      <c r="P227" s="1">
        <f t="shared" si="7"/>
        <v>2021</v>
      </c>
      <c r="Q227" s="1"/>
    </row>
    <row r="228" spans="1:17">
      <c r="A228" s="1" t="s">
        <v>69</v>
      </c>
      <c r="B228" s="1" t="s">
        <v>57</v>
      </c>
      <c r="C228" s="1" t="s">
        <v>34</v>
      </c>
      <c r="D228" s="1" t="s">
        <v>83</v>
      </c>
      <c r="E228" s="1" t="str">
        <f>+'CUOTA ARTESANAL'!C54</f>
        <v>ASOGFER AG. RAG 310-10</v>
      </c>
      <c r="F228" s="1" t="s">
        <v>61</v>
      </c>
      <c r="G228" s="1" t="s">
        <v>62</v>
      </c>
      <c r="H228" s="3">
        <f>'CUOTA ARTESANAL'!E55</f>
        <v>30.806000000000001</v>
      </c>
      <c r="I228" s="3">
        <f>'CUOTA ARTESANAL'!F55</f>
        <v>0</v>
      </c>
      <c r="J228" s="3">
        <f>'CUOTA ARTESANAL'!G55</f>
        <v>0.61899999999998911</v>
      </c>
      <c r="K228" s="3">
        <f>'CUOTA ARTESANAL'!H55</f>
        <v>0</v>
      </c>
      <c r="L228" s="3">
        <f>'CUOTA ARTESANAL'!I55</f>
        <v>0.61899999999998911</v>
      </c>
      <c r="M228" s="114">
        <f>'CUOTA ARTESANAL'!J55</f>
        <v>0</v>
      </c>
      <c r="N228" s="4" t="str">
        <f>'CUOTA ARTESANAL'!Q55</f>
        <v>-</v>
      </c>
      <c r="O228" s="5">
        <f>RESUMEN!$B$3</f>
        <v>44452</v>
      </c>
      <c r="P228" s="1">
        <f t="shared" si="7"/>
        <v>2021</v>
      </c>
      <c r="Q228" s="1"/>
    </row>
    <row r="229" spans="1:17">
      <c r="A229" s="1" t="s">
        <v>69</v>
      </c>
      <c r="B229" s="1" t="s">
        <v>57</v>
      </c>
      <c r="C229" s="1" t="s">
        <v>34</v>
      </c>
      <c r="D229" s="1" t="s">
        <v>83</v>
      </c>
      <c r="E229" s="1" t="str">
        <f>+'CUOTA ARTESANAL'!C54</f>
        <v>ASOGFER AG. RAG 310-10</v>
      </c>
      <c r="F229" s="1" t="s">
        <v>59</v>
      </c>
      <c r="G229" s="1" t="s">
        <v>62</v>
      </c>
      <c r="H229" s="3">
        <f>'CUOTA ARTESANAL'!K54</f>
        <v>615.61900000000003</v>
      </c>
      <c r="I229" s="3">
        <f>'CUOTA ARTESANAL'!L54</f>
        <v>-615</v>
      </c>
      <c r="J229" s="3">
        <f>'CUOTA ARTESANAL'!M54</f>
        <v>0.61900000000002819</v>
      </c>
      <c r="K229" s="3">
        <f>'CUOTA ARTESANAL'!N54</f>
        <v>0</v>
      </c>
      <c r="L229" s="3">
        <f>'CUOTA ARTESANAL'!O54</f>
        <v>0.61900000000002819</v>
      </c>
      <c r="M229" s="114">
        <f>'CUOTA ARTESANAL'!P54</f>
        <v>0</v>
      </c>
      <c r="N229" s="4" t="s">
        <v>82</v>
      </c>
      <c r="O229" s="5">
        <f>RESUMEN!$B$3</f>
        <v>44452</v>
      </c>
      <c r="P229" s="1">
        <f t="shared" si="7"/>
        <v>2021</v>
      </c>
      <c r="Q229" s="1"/>
    </row>
    <row r="230" spans="1:17">
      <c r="A230" s="1" t="s">
        <v>69</v>
      </c>
      <c r="B230" s="1" t="s">
        <v>57</v>
      </c>
      <c r="C230" s="1" t="s">
        <v>34</v>
      </c>
      <c r="D230" s="1" t="s">
        <v>83</v>
      </c>
      <c r="E230" s="1" t="str">
        <f>+'CUOTA ARTESANAL'!C56</f>
        <v>AGARMAR.  RAG 156-10</v>
      </c>
      <c r="F230" s="1" t="s">
        <v>59</v>
      </c>
      <c r="G230" s="1" t="s">
        <v>60</v>
      </c>
      <c r="H230" s="3">
        <f>'CUOTA ARTESANAL'!E56</f>
        <v>3570.1190000000001</v>
      </c>
      <c r="I230" s="3">
        <f>'CUOTA ARTESANAL'!F56</f>
        <v>-3690</v>
      </c>
      <c r="J230" s="3">
        <f>'CUOTA ARTESANAL'!G56</f>
        <v>-119.88099999999986</v>
      </c>
      <c r="K230" s="3">
        <f>'CUOTA ARTESANAL'!H56</f>
        <v>0</v>
      </c>
      <c r="L230" s="3">
        <f>'CUOTA ARTESANAL'!I56</f>
        <v>-119.88099999999986</v>
      </c>
      <c r="M230" s="114">
        <f>'CUOTA ARTESANAL'!J56</f>
        <v>0</v>
      </c>
      <c r="N230" s="4">
        <f>'CUOTA ARTESANAL'!Q56</f>
        <v>44264</v>
      </c>
      <c r="O230" s="5">
        <f>RESUMEN!$B$3</f>
        <v>44452</v>
      </c>
      <c r="P230" s="1">
        <f t="shared" si="7"/>
        <v>2021</v>
      </c>
      <c r="Q230" s="1"/>
    </row>
    <row r="231" spans="1:17">
      <c r="A231" s="1" t="s">
        <v>69</v>
      </c>
      <c r="B231" s="1" t="s">
        <v>57</v>
      </c>
      <c r="C231" s="1" t="s">
        <v>34</v>
      </c>
      <c r="D231" s="1" t="s">
        <v>83</v>
      </c>
      <c r="E231" s="1" t="str">
        <f>+'CUOTA ARTESANAL'!C56</f>
        <v>AGARMAR.  RAG 156-10</v>
      </c>
      <c r="F231" s="1" t="s">
        <v>61</v>
      </c>
      <c r="G231" s="1" t="s">
        <v>62</v>
      </c>
      <c r="H231" s="3">
        <f>'CUOTA ARTESANAL'!E57</f>
        <v>188.06399999999999</v>
      </c>
      <c r="I231" s="3">
        <f>'CUOTA ARTESANAL'!F57</f>
        <v>0</v>
      </c>
      <c r="J231" s="3">
        <f>'CUOTA ARTESANAL'!G57</f>
        <v>68.183000000000135</v>
      </c>
      <c r="K231" s="3">
        <f>'CUOTA ARTESANAL'!H57</f>
        <v>0</v>
      </c>
      <c r="L231" s="3">
        <f>'CUOTA ARTESANAL'!I57</f>
        <v>68.183000000000135</v>
      </c>
      <c r="M231" s="114">
        <f>'CUOTA ARTESANAL'!J57</f>
        <v>0</v>
      </c>
      <c r="N231" s="4" t="str">
        <f>'CUOTA ARTESANAL'!Q57</f>
        <v>-</v>
      </c>
      <c r="O231" s="5">
        <f>RESUMEN!$B$3</f>
        <v>44452</v>
      </c>
      <c r="P231" s="1">
        <f t="shared" si="7"/>
        <v>2021</v>
      </c>
      <c r="Q231" s="1"/>
    </row>
    <row r="232" spans="1:17">
      <c r="A232" s="1" t="s">
        <v>69</v>
      </c>
      <c r="B232" s="1" t="s">
        <v>57</v>
      </c>
      <c r="C232" s="1" t="s">
        <v>34</v>
      </c>
      <c r="D232" s="1" t="s">
        <v>83</v>
      </c>
      <c r="E232" s="1" t="str">
        <f>+'CUOTA ARTESANAL'!C56</f>
        <v>AGARMAR.  RAG 156-10</v>
      </c>
      <c r="F232" s="1" t="s">
        <v>59</v>
      </c>
      <c r="G232" s="1" t="s">
        <v>62</v>
      </c>
      <c r="H232" s="3">
        <f>'CUOTA ARTESANAL'!K56</f>
        <v>3758.183</v>
      </c>
      <c r="I232" s="3">
        <f>'CUOTA ARTESANAL'!L56</f>
        <v>-3690</v>
      </c>
      <c r="J232" s="3">
        <f>'CUOTA ARTESANAL'!M56</f>
        <v>68.182999999999993</v>
      </c>
      <c r="K232" s="3">
        <f>'CUOTA ARTESANAL'!N56</f>
        <v>0</v>
      </c>
      <c r="L232" s="3">
        <f>'CUOTA ARTESANAL'!O56</f>
        <v>68.182999999999993</v>
      </c>
      <c r="M232" s="114">
        <f>'CUOTA ARTESANAL'!P56</f>
        <v>0</v>
      </c>
      <c r="N232" s="4" t="s">
        <v>82</v>
      </c>
      <c r="O232" s="5">
        <f>RESUMEN!$B$3</f>
        <v>44452</v>
      </c>
      <c r="P232" s="1">
        <f t="shared" si="7"/>
        <v>2021</v>
      </c>
      <c r="Q232" s="1"/>
    </row>
    <row r="233" spans="1:17">
      <c r="A233" s="1" t="s">
        <v>69</v>
      </c>
      <c r="B233" s="1" t="s">
        <v>57</v>
      </c>
      <c r="C233" s="1" t="s">
        <v>34</v>
      </c>
      <c r="D233" s="1" t="s">
        <v>83</v>
      </c>
      <c r="E233" s="1" t="str">
        <f>+'CUOTA ARTESANAL'!C58</f>
        <v>PESCA AUSTRAL. RAG 326-10</v>
      </c>
      <c r="F233" s="1" t="s">
        <v>59</v>
      </c>
      <c r="G233" s="1" t="s">
        <v>60</v>
      </c>
      <c r="H233" s="3">
        <f>'CUOTA ARTESANAL'!E58</f>
        <v>596.58000000000004</v>
      </c>
      <c r="I233" s="3">
        <f>'CUOTA ARTESANAL'!F58</f>
        <v>-620</v>
      </c>
      <c r="J233" s="3">
        <f>'CUOTA ARTESANAL'!G58</f>
        <v>-23.419999999999959</v>
      </c>
      <c r="K233" s="3">
        <f>'CUOTA ARTESANAL'!H58</f>
        <v>0</v>
      </c>
      <c r="L233" s="3">
        <f>'CUOTA ARTESANAL'!I58</f>
        <v>-23.419999999999959</v>
      </c>
      <c r="M233" s="114">
        <f>'CUOTA ARTESANAL'!J58</f>
        <v>0</v>
      </c>
      <c r="N233" s="4">
        <f>'CUOTA ARTESANAL'!Q58</f>
        <v>44252</v>
      </c>
      <c r="O233" s="5">
        <f>RESUMEN!$B$3</f>
        <v>44452</v>
      </c>
      <c r="P233" s="1">
        <f t="shared" si="7"/>
        <v>2021</v>
      </c>
      <c r="Q233" s="1"/>
    </row>
    <row r="234" spans="1:17">
      <c r="A234" s="1" t="s">
        <v>69</v>
      </c>
      <c r="B234" s="1" t="s">
        <v>57</v>
      </c>
      <c r="C234" s="1" t="s">
        <v>34</v>
      </c>
      <c r="D234" s="1" t="s">
        <v>83</v>
      </c>
      <c r="E234" s="1" t="str">
        <f>+'CUOTA ARTESANAL'!C58</f>
        <v>PESCA AUSTRAL. RAG 326-10</v>
      </c>
      <c r="F234" s="1" t="s">
        <v>61</v>
      </c>
      <c r="G234" s="1" t="s">
        <v>62</v>
      </c>
      <c r="H234" s="3">
        <f>'CUOTA ARTESANAL'!E59</f>
        <v>31.425999999999998</v>
      </c>
      <c r="I234" s="3">
        <f>'CUOTA ARTESANAL'!F59</f>
        <v>0</v>
      </c>
      <c r="J234" s="3">
        <f>'CUOTA ARTESANAL'!G59</f>
        <v>8.0060000000000393</v>
      </c>
      <c r="K234" s="3">
        <f>'CUOTA ARTESANAL'!H59</f>
        <v>0</v>
      </c>
      <c r="L234" s="3">
        <f>'CUOTA ARTESANAL'!I59</f>
        <v>8.0060000000000393</v>
      </c>
      <c r="M234" s="114">
        <f>'CUOTA ARTESANAL'!J59</f>
        <v>0</v>
      </c>
      <c r="N234" s="4" t="str">
        <f>'CUOTA ARTESANAL'!Q59</f>
        <v>-</v>
      </c>
      <c r="O234" s="5">
        <f>RESUMEN!$B$3</f>
        <v>44452</v>
      </c>
      <c r="P234" s="1">
        <f t="shared" si="7"/>
        <v>2021</v>
      </c>
      <c r="Q234" s="1"/>
    </row>
    <row r="235" spans="1:17">
      <c r="A235" s="1" t="s">
        <v>69</v>
      </c>
      <c r="B235" s="1" t="s">
        <v>57</v>
      </c>
      <c r="C235" s="1" t="s">
        <v>34</v>
      </c>
      <c r="D235" s="1" t="s">
        <v>83</v>
      </c>
      <c r="E235" s="1" t="str">
        <f>+'CUOTA ARTESANAL'!C58</f>
        <v>PESCA AUSTRAL. RAG 326-10</v>
      </c>
      <c r="F235" s="1" t="s">
        <v>59</v>
      </c>
      <c r="G235" s="1" t="s">
        <v>62</v>
      </c>
      <c r="H235" s="3">
        <f>'CUOTA ARTESANAL'!K58</f>
        <v>628.00600000000009</v>
      </c>
      <c r="I235" s="3">
        <f>'CUOTA ARTESANAL'!L58</f>
        <v>-620</v>
      </c>
      <c r="J235" s="3">
        <f>'CUOTA ARTESANAL'!M58</f>
        <v>8.0060000000000855</v>
      </c>
      <c r="K235" s="3">
        <f>'CUOTA ARTESANAL'!N58</f>
        <v>0</v>
      </c>
      <c r="L235" s="3">
        <f>'CUOTA ARTESANAL'!O58</f>
        <v>8.0060000000000855</v>
      </c>
      <c r="M235" s="114">
        <f>'CUOTA ARTESANAL'!P58</f>
        <v>0.98725171415559709</v>
      </c>
      <c r="N235" s="4" t="s">
        <v>82</v>
      </c>
      <c r="O235" s="5">
        <f>RESUMEN!$B$3</f>
        <v>44452</v>
      </c>
      <c r="P235" s="1">
        <f t="shared" si="7"/>
        <v>2021</v>
      </c>
      <c r="Q235" s="1"/>
    </row>
    <row r="236" spans="1:17">
      <c r="A236" s="1" t="s">
        <v>69</v>
      </c>
      <c r="B236" s="1" t="s">
        <v>57</v>
      </c>
      <c r="C236" s="1" t="s">
        <v>34</v>
      </c>
      <c r="D236" s="1" t="s">
        <v>83</v>
      </c>
      <c r="E236" s="1" t="str">
        <f>+'CUOTA ARTESANAL'!C60</f>
        <v>ASOGPESCA ANCUD. AG 4266</v>
      </c>
      <c r="F236" s="1" t="s">
        <v>59</v>
      </c>
      <c r="G236" s="1" t="s">
        <v>60</v>
      </c>
      <c r="H236" s="3">
        <f>'CUOTA ARTESANAL'!E60</f>
        <v>1891.6</v>
      </c>
      <c r="I236" s="3">
        <f>'CUOTA ARTESANAL'!F60</f>
        <v>-1991</v>
      </c>
      <c r="J236" s="3">
        <f>'CUOTA ARTESANAL'!G60</f>
        <v>-99.400000000000091</v>
      </c>
      <c r="K236" s="3">
        <f>'CUOTA ARTESANAL'!H60</f>
        <v>0</v>
      </c>
      <c r="L236" s="3">
        <f>'CUOTA ARTESANAL'!I60</f>
        <v>-99.400000000000091</v>
      </c>
      <c r="M236" s="114">
        <f>'CUOTA ARTESANAL'!J60</f>
        <v>0</v>
      </c>
      <c r="N236" s="4">
        <f>'CUOTA ARTESANAL'!Q60</f>
        <v>44266</v>
      </c>
      <c r="O236" s="5">
        <f>RESUMEN!$B$3</f>
        <v>44452</v>
      </c>
      <c r="P236" s="1">
        <f t="shared" si="7"/>
        <v>2021</v>
      </c>
      <c r="Q236" s="1"/>
    </row>
    <row r="237" spans="1:17">
      <c r="A237" s="1" t="s">
        <v>69</v>
      </c>
      <c r="B237" s="1" t="s">
        <v>57</v>
      </c>
      <c r="C237" s="1" t="s">
        <v>34</v>
      </c>
      <c r="D237" s="1" t="s">
        <v>83</v>
      </c>
      <c r="E237" s="1" t="str">
        <f>+'CUOTA ARTESANAL'!C60</f>
        <v>ASOGPESCA ANCUD. AG 4266</v>
      </c>
      <c r="F237" s="1" t="s">
        <v>61</v>
      </c>
      <c r="G237" s="1" t="s">
        <v>62</v>
      </c>
      <c r="H237" s="3">
        <f>'CUOTA ARTESANAL'!E61</f>
        <v>99.644000000000005</v>
      </c>
      <c r="I237" s="3">
        <f>'CUOTA ARTESANAL'!F61</f>
        <v>0</v>
      </c>
      <c r="J237" s="3">
        <f>'CUOTA ARTESANAL'!G61</f>
        <v>0.24399999999991451</v>
      </c>
      <c r="K237" s="3">
        <f>'CUOTA ARTESANAL'!H61</f>
        <v>0</v>
      </c>
      <c r="L237" s="3">
        <f>'CUOTA ARTESANAL'!I61</f>
        <v>0.24399999999991451</v>
      </c>
      <c r="M237" s="114">
        <f>'CUOTA ARTESANAL'!J61</f>
        <v>0</v>
      </c>
      <c r="N237" s="4">
        <f>'CUOTA ARTESANAL'!Q61</f>
        <v>44266</v>
      </c>
      <c r="O237" s="5">
        <f>RESUMEN!$B$3</f>
        <v>44452</v>
      </c>
      <c r="P237" s="1">
        <f t="shared" si="7"/>
        <v>2021</v>
      </c>
      <c r="Q237" s="1"/>
    </row>
    <row r="238" spans="1:17">
      <c r="A238" s="1" t="s">
        <v>69</v>
      </c>
      <c r="B238" s="1" t="s">
        <v>57</v>
      </c>
      <c r="C238" s="1" t="s">
        <v>34</v>
      </c>
      <c r="D238" s="1" t="s">
        <v>83</v>
      </c>
      <c r="E238" s="1" t="str">
        <f>+'CUOTA ARTESANAL'!C60</f>
        <v>ASOGPESCA ANCUD. AG 4266</v>
      </c>
      <c r="F238" s="1" t="s">
        <v>59</v>
      </c>
      <c r="G238" s="1" t="s">
        <v>62</v>
      </c>
      <c r="H238" s="3">
        <f>'CUOTA ARTESANAL'!K60</f>
        <v>1991.2439999999999</v>
      </c>
      <c r="I238" s="3">
        <f>'CUOTA ARTESANAL'!L60</f>
        <v>-1991</v>
      </c>
      <c r="J238" s="3">
        <f>'CUOTA ARTESANAL'!M60</f>
        <v>0.24399999999991451</v>
      </c>
      <c r="K238" s="3">
        <f>'CUOTA ARTESANAL'!N60</f>
        <v>0</v>
      </c>
      <c r="L238" s="3">
        <f>'CUOTA ARTESANAL'!O60</f>
        <v>0.24399999999991451</v>
      </c>
      <c r="M238" s="114">
        <f>'CUOTA ARTESANAL'!P60</f>
        <v>0</v>
      </c>
      <c r="N238" s="4" t="s">
        <v>82</v>
      </c>
      <c r="O238" s="5">
        <f>RESUMEN!$B$3</f>
        <v>44452</v>
      </c>
      <c r="P238" s="1">
        <f t="shared" si="7"/>
        <v>2021</v>
      </c>
      <c r="Q238" s="1"/>
    </row>
    <row r="239" spans="1:17">
      <c r="A239" s="1" t="s">
        <v>69</v>
      </c>
      <c r="B239" s="1" t="s">
        <v>57</v>
      </c>
      <c r="C239" s="1" t="s">
        <v>34</v>
      </c>
      <c r="D239" s="1" t="s">
        <v>83</v>
      </c>
      <c r="E239" s="1" t="str">
        <f>+'CUOTA ARTESANAL'!C62</f>
        <v>STI PECERCAL RSU 10.01.0948</v>
      </c>
      <c r="F239" s="1" t="s">
        <v>59</v>
      </c>
      <c r="G239" s="1" t="s">
        <v>60</v>
      </c>
      <c r="H239" s="3">
        <f>'CUOTA ARTESANAL'!E62</f>
        <v>898.95299999999997</v>
      </c>
      <c r="I239" s="3">
        <f>'CUOTA ARTESANAL'!F62</f>
        <v>-946.30899999999997</v>
      </c>
      <c r="J239" s="3">
        <f>'CUOTA ARTESANAL'!G62</f>
        <v>-47.355999999999995</v>
      </c>
      <c r="K239" s="3">
        <f>'CUOTA ARTESANAL'!H62</f>
        <v>0</v>
      </c>
      <c r="L239" s="3">
        <f>'CUOTA ARTESANAL'!I62</f>
        <v>-47.355999999999995</v>
      </c>
      <c r="M239" s="114">
        <f>'CUOTA ARTESANAL'!J62</f>
        <v>0</v>
      </c>
      <c r="N239" s="4">
        <f>'CUOTA ARTESANAL'!Q62</f>
        <v>44252</v>
      </c>
      <c r="O239" s="5">
        <f>RESUMEN!$B$3</f>
        <v>44452</v>
      </c>
      <c r="P239" s="1">
        <f t="shared" si="7"/>
        <v>2021</v>
      </c>
      <c r="Q239" s="1"/>
    </row>
    <row r="240" spans="1:17">
      <c r="A240" s="1" t="s">
        <v>69</v>
      </c>
      <c r="B240" s="1" t="s">
        <v>57</v>
      </c>
      <c r="C240" s="1" t="s">
        <v>34</v>
      </c>
      <c r="D240" s="1" t="s">
        <v>83</v>
      </c>
      <c r="E240" s="1" t="str">
        <f>+'CUOTA ARTESANAL'!C62</f>
        <v>STI PECERCAL RSU 10.01.0948</v>
      </c>
      <c r="F240" s="1" t="s">
        <v>61</v>
      </c>
      <c r="G240" s="1" t="s">
        <v>62</v>
      </c>
      <c r="H240" s="3">
        <f>'CUOTA ARTESANAL'!E63</f>
        <v>47.356000000000002</v>
      </c>
      <c r="I240" s="3">
        <f>'CUOTA ARTESANAL'!F63</f>
        <v>0</v>
      </c>
      <c r="J240" s="3">
        <f>'CUOTA ARTESANAL'!G63</f>
        <v>0</v>
      </c>
      <c r="K240" s="3">
        <f>'CUOTA ARTESANAL'!H63</f>
        <v>0</v>
      </c>
      <c r="L240" s="3">
        <f>'CUOTA ARTESANAL'!I63</f>
        <v>0</v>
      </c>
      <c r="M240" s="114">
        <f>'CUOTA ARTESANAL'!J63</f>
        <v>0</v>
      </c>
      <c r="N240" s="4">
        <f>'CUOTA ARTESANAL'!Q63</f>
        <v>44252</v>
      </c>
      <c r="O240" s="5">
        <f>RESUMEN!$B$3</f>
        <v>44452</v>
      </c>
      <c r="P240" s="1">
        <f t="shared" si="7"/>
        <v>2021</v>
      </c>
      <c r="Q240" s="1"/>
    </row>
    <row r="241" spans="1:17">
      <c r="A241" s="1" t="s">
        <v>69</v>
      </c>
      <c r="B241" s="1" t="s">
        <v>57</v>
      </c>
      <c r="C241" s="1" t="s">
        <v>34</v>
      </c>
      <c r="D241" s="1" t="s">
        <v>83</v>
      </c>
      <c r="E241" s="1" t="str">
        <f>+'CUOTA ARTESANAL'!C62</f>
        <v>STI PECERCAL RSU 10.01.0948</v>
      </c>
      <c r="F241" s="1" t="s">
        <v>59</v>
      </c>
      <c r="G241" s="1" t="s">
        <v>62</v>
      </c>
      <c r="H241" s="3">
        <f>'CUOTA ARTESANAL'!K62</f>
        <v>946.30899999999997</v>
      </c>
      <c r="I241" s="3">
        <f>'CUOTA ARTESANAL'!L62</f>
        <v>-946.30899999999997</v>
      </c>
      <c r="J241" s="3">
        <f>'CUOTA ARTESANAL'!M62</f>
        <v>0</v>
      </c>
      <c r="K241" s="3">
        <f>'CUOTA ARTESANAL'!N62</f>
        <v>0</v>
      </c>
      <c r="L241" s="3">
        <f>'CUOTA ARTESANAL'!O62</f>
        <v>0</v>
      </c>
      <c r="M241" s="114" t="e">
        <f>'CUOTA ARTESANAL'!P62</f>
        <v>#DIV/0!</v>
      </c>
      <c r="N241" s="4" t="s">
        <v>82</v>
      </c>
      <c r="O241" s="5">
        <f>RESUMEN!$B$3</f>
        <v>44452</v>
      </c>
      <c r="P241" s="1">
        <f t="shared" si="7"/>
        <v>2021</v>
      </c>
      <c r="Q241" s="1"/>
    </row>
    <row r="242" spans="1:17">
      <c r="A242" s="1" t="s">
        <v>69</v>
      </c>
      <c r="B242" s="1" t="s">
        <v>57</v>
      </c>
      <c r="C242" s="1" t="s">
        <v>34</v>
      </c>
      <c r="D242" s="1" t="s">
        <v>83</v>
      </c>
      <c r="E242" s="1" t="str">
        <f>+'CUOTA ARTESANAL'!C64</f>
        <v>STI PROVEEDORES MARITIMOS DE QUILLAIPE 10.01.0835</v>
      </c>
      <c r="F242" s="1" t="s">
        <v>59</v>
      </c>
      <c r="G242" s="1" t="s">
        <v>60</v>
      </c>
      <c r="H242" s="3">
        <f>'CUOTA ARTESANAL'!E64</f>
        <v>120.604</v>
      </c>
      <c r="I242" s="3">
        <f>'CUOTA ARTESANAL'!F64</f>
        <v>-126</v>
      </c>
      <c r="J242" s="3">
        <f>'CUOTA ARTESANAL'!G64</f>
        <v>-5.3960000000000008</v>
      </c>
      <c r="K242" s="3">
        <f>'CUOTA ARTESANAL'!H64</f>
        <v>0</v>
      </c>
      <c r="L242" s="3">
        <f>'CUOTA ARTESANAL'!I64</f>
        <v>-5.3960000000000008</v>
      </c>
      <c r="M242" s="114">
        <f>'CUOTA ARTESANAL'!J64</f>
        <v>0</v>
      </c>
      <c r="N242" s="4" t="str">
        <f>'CUOTA ARTESANAL'!Q64</f>
        <v>-</v>
      </c>
      <c r="O242" s="5">
        <f>RESUMEN!$B$3</f>
        <v>44452</v>
      </c>
      <c r="P242" s="1">
        <f t="shared" si="7"/>
        <v>2021</v>
      </c>
      <c r="Q242" s="1"/>
    </row>
    <row r="243" spans="1:17">
      <c r="A243" s="1" t="s">
        <v>69</v>
      </c>
      <c r="B243" s="1" t="s">
        <v>57</v>
      </c>
      <c r="C243" s="1" t="s">
        <v>34</v>
      </c>
      <c r="D243" s="1" t="s">
        <v>83</v>
      </c>
      <c r="E243" s="1" t="str">
        <f>+'CUOTA ARTESANAL'!C64</f>
        <v>STI PROVEEDORES MARITIMOS DE QUILLAIPE 10.01.0835</v>
      </c>
      <c r="F243" s="1" t="s">
        <v>61</v>
      </c>
      <c r="G243" s="1" t="s">
        <v>62</v>
      </c>
      <c r="H243" s="3">
        <f>'CUOTA ARTESANAL'!E65</f>
        <v>6.3529999999999998</v>
      </c>
      <c r="I243" s="3">
        <f>'CUOTA ARTESANAL'!F65</f>
        <v>0</v>
      </c>
      <c r="J243" s="3">
        <f>'CUOTA ARTESANAL'!G65</f>
        <v>0.95699999999999896</v>
      </c>
      <c r="K243" s="3">
        <f>'CUOTA ARTESANAL'!H65</f>
        <v>0</v>
      </c>
      <c r="L243" s="3">
        <f>'CUOTA ARTESANAL'!I65</f>
        <v>0.95699999999999896</v>
      </c>
      <c r="M243" s="114">
        <f>'CUOTA ARTESANAL'!J65</f>
        <v>0</v>
      </c>
      <c r="N243" s="4" t="str">
        <f>'CUOTA ARTESANAL'!Q65</f>
        <v>-</v>
      </c>
      <c r="O243" s="5">
        <f>RESUMEN!$B$3</f>
        <v>44452</v>
      </c>
      <c r="P243" s="1">
        <f t="shared" si="7"/>
        <v>2021</v>
      </c>
      <c r="Q243" s="1"/>
    </row>
    <row r="244" spans="1:17">
      <c r="A244" s="1" t="s">
        <v>69</v>
      </c>
      <c r="B244" s="1" t="s">
        <v>57</v>
      </c>
      <c r="C244" s="1" t="s">
        <v>34</v>
      </c>
      <c r="D244" s="1" t="s">
        <v>83</v>
      </c>
      <c r="E244" s="1" t="str">
        <f>+'CUOTA ARTESANAL'!C64</f>
        <v>STI PROVEEDORES MARITIMOS DE QUILLAIPE 10.01.0835</v>
      </c>
      <c r="F244" s="1" t="s">
        <v>59</v>
      </c>
      <c r="G244" s="1" t="s">
        <v>62</v>
      </c>
      <c r="H244" s="3">
        <f>'CUOTA ARTESANAL'!K64</f>
        <v>126.95699999999999</v>
      </c>
      <c r="I244" s="3">
        <f>'CUOTA ARTESANAL'!L64</f>
        <v>-126</v>
      </c>
      <c r="J244" s="3">
        <f>'CUOTA ARTESANAL'!M64</f>
        <v>0.95699999999999363</v>
      </c>
      <c r="K244" s="3">
        <f>'CUOTA ARTESANAL'!N64</f>
        <v>0</v>
      </c>
      <c r="L244" s="3">
        <f>'CUOTA ARTESANAL'!O64</f>
        <v>0.95699999999999363</v>
      </c>
      <c r="M244" s="114">
        <f>'CUOTA ARTESANAL'!P64</f>
        <v>0</v>
      </c>
      <c r="N244" s="4" t="s">
        <v>82</v>
      </c>
      <c r="O244" s="5">
        <f>RESUMEN!$B$3</f>
        <v>44452</v>
      </c>
      <c r="P244" s="1">
        <f t="shared" si="7"/>
        <v>2021</v>
      </c>
      <c r="Q244" s="1"/>
    </row>
    <row r="245" spans="1:17" ht="15.75" customHeight="1">
      <c r="A245" s="1" t="s">
        <v>69</v>
      </c>
      <c r="B245" s="1" t="s">
        <v>57</v>
      </c>
      <c r="C245" s="1" t="s">
        <v>34</v>
      </c>
      <c r="D245" s="1" t="s">
        <v>78</v>
      </c>
      <c r="E245" s="1" t="str">
        <f>+'CUOTA ARTESANAL'!C66</f>
        <v xml:space="preserve"> BOLSON RESIDUAL</v>
      </c>
      <c r="F245" s="1" t="s">
        <v>59</v>
      </c>
      <c r="G245" s="1" t="s">
        <v>60</v>
      </c>
      <c r="H245" s="3">
        <f>'CUOTA ARTESANAL'!E66</f>
        <v>300.541</v>
      </c>
      <c r="I245" s="3">
        <f>'CUOTA ARTESANAL'!F66</f>
        <v>0</v>
      </c>
      <c r="J245" s="3">
        <f>'CUOTA ARTESANAL'!G66</f>
        <v>300.541</v>
      </c>
      <c r="K245" s="3">
        <f>'CUOTA ARTESANAL'!H66</f>
        <v>0.85</v>
      </c>
      <c r="L245" s="3">
        <f>'CUOTA ARTESANAL'!I66</f>
        <v>299.69099999999997</v>
      </c>
      <c r="M245" s="114">
        <f>'CUOTA ARTESANAL'!J66</f>
        <v>2.8282330863343102E-3</v>
      </c>
      <c r="N245" s="4" t="str">
        <f>'CUOTA ARTESANAL'!Q66</f>
        <v>-</v>
      </c>
      <c r="O245" s="5">
        <f>RESUMEN!$B$3</f>
        <v>44452</v>
      </c>
      <c r="P245" s="1">
        <f t="shared" si="7"/>
        <v>2021</v>
      </c>
      <c r="Q245" s="1"/>
    </row>
    <row r="246" spans="1:17">
      <c r="A246" s="1" t="s">
        <v>69</v>
      </c>
      <c r="B246" s="1" t="s">
        <v>57</v>
      </c>
      <c r="C246" s="1" t="s">
        <v>34</v>
      </c>
      <c r="D246" s="1" t="s">
        <v>78</v>
      </c>
      <c r="E246" s="1" t="str">
        <f>+'CUOTA ARTESANAL'!C66</f>
        <v xml:space="preserve"> BOLSON RESIDUAL</v>
      </c>
      <c r="F246" s="1" t="s">
        <v>61</v>
      </c>
      <c r="G246" s="1" t="s">
        <v>62</v>
      </c>
      <c r="H246" s="3">
        <f>'CUOTA ARTESANAL'!E67</f>
        <v>15.83</v>
      </c>
      <c r="I246" s="3">
        <f>'CUOTA ARTESANAL'!F67</f>
        <v>0</v>
      </c>
      <c r="J246" s="3">
        <f>'CUOTA ARTESANAL'!G67</f>
        <v>315.52099999999996</v>
      </c>
      <c r="K246" s="3">
        <f>'CUOTA ARTESANAL'!H67</f>
        <v>0</v>
      </c>
      <c r="L246" s="3">
        <f>'CUOTA ARTESANAL'!I67</f>
        <v>315.52099999999996</v>
      </c>
      <c r="M246" s="114">
        <f>'CUOTA ARTESANAL'!J67</f>
        <v>0</v>
      </c>
      <c r="N246" s="4" t="str">
        <f>'CUOTA ARTESANAL'!Q67</f>
        <v>-</v>
      </c>
      <c r="O246" s="5">
        <f>RESUMEN!$B$3</f>
        <v>44452</v>
      </c>
      <c r="P246" s="1">
        <f t="shared" si="7"/>
        <v>2021</v>
      </c>
      <c r="Q246" s="1"/>
    </row>
    <row r="247" spans="1:17">
      <c r="A247" s="1" t="s">
        <v>69</v>
      </c>
      <c r="B247" s="1" t="s">
        <v>57</v>
      </c>
      <c r="C247" s="1" t="s">
        <v>34</v>
      </c>
      <c r="D247" s="1" t="s">
        <v>78</v>
      </c>
      <c r="E247" s="1" t="str">
        <f>+'CUOTA ARTESANAL'!C66</f>
        <v xml:space="preserve"> BOLSON RESIDUAL</v>
      </c>
      <c r="F247" s="1" t="s">
        <v>59</v>
      </c>
      <c r="G247" s="1" t="s">
        <v>62</v>
      </c>
      <c r="H247" s="3">
        <f>'CUOTA ARTESANAL'!K66</f>
        <v>316.37099999999998</v>
      </c>
      <c r="I247" s="3">
        <f>'CUOTA ARTESANAL'!L66</f>
        <v>0</v>
      </c>
      <c r="J247" s="3">
        <f>'CUOTA ARTESANAL'!M66</f>
        <v>316.37099999999998</v>
      </c>
      <c r="K247" s="3">
        <f>'CUOTA ARTESANAL'!N66</f>
        <v>0.85</v>
      </c>
      <c r="L247" s="3">
        <f>'CUOTA ARTESANAL'!O66</f>
        <v>315.52099999999996</v>
      </c>
      <c r="M247" s="114">
        <f>'CUOTA ARTESANAL'!P66</f>
        <v>2.6867190734928296E-3</v>
      </c>
      <c r="N247" s="4" t="s">
        <v>82</v>
      </c>
      <c r="O247" s="5">
        <f>RESUMEN!$B$3</f>
        <v>44452</v>
      </c>
      <c r="P247" s="1">
        <f t="shared" si="7"/>
        <v>2021</v>
      </c>
      <c r="Q247" s="1"/>
    </row>
    <row r="248" spans="1:17">
      <c r="A248" s="2" t="s">
        <v>56</v>
      </c>
      <c r="B248" s="1" t="s">
        <v>57</v>
      </c>
      <c r="C248" s="1" t="s">
        <v>30</v>
      </c>
      <c r="D248" s="14" t="s">
        <v>79</v>
      </c>
      <c r="E248" s="14" t="s">
        <v>80</v>
      </c>
      <c r="F248" s="1" t="s">
        <v>59</v>
      </c>
      <c r="G248" s="1" t="s">
        <v>62</v>
      </c>
      <c r="H248" s="3">
        <f>RESUMEN!E25</f>
        <v>70455.000223099996</v>
      </c>
      <c r="I248" s="3">
        <f>RESUMEN!F25</f>
        <v>-9353.6014999999989</v>
      </c>
      <c r="J248" s="3">
        <f>RESUMEN!G25</f>
        <v>61101.398723099999</v>
      </c>
      <c r="K248" s="3">
        <f>RESUMEN!H25</f>
        <v>52601.505000000005</v>
      </c>
      <c r="L248" s="3">
        <f>RESUMEN!I25</f>
        <v>8499.8937230999945</v>
      </c>
      <c r="M248" s="114">
        <f>RESUMEN!J25</f>
        <v>0.86088872103206826</v>
      </c>
      <c r="N248" s="4" t="s">
        <v>82</v>
      </c>
      <c r="O248" s="5">
        <f>RESUMEN!$B$3</f>
        <v>44452</v>
      </c>
      <c r="P248" s="1">
        <f t="shared" si="7"/>
        <v>2021</v>
      </c>
      <c r="Q248" s="1"/>
    </row>
    <row r="249" spans="1:17">
      <c r="A249" s="2" t="s">
        <v>65</v>
      </c>
      <c r="B249" s="1" t="s">
        <v>57</v>
      </c>
      <c r="C249" s="1" t="s">
        <v>66</v>
      </c>
      <c r="D249" s="14" t="s">
        <v>79</v>
      </c>
      <c r="E249" s="14" t="s">
        <v>80</v>
      </c>
      <c r="F249" s="1" t="s">
        <v>59</v>
      </c>
      <c r="G249" s="1" t="s">
        <v>62</v>
      </c>
      <c r="H249" s="3">
        <f>RESUMEN!E26</f>
        <v>14868.001487999998</v>
      </c>
      <c r="I249" s="3">
        <f>RESUMEN!F26</f>
        <v>-11178.340200000001</v>
      </c>
      <c r="J249" s="3">
        <f>RESUMEN!G26</f>
        <v>3689.6612879999975</v>
      </c>
      <c r="K249" s="3">
        <f>RESUMEN!H26</f>
        <v>3097.6689999999999</v>
      </c>
      <c r="L249" s="3">
        <f>RESUMEN!I26</f>
        <v>591.99228799999764</v>
      </c>
      <c r="M249" s="114">
        <f>RESUMEN!J26</f>
        <v>0.83955375797628007</v>
      </c>
      <c r="N249" s="4" t="s">
        <v>82</v>
      </c>
      <c r="O249" s="5">
        <f>RESUMEN!$B$3</f>
        <v>44452</v>
      </c>
      <c r="P249" s="1">
        <f t="shared" si="7"/>
        <v>2021</v>
      </c>
      <c r="Q249" s="1"/>
    </row>
    <row r="250" spans="1:17">
      <c r="A250" s="2" t="s">
        <v>68</v>
      </c>
      <c r="B250" s="1" t="s">
        <v>57</v>
      </c>
      <c r="C250" s="1" t="s">
        <v>36</v>
      </c>
      <c r="D250" s="14" t="s">
        <v>79</v>
      </c>
      <c r="E250" s="14" t="s">
        <v>80</v>
      </c>
      <c r="F250" s="1" t="s">
        <v>59</v>
      </c>
      <c r="G250" s="1" t="s">
        <v>62</v>
      </c>
      <c r="H250" s="3">
        <f>RESUMEN!E27</f>
        <v>318948.03189999994</v>
      </c>
      <c r="I250" s="3">
        <f>RESUMEN!F27</f>
        <v>76154.503599999996</v>
      </c>
      <c r="J250" s="3">
        <f>RESUMEN!G27</f>
        <v>395102.53549999994</v>
      </c>
      <c r="K250" s="3">
        <f>RESUMEN!H27</f>
        <v>388827.83399999992</v>
      </c>
      <c r="L250" s="3">
        <f>RESUMEN!I27</f>
        <v>6274.7015000000247</v>
      </c>
      <c r="M250" s="114">
        <f>RESUMEN!J27</f>
        <v>0.9841188022444366</v>
      </c>
      <c r="N250" s="4" t="s">
        <v>82</v>
      </c>
      <c r="O250" s="5">
        <f>RESUMEN!$B$3</f>
        <v>44452</v>
      </c>
      <c r="P250" s="1">
        <f t="shared" si="7"/>
        <v>2021</v>
      </c>
      <c r="Q250" s="1"/>
    </row>
    <row r="251" spans="1:17">
      <c r="A251" s="2" t="s">
        <v>69</v>
      </c>
      <c r="B251" s="1" t="s">
        <v>57</v>
      </c>
      <c r="C251" s="1" t="s">
        <v>38</v>
      </c>
      <c r="D251" s="14" t="s">
        <v>79</v>
      </c>
      <c r="E251" s="14" t="s">
        <v>80</v>
      </c>
      <c r="F251" s="1" t="s">
        <v>59</v>
      </c>
      <c r="G251" s="1" t="s">
        <v>62</v>
      </c>
      <c r="H251" s="3">
        <f>RESUMEN!E28</f>
        <v>44415.995699999999</v>
      </c>
      <c r="I251" s="3">
        <f>RESUMEN!F28</f>
        <v>-42360.2379</v>
      </c>
      <c r="J251" s="3">
        <f>RESUMEN!G28</f>
        <v>2055.7577999999994</v>
      </c>
      <c r="K251" s="3">
        <f>RESUMEN!H28</f>
        <v>1745.6489999999999</v>
      </c>
      <c r="L251" s="3">
        <f>RESUMEN!I28</f>
        <v>310.10879999999952</v>
      </c>
      <c r="M251" s="114">
        <f>RESUMEN!J28</f>
        <v>0.84915110136028693</v>
      </c>
      <c r="N251" s="4" t="s">
        <v>82</v>
      </c>
      <c r="O251" s="5">
        <f>RESUMEN!$B$3</f>
        <v>44452</v>
      </c>
      <c r="P251" s="1">
        <f t="shared" si="7"/>
        <v>2021</v>
      </c>
      <c r="Q251" s="1"/>
    </row>
    <row r="252" spans="1:17">
      <c r="A252" s="2" t="s">
        <v>56</v>
      </c>
      <c r="B252" s="1" t="s">
        <v>57</v>
      </c>
      <c r="C252" s="1" t="s">
        <v>70</v>
      </c>
      <c r="D252" s="1" t="s">
        <v>64</v>
      </c>
      <c r="E252" s="15" t="s">
        <v>81</v>
      </c>
      <c r="F252" s="1" t="s">
        <v>59</v>
      </c>
      <c r="G252" s="1" t="s">
        <v>62</v>
      </c>
      <c r="H252" s="3">
        <f>RESUMEN!E6</f>
        <v>1779</v>
      </c>
      <c r="I252" s="3">
        <f>RESUMEN!F6</f>
        <v>0</v>
      </c>
      <c r="J252" s="3">
        <f>RESUMEN!G6</f>
        <v>1779</v>
      </c>
      <c r="K252" s="3">
        <f>RESUMEN!H6</f>
        <v>138.60400000000001</v>
      </c>
      <c r="L252" s="3">
        <f>RESUMEN!I6</f>
        <v>1640.396</v>
      </c>
      <c r="M252" s="114">
        <f>RESUMEN!J6</f>
        <v>7.7911186059584039E-2</v>
      </c>
      <c r="N252" s="4" t="s">
        <v>82</v>
      </c>
      <c r="O252" s="5">
        <f>RESUMEN!$B$3</f>
        <v>44452</v>
      </c>
      <c r="P252" s="1">
        <f t="shared" si="7"/>
        <v>2021</v>
      </c>
      <c r="Q252" s="1"/>
    </row>
    <row r="253" spans="1:17">
      <c r="A253" s="2" t="s">
        <v>56</v>
      </c>
      <c r="B253" s="1" t="s">
        <v>57</v>
      </c>
      <c r="C253" s="1" t="s">
        <v>16</v>
      </c>
      <c r="D253" s="1" t="s">
        <v>64</v>
      </c>
      <c r="E253" s="15" t="s">
        <v>81</v>
      </c>
      <c r="F253" s="1" t="s">
        <v>59</v>
      </c>
      <c r="G253" s="1" t="s">
        <v>62</v>
      </c>
      <c r="H253" s="3">
        <f>RESUMEN!E7</f>
        <v>1779</v>
      </c>
      <c r="I253" s="3">
        <f>RESUMEN!F7</f>
        <v>0</v>
      </c>
      <c r="J253" s="3">
        <f>RESUMEN!G7</f>
        <v>1779</v>
      </c>
      <c r="K253" s="3">
        <f>RESUMEN!H7</f>
        <v>54.564</v>
      </c>
      <c r="L253" s="3">
        <f>RESUMEN!I7</f>
        <v>1724.4359999999999</v>
      </c>
      <c r="M253" s="114">
        <f>RESUMEN!J7</f>
        <v>3.0671163575042158E-2</v>
      </c>
      <c r="N253" s="4" t="s">
        <v>82</v>
      </c>
      <c r="O253" s="5">
        <f>RESUMEN!$B$3</f>
        <v>44452</v>
      </c>
      <c r="P253" s="1">
        <f t="shared" si="7"/>
        <v>2021</v>
      </c>
      <c r="Q253" s="1"/>
    </row>
    <row r="254" spans="1:17">
      <c r="A254" s="2" t="s">
        <v>56</v>
      </c>
      <c r="B254" s="1" t="s">
        <v>57</v>
      </c>
      <c r="C254" s="9" t="s">
        <v>17</v>
      </c>
      <c r="D254" s="1" t="s">
        <v>64</v>
      </c>
      <c r="E254" s="15" t="s">
        <v>81</v>
      </c>
      <c r="F254" s="1" t="s">
        <v>59</v>
      </c>
      <c r="G254" s="1" t="s">
        <v>62</v>
      </c>
      <c r="H254" s="3">
        <f>+RESUMEN!E9</f>
        <v>4648</v>
      </c>
      <c r="I254" s="3">
        <f>+RESUMEN!F9</f>
        <v>2524</v>
      </c>
      <c r="J254" s="3">
        <f>+RESUMEN!G9</f>
        <v>7172</v>
      </c>
      <c r="K254" s="3">
        <f>+RESUMEN!H9</f>
        <v>7030.5780000000004</v>
      </c>
      <c r="L254" s="3">
        <f>+RESUMEN!I9</f>
        <v>141.42199999999957</v>
      </c>
      <c r="M254" s="114">
        <f>+RESUMEN!J9</f>
        <v>0.98028137200223098</v>
      </c>
      <c r="N254" s="4" t="s">
        <v>82</v>
      </c>
      <c r="O254" s="5">
        <f>RESUMEN!$B$3</f>
        <v>44452</v>
      </c>
      <c r="P254" s="1">
        <f t="shared" si="7"/>
        <v>2021</v>
      </c>
      <c r="Q254" s="1"/>
    </row>
    <row r="255" spans="1:17">
      <c r="A255" s="2" t="s">
        <v>65</v>
      </c>
      <c r="B255" s="1" t="s">
        <v>57</v>
      </c>
      <c r="C255" s="1" t="s">
        <v>71</v>
      </c>
      <c r="D255" s="1" t="s">
        <v>64</v>
      </c>
      <c r="E255" s="15" t="s">
        <v>81</v>
      </c>
      <c r="F255" s="1" t="s">
        <v>59</v>
      </c>
      <c r="G255" s="1" t="s">
        <v>62</v>
      </c>
      <c r="H255" s="3">
        <f>RESUMEN!E10</f>
        <v>10846</v>
      </c>
      <c r="I255" s="3">
        <f>RESUMEN!F10</f>
        <v>1011.3729999999999</v>
      </c>
      <c r="J255" s="3">
        <f>RESUMEN!G10</f>
        <v>11857.373</v>
      </c>
      <c r="K255" s="3">
        <f>RESUMEN!H10</f>
        <v>11430.986000000001</v>
      </c>
      <c r="L255" s="3">
        <f>RESUMEN!I10</f>
        <v>426.38699999999881</v>
      </c>
      <c r="M255" s="114">
        <f>RESUMEN!J10</f>
        <v>0.96404034856624665</v>
      </c>
      <c r="N255" s="4" t="s">
        <v>82</v>
      </c>
      <c r="O255" s="5">
        <f>RESUMEN!$B$3</f>
        <v>44452</v>
      </c>
      <c r="P255" s="1">
        <f t="shared" si="7"/>
        <v>2021</v>
      </c>
      <c r="Q255" s="1"/>
    </row>
    <row r="256" spans="1:17">
      <c r="A256" s="2" t="s">
        <v>68</v>
      </c>
      <c r="B256" s="1" t="s">
        <v>57</v>
      </c>
      <c r="C256" s="1" t="s">
        <v>72</v>
      </c>
      <c r="D256" s="1" t="s">
        <v>64</v>
      </c>
      <c r="E256" s="15" t="s">
        <v>81</v>
      </c>
      <c r="F256" s="1" t="s">
        <v>59</v>
      </c>
      <c r="G256" s="1" t="s">
        <v>62</v>
      </c>
      <c r="H256" s="3">
        <f>RESUMEN!E11</f>
        <v>5106.0010000000011</v>
      </c>
      <c r="I256" s="3">
        <f>RESUMEN!F11</f>
        <v>-4336</v>
      </c>
      <c r="J256" s="3">
        <f>RESUMEN!G11</f>
        <v>770.00100000000066</v>
      </c>
      <c r="K256" s="3">
        <f>RESUMEN!H11</f>
        <v>116.107</v>
      </c>
      <c r="L256" s="3">
        <f>RESUMEN!I11</f>
        <v>653.89400000000069</v>
      </c>
      <c r="M256" s="114">
        <f>RESUMEN!J11</f>
        <v>0.15078811585958965</v>
      </c>
      <c r="N256" s="4" t="s">
        <v>82</v>
      </c>
      <c r="O256" s="5">
        <f>RESUMEN!$B$3</f>
        <v>44452</v>
      </c>
      <c r="P256" s="1">
        <f t="shared" si="7"/>
        <v>2021</v>
      </c>
      <c r="Q256" s="1"/>
    </row>
    <row r="257" spans="1:17">
      <c r="A257" s="2" t="s">
        <v>68</v>
      </c>
      <c r="B257" s="1" t="s">
        <v>57</v>
      </c>
      <c r="C257" s="1" t="s">
        <v>73</v>
      </c>
      <c r="D257" s="1" t="s">
        <v>64</v>
      </c>
      <c r="E257" s="15" t="s">
        <v>81</v>
      </c>
      <c r="F257" s="1" t="s">
        <v>59</v>
      </c>
      <c r="G257" s="1" t="s">
        <v>62</v>
      </c>
      <c r="H257" s="3">
        <f>RESUMEN!E12</f>
        <v>21</v>
      </c>
      <c r="I257" s="3">
        <f>RESUMEN!F12</f>
        <v>0</v>
      </c>
      <c r="J257" s="3">
        <f>RESUMEN!G12</f>
        <v>21</v>
      </c>
      <c r="K257" s="3">
        <f>RESUMEN!H12</f>
        <v>2.96</v>
      </c>
      <c r="L257" s="3">
        <f>RESUMEN!I12</f>
        <v>18.04</v>
      </c>
      <c r="M257" s="114">
        <f>RESUMEN!J12</f>
        <v>0.14095238095238094</v>
      </c>
      <c r="N257" s="4" t="s">
        <v>82</v>
      </c>
      <c r="O257" s="5">
        <f>RESUMEN!$B$3</f>
        <v>44452</v>
      </c>
      <c r="P257" s="1">
        <f t="shared" si="7"/>
        <v>2021</v>
      </c>
      <c r="Q257" s="1"/>
    </row>
    <row r="258" spans="1:17">
      <c r="A258" s="2" t="s">
        <v>68</v>
      </c>
      <c r="B258" s="1" t="s">
        <v>57</v>
      </c>
      <c r="C258" s="1" t="s">
        <v>39</v>
      </c>
      <c r="D258" s="1" t="s">
        <v>64</v>
      </c>
      <c r="E258" s="15" t="s">
        <v>81</v>
      </c>
      <c r="F258" s="1" t="s">
        <v>59</v>
      </c>
      <c r="G258" s="1" t="s">
        <v>62</v>
      </c>
      <c r="H258" s="3">
        <f>RESUMEN!E13</f>
        <v>167</v>
      </c>
      <c r="I258" s="3">
        <f>RESUMEN!F13</f>
        <v>0</v>
      </c>
      <c r="J258" s="3">
        <f>RESUMEN!G13</f>
        <v>167</v>
      </c>
      <c r="K258" s="3">
        <f>RESUMEN!H13</f>
        <v>160.61500000000001</v>
      </c>
      <c r="L258" s="3">
        <f>RESUMEN!I13</f>
        <v>6.3849999999999909</v>
      </c>
      <c r="M258" s="114">
        <f>RESUMEN!J13</f>
        <v>0.96176646706586832</v>
      </c>
      <c r="N258" s="4" t="s">
        <v>82</v>
      </c>
      <c r="O258" s="5">
        <f>RESUMEN!$B$3</f>
        <v>44452</v>
      </c>
      <c r="P258" s="1">
        <f t="shared" si="7"/>
        <v>2021</v>
      </c>
      <c r="Q258" s="1"/>
    </row>
    <row r="259" spans="1:17">
      <c r="A259" s="2" t="s">
        <v>68</v>
      </c>
      <c r="B259" s="1" t="s">
        <v>57</v>
      </c>
      <c r="C259" s="1" t="s">
        <v>40</v>
      </c>
      <c r="D259" s="1" t="s">
        <v>64</v>
      </c>
      <c r="E259" s="15" t="s">
        <v>81</v>
      </c>
      <c r="F259" s="1" t="s">
        <v>59</v>
      </c>
      <c r="G259" s="1" t="s">
        <v>62</v>
      </c>
      <c r="H259" s="3">
        <f>RESUMEN!E14</f>
        <v>10881</v>
      </c>
      <c r="I259" s="3">
        <f>RESUMEN!F14</f>
        <v>0</v>
      </c>
      <c r="J259" s="3">
        <f>RESUMEN!G14</f>
        <v>10881</v>
      </c>
      <c r="K259" s="3">
        <f>RESUMEN!H14</f>
        <v>10806.83</v>
      </c>
      <c r="L259" s="3">
        <f>RESUMEN!I14</f>
        <v>74.170000000000073</v>
      </c>
      <c r="M259" s="114">
        <f>RESUMEN!J14</f>
        <v>0.99318353092546641</v>
      </c>
      <c r="N259" s="4" t="s">
        <v>82</v>
      </c>
      <c r="O259" s="5">
        <f>RESUMEN!$B$3</f>
        <v>44452</v>
      </c>
      <c r="P259" s="1">
        <f t="shared" si="7"/>
        <v>2021</v>
      </c>
      <c r="Q259" s="1"/>
    </row>
    <row r="260" spans="1:17">
      <c r="A260" s="2" t="s">
        <v>68</v>
      </c>
      <c r="B260" s="1" t="s">
        <v>57</v>
      </c>
      <c r="C260" s="1" t="s">
        <v>23</v>
      </c>
      <c r="D260" s="1" t="s">
        <v>64</v>
      </c>
      <c r="E260" s="15" t="s">
        <v>81</v>
      </c>
      <c r="F260" s="1" t="s">
        <v>59</v>
      </c>
      <c r="G260" s="1" t="s">
        <v>62</v>
      </c>
      <c r="H260" s="3">
        <f>RESUMEN!E15</f>
        <v>245</v>
      </c>
      <c r="I260" s="3">
        <f>RESUMEN!F15</f>
        <v>0</v>
      </c>
      <c r="J260" s="3">
        <f>RESUMEN!G15</f>
        <v>245</v>
      </c>
      <c r="K260" s="3">
        <f>RESUMEN!H15</f>
        <v>51.064</v>
      </c>
      <c r="L260" s="3">
        <f>RESUMEN!I15</f>
        <v>193.93600000000001</v>
      </c>
      <c r="M260" s="114">
        <f>RESUMEN!J15</f>
        <v>0.20842448979591838</v>
      </c>
      <c r="N260" s="4" t="s">
        <v>82</v>
      </c>
      <c r="O260" s="5">
        <f>RESUMEN!$B$3</f>
        <v>44452</v>
      </c>
      <c r="P260" s="1">
        <f t="shared" si="7"/>
        <v>2021</v>
      </c>
      <c r="Q260" s="1"/>
    </row>
    <row r="261" spans="1:17">
      <c r="A261" s="1" t="s">
        <v>69</v>
      </c>
      <c r="B261" s="1" t="s">
        <v>57</v>
      </c>
      <c r="C261" s="1" t="s">
        <v>24</v>
      </c>
      <c r="D261" s="1" t="s">
        <v>64</v>
      </c>
      <c r="E261" s="15" t="s">
        <v>81</v>
      </c>
      <c r="F261" s="1" t="s">
        <v>59</v>
      </c>
      <c r="G261" s="1" t="s">
        <v>62</v>
      </c>
      <c r="H261" s="3">
        <f>RESUMEN!E16</f>
        <v>1272</v>
      </c>
      <c r="I261" s="3">
        <f>RESUMEN!F16</f>
        <v>0</v>
      </c>
      <c r="J261" s="3">
        <f>RESUMEN!G16</f>
        <v>1272</v>
      </c>
      <c r="K261" s="3">
        <f>RESUMEN!H16</f>
        <v>1434.623</v>
      </c>
      <c r="L261" s="3">
        <f>RESUMEN!I16</f>
        <v>-162.62300000000005</v>
      </c>
      <c r="M261" s="114">
        <f>RESUMEN!J16</f>
        <v>1.1278482704402517</v>
      </c>
      <c r="N261" s="4" t="s">
        <v>82</v>
      </c>
      <c r="O261" s="5">
        <f>RESUMEN!$B$3</f>
        <v>44452</v>
      </c>
      <c r="P261" s="1">
        <f t="shared" si="7"/>
        <v>2021</v>
      </c>
      <c r="Q261" s="1"/>
    </row>
    <row r="262" spans="1:17">
      <c r="A262" s="1" t="s">
        <v>69</v>
      </c>
      <c r="B262" s="1" t="s">
        <v>57</v>
      </c>
      <c r="C262" s="1" t="s">
        <v>34</v>
      </c>
      <c r="D262" s="1" t="s">
        <v>64</v>
      </c>
      <c r="E262" s="15" t="s">
        <v>81</v>
      </c>
      <c r="F262" s="1" t="s">
        <v>59</v>
      </c>
      <c r="G262" s="1" t="s">
        <v>62</v>
      </c>
      <c r="H262" s="3">
        <f>RESUMEN!E17</f>
        <v>8512.9959999999992</v>
      </c>
      <c r="I262" s="3">
        <f>RESUMEN!F17</f>
        <v>-8108.3090000000002</v>
      </c>
      <c r="J262" s="3">
        <f>RESUMEN!G17</f>
        <v>404.68699999999899</v>
      </c>
      <c r="K262" s="3">
        <f>RESUMEN!H17</f>
        <v>0.85</v>
      </c>
      <c r="L262" s="3">
        <f>RESUMEN!I17</f>
        <v>403.83699999999897</v>
      </c>
      <c r="M262" s="114">
        <f>RESUMEN!J17</f>
        <v>2.1003886954609418E-3</v>
      </c>
      <c r="N262" s="4" t="s">
        <v>82</v>
      </c>
      <c r="O262" s="5">
        <f>RESUMEN!$B$3</f>
        <v>44452</v>
      </c>
      <c r="P262" s="1">
        <f t="shared" si="7"/>
        <v>2021</v>
      </c>
      <c r="Q262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INDIVIDUALES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2021-09-14T12:53:42Z</dcterms:modified>
</cp:coreProperties>
</file>