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2.- Pelagicos\Jurel 2022\"/>
    </mc:Choice>
  </mc:AlternateContent>
  <bookViews>
    <workbookView xWindow="-105" yWindow="-105" windowWidth="23250" windowHeight="12135" activeTab="3"/>
  </bookViews>
  <sheets>
    <sheet name="RESUMEN" sheetId="3" r:id="rId1"/>
    <sheet name="CUOTA ARTESANAL" sheetId="1" r:id="rId2"/>
    <sheet name="CUOTA INDUSTRIAL" sheetId="2" r:id="rId3"/>
    <sheet name="JUREL OROP-PS" sheetId="4" r:id="rId4"/>
    <sheet name="CESIONES INDIVIDUALES" sheetId="5" r:id="rId5"/>
    <sheet name="CONSUMO HUMANO" sheetId="7" r:id="rId6"/>
    <sheet name="Pag. Web" sheetId="6" r:id="rId7"/>
  </sheets>
  <definedNames>
    <definedName name="_xlnm._FilterDatabase" localSheetId="4" hidden="1">'CESIONES INDIVIDUALES'!$B$5:$H$17</definedName>
    <definedName name="_xlnm._FilterDatabase" localSheetId="1" hidden="1">'CUOTA ARTESANAL'!$B$5:$P$5</definedName>
    <definedName name="_xlnm._FilterDatabase" localSheetId="2" hidden="1">'CUOTA INDUSTRIAL'!$B$5:$R$161</definedName>
    <definedName name="_xlnm._FilterDatabase" localSheetId="6" hidden="1">'Pag. Web'!$A$1:$Q$213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7" i="4" l="1"/>
  <c r="H207" i="4"/>
  <c r="G207" i="4"/>
  <c r="G129" i="4" l="1"/>
  <c r="I129" i="4" s="1"/>
  <c r="H129" i="4" l="1"/>
  <c r="G168" i="4"/>
  <c r="I168" i="4" s="1"/>
  <c r="H168" i="4" l="1"/>
  <c r="G69" i="2" l="1"/>
  <c r="G38" i="2"/>
  <c r="G128" i="2"/>
  <c r="G74" i="2" l="1"/>
  <c r="C51" i="3"/>
  <c r="G75" i="2" l="1"/>
  <c r="F24" i="1"/>
  <c r="G43" i="2" l="1"/>
  <c r="G131" i="2"/>
  <c r="G150" i="2" l="1"/>
  <c r="G97" i="2"/>
  <c r="H115" i="4" l="1"/>
  <c r="I115" i="4" s="1"/>
  <c r="Q129" i="2" l="1"/>
  <c r="G115" i="2" l="1"/>
  <c r="G114" i="2"/>
  <c r="F115" i="2"/>
  <c r="F114" i="2"/>
  <c r="G82" i="2"/>
  <c r="L112" i="2"/>
  <c r="M112" i="2"/>
  <c r="O112" i="2"/>
  <c r="H112" i="2"/>
  <c r="N112" i="2" l="1"/>
  <c r="P112" i="2" s="1"/>
  <c r="K112" i="2"/>
  <c r="J112" i="2"/>
  <c r="H113" i="2" s="1"/>
  <c r="Q112" i="2" l="1"/>
  <c r="J113" i="2"/>
  <c r="K113" i="2"/>
  <c r="G162" i="2" l="1"/>
  <c r="L159" i="2"/>
  <c r="M159" i="2"/>
  <c r="O159" i="2"/>
  <c r="H159" i="2"/>
  <c r="M157" i="2"/>
  <c r="L157" i="2"/>
  <c r="O157" i="2"/>
  <c r="H157" i="2"/>
  <c r="L155" i="2"/>
  <c r="M155" i="2"/>
  <c r="O155" i="2"/>
  <c r="H155" i="2"/>
  <c r="H153" i="2"/>
  <c r="J153" i="2" s="1"/>
  <c r="H154" i="2" s="1"/>
  <c r="L153" i="2"/>
  <c r="O153" i="2"/>
  <c r="N159" i="2" l="1"/>
  <c r="P159" i="2" s="1"/>
  <c r="Q159" i="2"/>
  <c r="J159" i="2"/>
  <c r="H160" i="2" s="1"/>
  <c r="K159" i="2"/>
  <c r="N157" i="2"/>
  <c r="P157" i="2"/>
  <c r="Q157" i="2"/>
  <c r="J157" i="2"/>
  <c r="H158" i="2" s="1"/>
  <c r="K157" i="2"/>
  <c r="N155" i="2"/>
  <c r="P155" i="2" s="1"/>
  <c r="J155" i="2"/>
  <c r="H156" i="2" s="1"/>
  <c r="K155" i="2"/>
  <c r="M153" i="2"/>
  <c r="N153" i="2" s="1"/>
  <c r="P153" i="2" s="1"/>
  <c r="K154" i="2"/>
  <c r="J154" i="2"/>
  <c r="K153" i="2"/>
  <c r="L110" i="2"/>
  <c r="M110" i="2"/>
  <c r="O110" i="2"/>
  <c r="H110" i="2"/>
  <c r="L108" i="2"/>
  <c r="O108" i="2"/>
  <c r="H108" i="2"/>
  <c r="M106" i="2"/>
  <c r="L106" i="2"/>
  <c r="O106" i="2"/>
  <c r="H104" i="2"/>
  <c r="J104" i="2" s="1"/>
  <c r="H105" i="2" s="1"/>
  <c r="L104" i="2"/>
  <c r="M104" i="2"/>
  <c r="O104" i="2"/>
  <c r="G139" i="2"/>
  <c r="G62" i="2"/>
  <c r="H106" i="2" l="1"/>
  <c r="J106" i="2" s="1"/>
  <c r="H107" i="2" s="1"/>
  <c r="K107" i="2" s="1"/>
  <c r="K110" i="2"/>
  <c r="J110" i="2"/>
  <c r="H111" i="2" s="1"/>
  <c r="J111" i="2" s="1"/>
  <c r="N110" i="2"/>
  <c r="P110" i="2" s="1"/>
  <c r="Q155" i="2"/>
  <c r="J160" i="2"/>
  <c r="K160" i="2"/>
  <c r="J158" i="2"/>
  <c r="K158" i="2"/>
  <c r="Q153" i="2"/>
  <c r="J156" i="2"/>
  <c r="K156" i="2"/>
  <c r="K108" i="2"/>
  <c r="J108" i="2"/>
  <c r="H109" i="2" s="1"/>
  <c r="K109" i="2" s="1"/>
  <c r="M108" i="2"/>
  <c r="N108" i="2" s="1"/>
  <c r="N106" i="2"/>
  <c r="P106" i="2" s="1"/>
  <c r="K106" i="2"/>
  <c r="J107" i="2"/>
  <c r="N104" i="2"/>
  <c r="P104" i="2" s="1"/>
  <c r="K105" i="2"/>
  <c r="J105" i="2"/>
  <c r="K104" i="2"/>
  <c r="M59" i="2"/>
  <c r="L59" i="2"/>
  <c r="O59" i="2"/>
  <c r="K111" i="2" l="1"/>
  <c r="Q110" i="2"/>
  <c r="J109" i="2"/>
  <c r="P108" i="2"/>
  <c r="Q108" i="2"/>
  <c r="N59" i="2"/>
  <c r="Q59" i="2" s="1"/>
  <c r="H59" i="2"/>
  <c r="Q104" i="2"/>
  <c r="Q106" i="2"/>
  <c r="P59" i="2"/>
  <c r="I115" i="2"/>
  <c r="I114" i="2"/>
  <c r="L102" i="2"/>
  <c r="M102" i="2"/>
  <c r="O102" i="2"/>
  <c r="H102" i="2"/>
  <c r="J102" i="2" s="1"/>
  <c r="H103" i="2" s="1"/>
  <c r="K59" i="2" l="1"/>
  <c r="J59" i="2"/>
  <c r="H60" i="2" s="1"/>
  <c r="K102" i="2"/>
  <c r="N102" i="2"/>
  <c r="P102" i="2" s="1"/>
  <c r="J103" i="2"/>
  <c r="K103" i="2"/>
  <c r="B3" i="1"/>
  <c r="G80" i="2"/>
  <c r="G90" i="2"/>
  <c r="K60" i="2" l="1"/>
  <c r="J60" i="2"/>
  <c r="Q102" i="2"/>
  <c r="H57" i="1"/>
  <c r="H53" i="4"/>
  <c r="G68" i="2" l="1"/>
  <c r="G127" i="2"/>
  <c r="G37" i="2"/>
  <c r="E7" i="5" l="1"/>
  <c r="G76" i="2" l="1"/>
  <c r="G133" i="2"/>
  <c r="F20" i="3" l="1"/>
  <c r="F15" i="1"/>
  <c r="L151" i="2" l="1"/>
  <c r="O151" i="2"/>
  <c r="G70" i="2" l="1"/>
  <c r="G8" i="2"/>
  <c r="G51" i="2"/>
  <c r="G123" i="2"/>
  <c r="G10" i="2"/>
  <c r="G39" i="2"/>
  <c r="G72" i="2"/>
  <c r="G129" i="2"/>
  <c r="F20" i="1" l="1"/>
  <c r="H49" i="4" l="1"/>
  <c r="H12" i="5" l="1"/>
  <c r="H13" i="5"/>
  <c r="H14" i="5"/>
  <c r="E17" i="5"/>
  <c r="G137" i="2" l="1"/>
  <c r="G47" i="2" l="1"/>
  <c r="G92" i="2"/>
  <c r="G145" i="2"/>
  <c r="G49" i="2"/>
  <c r="G94" i="2" l="1"/>
  <c r="G57" i="2"/>
  <c r="L100" i="2" l="1"/>
  <c r="O100" i="2"/>
  <c r="M100" i="2"/>
  <c r="I162" i="2"/>
  <c r="I161" i="2"/>
  <c r="G147" i="2"/>
  <c r="G151" i="2"/>
  <c r="M151" i="2" s="1"/>
  <c r="N151" i="2" s="1"/>
  <c r="L98" i="2"/>
  <c r="O98" i="2"/>
  <c r="G98" i="2"/>
  <c r="H98" i="2" s="1"/>
  <c r="J98" i="2" s="1"/>
  <c r="H99" i="2" s="1"/>
  <c r="L96" i="2"/>
  <c r="O96" i="2"/>
  <c r="G96" i="2"/>
  <c r="M96" i="2" s="1"/>
  <c r="H151" i="2" l="1"/>
  <c r="J151" i="2" s="1"/>
  <c r="H152" i="2" s="1"/>
  <c r="H100" i="2"/>
  <c r="J100" i="2" s="1"/>
  <c r="H101" i="2" s="1"/>
  <c r="J101" i="2" s="1"/>
  <c r="M98" i="2"/>
  <c r="N98" i="2" s="1"/>
  <c r="H96" i="2"/>
  <c r="J96" i="2" s="1"/>
  <c r="H97" i="2" s="1"/>
  <c r="J97" i="2" s="1"/>
  <c r="N100" i="2"/>
  <c r="P100" i="2" s="1"/>
  <c r="N96" i="2"/>
  <c r="P96" i="2" s="1"/>
  <c r="P151" i="2"/>
  <c r="Q151" i="2"/>
  <c r="Q100" i="2"/>
  <c r="J152" i="2"/>
  <c r="K152" i="2"/>
  <c r="K151" i="2"/>
  <c r="K99" i="2"/>
  <c r="J99" i="2"/>
  <c r="K98" i="2"/>
  <c r="P98" i="2" l="1"/>
  <c r="Q98" i="2"/>
  <c r="K96" i="2"/>
  <c r="K100" i="2"/>
  <c r="K101" i="2"/>
  <c r="K97" i="2"/>
  <c r="Q96" i="2"/>
  <c r="L149" i="2"/>
  <c r="M149" i="2"/>
  <c r="O149" i="2"/>
  <c r="H149" i="2"/>
  <c r="K149" i="2" s="1"/>
  <c r="N149" i="2" l="1"/>
  <c r="P149" i="2" s="1"/>
  <c r="J149" i="2"/>
  <c r="H150" i="2" s="1"/>
  <c r="Q149" i="2" l="1"/>
  <c r="J150" i="2"/>
  <c r="K150" i="2"/>
  <c r="G66" i="2"/>
  <c r="G119" i="2"/>
  <c r="G12" i="2"/>
  <c r="G31" i="2"/>
  <c r="G118" i="4" l="1"/>
  <c r="F14" i="2" l="1"/>
  <c r="G27" i="2" l="1"/>
  <c r="G24" i="2"/>
  <c r="M24" i="2" s="1"/>
  <c r="G20" i="2"/>
  <c r="G22" i="2"/>
  <c r="M22" i="2" s="1"/>
  <c r="L24" i="2"/>
  <c r="O24" i="2"/>
  <c r="H24" i="2"/>
  <c r="J24" i="2" s="1"/>
  <c r="H25" i="2" s="1"/>
  <c r="L22" i="2"/>
  <c r="O22" i="2"/>
  <c r="H22" i="2"/>
  <c r="J22" i="2" s="1"/>
  <c r="H23" i="2" s="1"/>
  <c r="N24" i="2" l="1"/>
  <c r="P24" i="2" s="1"/>
  <c r="J25" i="2"/>
  <c r="K25" i="2"/>
  <c r="K24" i="2"/>
  <c r="N22" i="2"/>
  <c r="P22" i="2" s="1"/>
  <c r="K22" i="2"/>
  <c r="J23" i="2"/>
  <c r="K23" i="2"/>
  <c r="Q24" i="2" l="1"/>
  <c r="Q22" i="2"/>
  <c r="H147" i="2" l="1"/>
  <c r="J147" i="2" s="1"/>
  <c r="H148" i="2" s="1"/>
  <c r="H94" i="2"/>
  <c r="J94" i="2" s="1"/>
  <c r="H95" i="2" s="1"/>
  <c r="L147" i="2"/>
  <c r="M147" i="2"/>
  <c r="O147" i="2"/>
  <c r="L94" i="2"/>
  <c r="M94" i="2"/>
  <c r="O94" i="2"/>
  <c r="H57" i="2"/>
  <c r="J57" i="2" s="1"/>
  <c r="H58" i="2" s="1"/>
  <c r="L57" i="2"/>
  <c r="M57" i="2"/>
  <c r="O57" i="2"/>
  <c r="G143" i="2"/>
  <c r="G53" i="2"/>
  <c r="G18" i="2"/>
  <c r="G161" i="2" l="1"/>
  <c r="M161" i="2" s="1"/>
  <c r="J148" i="2"/>
  <c r="K148" i="2"/>
  <c r="K147" i="2"/>
  <c r="N147" i="2"/>
  <c r="P147" i="2" s="1"/>
  <c r="J95" i="2"/>
  <c r="K95" i="2"/>
  <c r="K94" i="2"/>
  <c r="N94" i="2"/>
  <c r="P94" i="2" s="1"/>
  <c r="N57" i="2"/>
  <c r="Q57" i="2" s="1"/>
  <c r="J58" i="2"/>
  <c r="K58" i="2"/>
  <c r="K57" i="2"/>
  <c r="P57" i="2"/>
  <c r="G41" i="2"/>
  <c r="G61" i="2" s="1"/>
  <c r="G16" i="2"/>
  <c r="Q94" i="2" l="1"/>
  <c r="Q147" i="2"/>
  <c r="G20" i="1"/>
  <c r="I20" i="1" s="1"/>
  <c r="K20" i="1"/>
  <c r="L20" i="1"/>
  <c r="N20" i="1"/>
  <c r="F18" i="1"/>
  <c r="M20" i="1" l="1"/>
  <c r="P20" i="1" s="1"/>
  <c r="O20" i="1"/>
  <c r="J20" i="1"/>
  <c r="F48" i="1" l="1"/>
  <c r="G24" i="1" l="1"/>
  <c r="G14" i="2" l="1"/>
  <c r="G26" i="2" s="1"/>
  <c r="M26" i="2" s="1"/>
  <c r="F50" i="1" l="1"/>
  <c r="F47" i="1"/>
  <c r="G60" i="1" l="1"/>
  <c r="F138" i="2" l="1"/>
  <c r="F137" i="2"/>
  <c r="H137" i="2" s="1"/>
  <c r="K137" i="2" l="1"/>
  <c r="J137" i="2"/>
  <c r="H138" i="2" s="1"/>
  <c r="K138" i="2" l="1"/>
  <c r="J138" i="2"/>
  <c r="F25" i="1" l="1"/>
  <c r="F27" i="1"/>
  <c r="F52" i="1"/>
  <c r="L48" i="1" l="1"/>
  <c r="L49" i="1"/>
  <c r="L50" i="1"/>
  <c r="L51" i="1"/>
  <c r="L52" i="1"/>
  <c r="L53" i="1"/>
  <c r="L54" i="1"/>
  <c r="L38" i="1"/>
  <c r="H21" i="3"/>
  <c r="E21" i="3"/>
  <c r="H23" i="3"/>
  <c r="E23" i="3"/>
  <c r="E22" i="3"/>
  <c r="F14" i="3" l="1"/>
  <c r="F6" i="3"/>
  <c r="N24" i="1"/>
  <c r="N25" i="1"/>
  <c r="N26" i="1"/>
  <c r="N27" i="1"/>
  <c r="N28" i="1"/>
  <c r="N29" i="1"/>
  <c r="N32" i="1"/>
  <c r="H12" i="3" s="1"/>
  <c r="N35" i="1"/>
  <c r="H13" i="3" s="1"/>
  <c r="N38" i="1"/>
  <c r="H14" i="3" s="1"/>
  <c r="N41" i="1"/>
  <c r="H15" i="3" s="1"/>
  <c r="N44" i="1"/>
  <c r="H16" i="3" s="1"/>
  <c r="N47" i="1"/>
  <c r="N48" i="1"/>
  <c r="N49" i="1"/>
  <c r="N50" i="1"/>
  <c r="N51" i="1"/>
  <c r="N52" i="1"/>
  <c r="N53" i="1"/>
  <c r="N54" i="1"/>
  <c r="N19" i="1"/>
  <c r="N21" i="1"/>
  <c r="N18" i="1"/>
  <c r="N15" i="1"/>
  <c r="H9" i="3" s="1"/>
  <c r="N9" i="1"/>
  <c r="H7" i="3" s="1"/>
  <c r="N6" i="1"/>
  <c r="H6" i="3" s="1"/>
  <c r="E6" i="3"/>
  <c r="E161" i="2"/>
  <c r="F124" i="2"/>
  <c r="F121" i="2"/>
  <c r="F122" i="2"/>
  <c r="F123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9" i="2"/>
  <c r="F140" i="2"/>
  <c r="F141" i="2"/>
  <c r="F142" i="2"/>
  <c r="F143" i="2"/>
  <c r="F144" i="2"/>
  <c r="F145" i="2"/>
  <c r="F146" i="2"/>
  <c r="F120" i="2"/>
  <c r="F119" i="2"/>
  <c r="E82" i="2"/>
  <c r="F83" i="2" s="1"/>
  <c r="E74" i="2"/>
  <c r="F74" i="2" s="1"/>
  <c r="E76" i="2"/>
  <c r="F77" i="2" s="1"/>
  <c r="F68" i="2"/>
  <c r="F69" i="2"/>
  <c r="F70" i="2"/>
  <c r="F71" i="2"/>
  <c r="F72" i="2"/>
  <c r="F73" i="2"/>
  <c r="F78" i="2"/>
  <c r="F79" i="2"/>
  <c r="F80" i="2"/>
  <c r="F81" i="2"/>
  <c r="F84" i="2"/>
  <c r="F85" i="2"/>
  <c r="F86" i="2"/>
  <c r="F87" i="2"/>
  <c r="F88" i="2"/>
  <c r="F89" i="2"/>
  <c r="F90" i="2"/>
  <c r="F91" i="2"/>
  <c r="F92" i="2"/>
  <c r="F93" i="2"/>
  <c r="F67" i="2"/>
  <c r="F66" i="2"/>
  <c r="E61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32" i="2"/>
  <c r="F62" i="2" s="1"/>
  <c r="F31" i="2"/>
  <c r="F15" i="2"/>
  <c r="F16" i="2"/>
  <c r="F17" i="2"/>
  <c r="F18" i="2"/>
  <c r="F19" i="2"/>
  <c r="F20" i="2"/>
  <c r="F21" i="2"/>
  <c r="E12" i="2"/>
  <c r="E26" i="2" s="1"/>
  <c r="F10" i="2"/>
  <c r="F11" i="2"/>
  <c r="F8" i="2"/>
  <c r="F9" i="2"/>
  <c r="F7" i="2"/>
  <c r="F161" i="2" l="1"/>
  <c r="F162" i="2"/>
  <c r="F61" i="2"/>
  <c r="F82" i="2"/>
  <c r="H11" i="3"/>
  <c r="H10" i="3"/>
  <c r="H17" i="3"/>
  <c r="F13" i="2"/>
  <c r="F75" i="2"/>
  <c r="F12" i="2"/>
  <c r="E114" i="2"/>
  <c r="F76" i="2"/>
  <c r="H114" i="2" l="1"/>
  <c r="L114" i="2"/>
  <c r="E27" i="3" s="1"/>
  <c r="L161" i="2"/>
  <c r="H161" i="2"/>
  <c r="F6" i="2"/>
  <c r="F26" i="2" s="1"/>
  <c r="J161" i="2" l="1"/>
  <c r="K161" i="2"/>
  <c r="E16" i="3"/>
  <c r="E14" i="3"/>
  <c r="E18" i="3"/>
  <c r="E55" i="1"/>
  <c r="E17" i="3" s="1"/>
  <c r="E15" i="3"/>
  <c r="E13" i="3"/>
  <c r="E12" i="3"/>
  <c r="E30" i="1"/>
  <c r="E11" i="3" s="1"/>
  <c r="E22" i="1"/>
  <c r="E10" i="3" s="1"/>
  <c r="E9" i="3"/>
  <c r="E7" i="3"/>
  <c r="H28" i="3"/>
  <c r="I62" i="2"/>
  <c r="I61" i="2"/>
  <c r="I26" i="2"/>
  <c r="I27" i="2"/>
  <c r="F27" i="2"/>
  <c r="L26" i="2" s="1"/>
  <c r="N26" i="2" s="1"/>
  <c r="H8" i="2"/>
  <c r="H10" i="2"/>
  <c r="H12" i="2"/>
  <c r="H14" i="2"/>
  <c r="H16" i="2"/>
  <c r="H18" i="2"/>
  <c r="H20" i="2"/>
  <c r="H6" i="2"/>
  <c r="L8" i="1"/>
  <c r="L9" i="1"/>
  <c r="F7" i="3" s="1"/>
  <c r="L11" i="1"/>
  <c r="L12" i="1"/>
  <c r="F8" i="3" s="1"/>
  <c r="L15" i="1"/>
  <c r="F9" i="3" s="1"/>
  <c r="L18" i="1"/>
  <c r="L19" i="1"/>
  <c r="L21" i="1"/>
  <c r="L23" i="1"/>
  <c r="L24" i="1"/>
  <c r="L25" i="1"/>
  <c r="L26" i="1"/>
  <c r="L27" i="1"/>
  <c r="L28" i="1"/>
  <c r="L29" i="1"/>
  <c r="L32" i="1"/>
  <c r="F12" i="3" s="1"/>
  <c r="L35" i="1"/>
  <c r="F13" i="3" s="1"/>
  <c r="L40" i="1"/>
  <c r="L41" i="1"/>
  <c r="F15" i="3" s="1"/>
  <c r="L44" i="1"/>
  <c r="F16" i="3" s="1"/>
  <c r="L47" i="1"/>
  <c r="F17" i="3" s="1"/>
  <c r="L6" i="1"/>
  <c r="K8" i="1"/>
  <c r="K9" i="1"/>
  <c r="K11" i="1"/>
  <c r="K12" i="1"/>
  <c r="K15" i="1"/>
  <c r="K18" i="1"/>
  <c r="K19" i="1"/>
  <c r="K21" i="1"/>
  <c r="K23" i="1"/>
  <c r="K24" i="1"/>
  <c r="K25" i="1"/>
  <c r="K26" i="1"/>
  <c r="K27" i="1"/>
  <c r="K28" i="1"/>
  <c r="K29" i="1"/>
  <c r="K32" i="1"/>
  <c r="K35" i="1"/>
  <c r="K38" i="1"/>
  <c r="K40" i="1"/>
  <c r="K41" i="1"/>
  <c r="H180" i="6" s="1"/>
  <c r="K44" i="1"/>
  <c r="K47" i="1"/>
  <c r="K48" i="1"/>
  <c r="K49" i="1"/>
  <c r="K50" i="1"/>
  <c r="K51" i="1"/>
  <c r="K52" i="1"/>
  <c r="K53" i="1"/>
  <c r="K54" i="1"/>
  <c r="K6" i="1"/>
  <c r="O26" i="2" l="1"/>
  <c r="Q26" i="2" s="1"/>
  <c r="H26" i="3"/>
  <c r="H27" i="3"/>
  <c r="F10" i="3"/>
  <c r="H25" i="3"/>
  <c r="I164" i="6"/>
  <c r="F11" i="3"/>
  <c r="H22" i="3"/>
  <c r="P26" i="2" l="1"/>
  <c r="H106" i="4"/>
  <c r="J106" i="4" s="1"/>
  <c r="H94" i="4"/>
  <c r="H67" i="4"/>
  <c r="J115" i="4" l="1"/>
  <c r="I106" i="4"/>
  <c r="H77" i="4" l="1"/>
  <c r="J77" i="4" s="1"/>
  <c r="I77" i="4" l="1"/>
  <c r="H32" i="4" l="1"/>
  <c r="I32" i="4" s="1"/>
  <c r="H46" i="4"/>
  <c r="I46" i="4" s="1"/>
  <c r="J32" i="4" l="1"/>
  <c r="J46" i="4"/>
  <c r="H100" i="4"/>
  <c r="I100" i="4" s="1"/>
  <c r="J100" i="4" l="1"/>
  <c r="J94" i="4"/>
  <c r="H14" i="4"/>
  <c r="I14" i="4" s="1"/>
  <c r="I94" i="4" l="1"/>
  <c r="J14" i="4"/>
  <c r="H72" i="4" l="1"/>
  <c r="I72" i="4" s="1"/>
  <c r="J72" i="4" l="1"/>
  <c r="F17" i="5" l="1"/>
  <c r="H24" i="3" s="1"/>
  <c r="F24" i="3"/>
  <c r="G16" i="5"/>
  <c r="H17" i="5" l="1"/>
  <c r="J24" i="3" s="1"/>
  <c r="G17" i="5"/>
  <c r="I24" i="3" s="1"/>
  <c r="O23" i="6"/>
  <c r="P23" i="6" s="1"/>
  <c r="O24" i="6"/>
  <c r="P24" i="6" s="1"/>
  <c r="O25" i="6"/>
  <c r="P25" i="6" s="1"/>
  <c r="H24" i="6"/>
  <c r="I24" i="6"/>
  <c r="K24" i="6"/>
  <c r="I23" i="6"/>
  <c r="K23" i="6"/>
  <c r="H23" i="6"/>
  <c r="E25" i="6"/>
  <c r="E24" i="6"/>
  <c r="E23" i="6"/>
  <c r="L20" i="2"/>
  <c r="M20" i="2"/>
  <c r="I25" i="6" s="1"/>
  <c r="O20" i="2"/>
  <c r="K25" i="6" s="1"/>
  <c r="N20" i="2" l="1"/>
  <c r="P20" i="2" s="1"/>
  <c r="L25" i="6" s="1"/>
  <c r="H25" i="6"/>
  <c r="Q20" i="2" l="1"/>
  <c r="M25" i="6" s="1"/>
  <c r="J25" i="6"/>
  <c r="J23" i="6"/>
  <c r="K20" i="2" l="1"/>
  <c r="M23" i="6" s="1"/>
  <c r="J20" i="2"/>
  <c r="H21" i="2" s="1"/>
  <c r="I67" i="4"/>
  <c r="J24" i="6" l="1"/>
  <c r="L23" i="6"/>
  <c r="J67" i="4"/>
  <c r="K21" i="2" l="1"/>
  <c r="M24" i="6" s="1"/>
  <c r="J21" i="2"/>
  <c r="L24" i="6" s="1"/>
  <c r="G15" i="5"/>
  <c r="H11" i="5" l="1"/>
  <c r="G12" i="5"/>
  <c r="G11" i="5"/>
  <c r="H7" i="5" l="1"/>
  <c r="H8" i="5"/>
  <c r="H9" i="5"/>
  <c r="H10" i="5"/>
  <c r="G7" i="5"/>
  <c r="G8" i="5"/>
  <c r="G9" i="5"/>
  <c r="G10" i="5"/>
  <c r="O146" i="6" l="1"/>
  <c r="P146" i="6" s="1"/>
  <c r="O147" i="6"/>
  <c r="P147" i="6" s="1"/>
  <c r="O148" i="6"/>
  <c r="P148" i="6" s="1"/>
  <c r="H147" i="6"/>
  <c r="I147" i="6"/>
  <c r="K147" i="6"/>
  <c r="K146" i="6"/>
  <c r="H146" i="6"/>
  <c r="E148" i="6"/>
  <c r="E147" i="6"/>
  <c r="E146" i="6"/>
  <c r="O104" i="6"/>
  <c r="P104" i="6" s="1"/>
  <c r="O105" i="6"/>
  <c r="P105" i="6" s="1"/>
  <c r="O106" i="6"/>
  <c r="P106" i="6" s="1"/>
  <c r="H105" i="6"/>
  <c r="I105" i="6"/>
  <c r="K105" i="6"/>
  <c r="K104" i="6"/>
  <c r="H104" i="6"/>
  <c r="E106" i="6"/>
  <c r="E105" i="6"/>
  <c r="E104" i="6"/>
  <c r="O62" i="6"/>
  <c r="P62" i="6" s="1"/>
  <c r="O63" i="6"/>
  <c r="P63" i="6" s="1"/>
  <c r="O64" i="6"/>
  <c r="P64" i="6" s="1"/>
  <c r="H63" i="6"/>
  <c r="I63" i="6"/>
  <c r="K63" i="6"/>
  <c r="K62" i="6"/>
  <c r="H62" i="6"/>
  <c r="E64" i="6"/>
  <c r="E63" i="6"/>
  <c r="E62" i="6"/>
  <c r="I146" i="6" l="1"/>
  <c r="H43" i="4" l="1"/>
  <c r="J43" i="4" s="1"/>
  <c r="H62" i="4"/>
  <c r="I62" i="4" s="1"/>
  <c r="I43" i="4" l="1"/>
  <c r="J62" i="4"/>
  <c r="H57" i="4"/>
  <c r="I57" i="4" s="1"/>
  <c r="I45" i="3"/>
  <c r="J21" i="3" s="1"/>
  <c r="I38" i="3" l="1"/>
  <c r="J23" i="3" s="1"/>
  <c r="J57" i="4"/>
  <c r="H45" i="3"/>
  <c r="I21" i="3" s="1"/>
  <c r="H6" i="5" l="1"/>
  <c r="G6" i="5"/>
  <c r="H11" i="4" l="1"/>
  <c r="I11" i="4" s="1"/>
  <c r="H27" i="4"/>
  <c r="I27" i="4" s="1"/>
  <c r="J11" i="4" l="1"/>
  <c r="J27" i="4"/>
  <c r="H88" i="4"/>
  <c r="J88" i="4" s="1"/>
  <c r="I104" i="6"/>
  <c r="I88" i="4" l="1"/>
  <c r="H82" i="4"/>
  <c r="I82" i="4" s="1"/>
  <c r="J82" i="4" l="1"/>
  <c r="L145" i="2"/>
  <c r="H148" i="6" s="1"/>
  <c r="O145" i="2"/>
  <c r="K148" i="6" s="1"/>
  <c r="H145" i="2"/>
  <c r="J146" i="6" s="1"/>
  <c r="L92" i="2"/>
  <c r="H106" i="6" s="1"/>
  <c r="M92" i="2"/>
  <c r="I106" i="6" s="1"/>
  <c r="O92" i="2"/>
  <c r="K106" i="6" s="1"/>
  <c r="L55" i="2"/>
  <c r="H64" i="6" s="1"/>
  <c r="O55" i="2"/>
  <c r="K64" i="6" s="1"/>
  <c r="H92" i="2"/>
  <c r="J104" i="6" s="1"/>
  <c r="H55" i="2" l="1"/>
  <c r="J55" i="2" s="1"/>
  <c r="I62" i="6"/>
  <c r="J145" i="2"/>
  <c r="K145" i="2"/>
  <c r="M146" i="6" s="1"/>
  <c r="L61" i="2"/>
  <c r="N92" i="2"/>
  <c r="M145" i="2"/>
  <c r="M55" i="2"/>
  <c r="K92" i="2"/>
  <c r="M104" i="6" s="1"/>
  <c r="J92" i="2"/>
  <c r="N145" i="2" l="1"/>
  <c r="Q145" i="2" s="1"/>
  <c r="M148" i="6" s="1"/>
  <c r="I148" i="6"/>
  <c r="Q92" i="2"/>
  <c r="M106" i="6" s="1"/>
  <c r="J106" i="6"/>
  <c r="H146" i="2"/>
  <c r="J147" i="6" s="1"/>
  <c r="L146" i="6"/>
  <c r="H56" i="2"/>
  <c r="J63" i="6" s="1"/>
  <c r="L62" i="6"/>
  <c r="H93" i="2"/>
  <c r="J105" i="6" s="1"/>
  <c r="L104" i="6"/>
  <c r="N55" i="2"/>
  <c r="I64" i="6"/>
  <c r="K55" i="2"/>
  <c r="M62" i="6" s="1"/>
  <c r="J62" i="6"/>
  <c r="P92" i="2"/>
  <c r="L106" i="6" s="1"/>
  <c r="J93" i="2" l="1"/>
  <c r="L105" i="6" s="1"/>
  <c r="K93" i="2"/>
  <c r="M105" i="6" s="1"/>
  <c r="K56" i="2"/>
  <c r="M63" i="6" s="1"/>
  <c r="J56" i="2"/>
  <c r="L63" i="6" s="1"/>
  <c r="K146" i="2"/>
  <c r="M147" i="6" s="1"/>
  <c r="Q55" i="2"/>
  <c r="M64" i="6" s="1"/>
  <c r="J64" i="6"/>
  <c r="J146" i="2"/>
  <c r="L147" i="6" s="1"/>
  <c r="P55" i="2"/>
  <c r="L64" i="6" s="1"/>
  <c r="P145" i="2"/>
  <c r="L148" i="6" s="1"/>
  <c r="J148" i="6"/>
  <c r="J53" i="4"/>
  <c r="I53" i="4" l="1"/>
  <c r="H129" i="2" l="1"/>
  <c r="J49" i="4" l="1"/>
  <c r="I49" i="4" l="1"/>
  <c r="O61" i="2" l="1"/>
  <c r="O161" i="2" l="1"/>
  <c r="H40" i="4" l="1"/>
  <c r="I40" i="4" s="1"/>
  <c r="H22" i="4"/>
  <c r="I22" i="4" s="1"/>
  <c r="J40" i="4" l="1"/>
  <c r="J22" i="4"/>
  <c r="H37" i="4"/>
  <c r="J37" i="4" s="1"/>
  <c r="H17" i="4"/>
  <c r="J17" i="4" s="1"/>
  <c r="H8" i="4"/>
  <c r="H118" i="4" l="1"/>
  <c r="J8" i="4"/>
  <c r="I37" i="4"/>
  <c r="I17" i="4"/>
  <c r="I8" i="4"/>
  <c r="O165" i="6" l="1"/>
  <c r="P165" i="6" s="1"/>
  <c r="O166" i="6"/>
  <c r="P166" i="6" s="1"/>
  <c r="N165" i="6"/>
  <c r="I165" i="6"/>
  <c r="K165" i="6"/>
  <c r="H165" i="6"/>
  <c r="E166" i="6"/>
  <c r="E165" i="6"/>
  <c r="O20" i="6"/>
  <c r="P20" i="6" s="1"/>
  <c r="O21" i="6"/>
  <c r="P21" i="6" s="1"/>
  <c r="O22" i="6"/>
  <c r="P22" i="6" s="1"/>
  <c r="I20" i="6"/>
  <c r="K20" i="6"/>
  <c r="I21" i="6"/>
  <c r="K21" i="6"/>
  <c r="H21" i="6"/>
  <c r="H20" i="6"/>
  <c r="E22" i="6"/>
  <c r="E21" i="6"/>
  <c r="E20" i="6"/>
  <c r="I17" i="6"/>
  <c r="K17" i="6"/>
  <c r="I18" i="6"/>
  <c r="K18" i="6"/>
  <c r="H18" i="6"/>
  <c r="H17" i="6"/>
  <c r="E19" i="6"/>
  <c r="E18" i="6"/>
  <c r="E17" i="6"/>
  <c r="I14" i="6"/>
  <c r="K14" i="6"/>
  <c r="I15" i="6"/>
  <c r="K15" i="6"/>
  <c r="H15" i="6"/>
  <c r="H14" i="6"/>
  <c r="E16" i="6"/>
  <c r="E15" i="6"/>
  <c r="E14" i="6"/>
  <c r="I11" i="6"/>
  <c r="K11" i="6"/>
  <c r="I12" i="6"/>
  <c r="K12" i="6"/>
  <c r="H12" i="6"/>
  <c r="H11" i="6"/>
  <c r="E13" i="6"/>
  <c r="E12" i="6"/>
  <c r="E11" i="6"/>
  <c r="I9" i="6"/>
  <c r="K9" i="6"/>
  <c r="I8" i="6"/>
  <c r="K8" i="6"/>
  <c r="O8" i="6"/>
  <c r="P8" i="6" s="1"/>
  <c r="O9" i="6"/>
  <c r="P9" i="6" s="1"/>
  <c r="H9" i="6"/>
  <c r="H8" i="6"/>
  <c r="E10" i="6"/>
  <c r="E9" i="6"/>
  <c r="E8" i="6"/>
  <c r="H61" i="2" l="1"/>
  <c r="F28" i="3"/>
  <c r="J61" i="2" l="1"/>
  <c r="K61" i="2"/>
  <c r="M61" i="2"/>
  <c r="N61" i="2" l="1"/>
  <c r="P61" i="2" s="1"/>
  <c r="F26" i="3"/>
  <c r="H62" i="2"/>
  <c r="Q61" i="2" l="1"/>
  <c r="F25" i="3"/>
  <c r="H26" i="2"/>
  <c r="J26" i="2" s="1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L10" i="2" l="1"/>
  <c r="M10" i="2"/>
  <c r="I10" i="6" s="1"/>
  <c r="O10" i="2"/>
  <c r="K10" i="6" s="1"/>
  <c r="K10" i="2" l="1"/>
  <c r="M8" i="6" s="1"/>
  <c r="J8" i="6"/>
  <c r="N10" i="2"/>
  <c r="J10" i="6" s="1"/>
  <c r="H10" i="6"/>
  <c r="J10" i="2"/>
  <c r="H11" i="2" s="1"/>
  <c r="H166" i="6"/>
  <c r="I166" i="6"/>
  <c r="K166" i="6"/>
  <c r="G26" i="1"/>
  <c r="P10" i="2" l="1"/>
  <c r="L10" i="6" s="1"/>
  <c r="Q10" i="2"/>
  <c r="M10" i="6" s="1"/>
  <c r="J26" i="1"/>
  <c r="M165" i="6" s="1"/>
  <c r="J165" i="6"/>
  <c r="L8" i="6"/>
  <c r="M26" i="1"/>
  <c r="J166" i="6" s="1"/>
  <c r="I26" i="1"/>
  <c r="E19" i="3"/>
  <c r="J11" i="2" l="1"/>
  <c r="L9" i="6" s="1"/>
  <c r="J9" i="6"/>
  <c r="K11" i="2"/>
  <c r="M9" i="6" s="1"/>
  <c r="P26" i="1"/>
  <c r="M166" i="6" s="1"/>
  <c r="L165" i="6"/>
  <c r="O26" i="1"/>
  <c r="L166" i="6" s="1"/>
  <c r="C3" i="7"/>
  <c r="G23" i="3" l="1"/>
  <c r="J29" i="3"/>
  <c r="L139" i="2"/>
  <c r="H162" i="2" l="1"/>
  <c r="J162" i="2" s="1"/>
  <c r="J114" i="2" l="1"/>
  <c r="H115" i="2" s="1"/>
  <c r="J115" i="2" s="1"/>
  <c r="E25" i="3" l="1"/>
  <c r="M114" i="2"/>
  <c r="F27" i="3" s="1"/>
  <c r="O114" i="2"/>
  <c r="G19" i="1"/>
  <c r="G21" i="1"/>
  <c r="I21" i="1" s="1"/>
  <c r="G25" i="1"/>
  <c r="I25" i="1" s="1"/>
  <c r="G27" i="1"/>
  <c r="I27" i="1" s="1"/>
  <c r="G28" i="1"/>
  <c r="J28" i="1" s="1"/>
  <c r="G29" i="1"/>
  <c r="I29" i="1" s="1"/>
  <c r="G32" i="1"/>
  <c r="I32" i="1" s="1"/>
  <c r="G35" i="1"/>
  <c r="I35" i="1" s="1"/>
  <c r="G38" i="1"/>
  <c r="I38" i="1" s="1"/>
  <c r="G41" i="1"/>
  <c r="J41" i="1" s="1"/>
  <c r="G44" i="1"/>
  <c r="J44" i="1" s="1"/>
  <c r="G47" i="1"/>
  <c r="I47" i="1" s="1"/>
  <c r="G48" i="1"/>
  <c r="I48" i="1" s="1"/>
  <c r="G50" i="1"/>
  <c r="J50" i="1" s="1"/>
  <c r="G52" i="1"/>
  <c r="G53" i="1"/>
  <c r="I53" i="1" s="1"/>
  <c r="G54" i="1"/>
  <c r="J54" i="1" s="1"/>
  <c r="G57" i="1"/>
  <c r="I57" i="1" s="1"/>
  <c r="I18" i="3" s="1"/>
  <c r="K57" i="1"/>
  <c r="L57" i="1"/>
  <c r="N57" i="1"/>
  <c r="H18" i="3" s="1"/>
  <c r="K60" i="1"/>
  <c r="L60" i="1"/>
  <c r="F19" i="3" s="1"/>
  <c r="N60" i="1"/>
  <c r="H19" i="3" s="1"/>
  <c r="I19" i="1" l="1"/>
  <c r="I52" i="1"/>
  <c r="J52" i="1"/>
  <c r="L59" i="1"/>
  <c r="F18" i="3"/>
  <c r="F30" i="3" s="1"/>
  <c r="E28" i="3"/>
  <c r="N161" i="2"/>
  <c r="M44" i="1"/>
  <c r="K26" i="2"/>
  <c r="H27" i="2"/>
  <c r="J19" i="1"/>
  <c r="I50" i="1"/>
  <c r="I60" i="1"/>
  <c r="I19" i="3" s="1"/>
  <c r="I54" i="1"/>
  <c r="M52" i="1"/>
  <c r="O52" i="1" s="1"/>
  <c r="G26" i="3"/>
  <c r="J26" i="3" s="1"/>
  <c r="E26" i="3"/>
  <c r="I25" i="3"/>
  <c r="I44" i="1"/>
  <c r="I41" i="1"/>
  <c r="J57" i="1"/>
  <c r="M38" i="1"/>
  <c r="M28" i="1"/>
  <c r="O28" i="1" s="1"/>
  <c r="M50" i="1"/>
  <c r="O50" i="1" s="1"/>
  <c r="M48" i="1"/>
  <c r="O48" i="1" s="1"/>
  <c r="I28" i="1"/>
  <c r="N114" i="2"/>
  <c r="J62" i="2"/>
  <c r="K162" i="2"/>
  <c r="K114" i="2"/>
  <c r="K115" i="2"/>
  <c r="M29" i="1"/>
  <c r="P29" i="1" s="1"/>
  <c r="M54" i="1"/>
  <c r="P54" i="1" s="1"/>
  <c r="P50" i="1"/>
  <c r="M57" i="1"/>
  <c r="M53" i="1"/>
  <c r="O53" i="1" s="1"/>
  <c r="J32" i="1"/>
  <c r="M41" i="1"/>
  <c r="M32" i="1"/>
  <c r="M19" i="1"/>
  <c r="O19" i="1" s="1"/>
  <c r="M60" i="1"/>
  <c r="M35" i="1"/>
  <c r="J29" i="1"/>
  <c r="M27" i="1"/>
  <c r="O27" i="1" s="1"/>
  <c r="J27" i="1"/>
  <c r="M25" i="1"/>
  <c r="O25" i="1" s="1"/>
  <c r="M21" i="1"/>
  <c r="O21" i="1" s="1"/>
  <c r="J21" i="1"/>
  <c r="M47" i="1"/>
  <c r="P47" i="1" s="1"/>
  <c r="J53" i="1"/>
  <c r="J60" i="1"/>
  <c r="J38" i="1"/>
  <c r="J48" i="1"/>
  <c r="J47" i="1"/>
  <c r="J35" i="1"/>
  <c r="Q161" i="2" l="1"/>
  <c r="P161" i="2"/>
  <c r="I28" i="3" s="1"/>
  <c r="O32" i="1"/>
  <c r="I12" i="3" s="1"/>
  <c r="G12" i="3"/>
  <c r="P44" i="1"/>
  <c r="J16" i="3" s="1"/>
  <c r="G16" i="3"/>
  <c r="O41" i="1"/>
  <c r="I15" i="3" s="1"/>
  <c r="G15" i="3"/>
  <c r="O57" i="1"/>
  <c r="G18" i="3"/>
  <c r="P35" i="1"/>
  <c r="J13" i="3" s="1"/>
  <c r="G13" i="3"/>
  <c r="P60" i="1"/>
  <c r="J19" i="3" s="1"/>
  <c r="G19" i="3"/>
  <c r="O38" i="1"/>
  <c r="I14" i="3" s="1"/>
  <c r="G14" i="3"/>
  <c r="O44" i="1"/>
  <c r="I16" i="3" s="1"/>
  <c r="O29" i="1"/>
  <c r="P38" i="1"/>
  <c r="J14" i="3" s="1"/>
  <c r="J27" i="2"/>
  <c r="K27" i="2"/>
  <c r="O54" i="1"/>
  <c r="P52" i="1"/>
  <c r="P28" i="1"/>
  <c r="P57" i="1"/>
  <c r="J18" i="3" s="1"/>
  <c r="P53" i="1"/>
  <c r="I26" i="3"/>
  <c r="G25" i="3"/>
  <c r="J25" i="3" s="1"/>
  <c r="Q114" i="2"/>
  <c r="G27" i="3"/>
  <c r="J27" i="3" s="1"/>
  <c r="G28" i="3"/>
  <c r="J28" i="3" s="1"/>
  <c r="P48" i="1"/>
  <c r="K62" i="2"/>
  <c r="P114" i="2"/>
  <c r="I27" i="3" s="1"/>
  <c r="O35" i="1"/>
  <c r="I13" i="3" s="1"/>
  <c r="P19" i="1"/>
  <c r="P21" i="1"/>
  <c r="O60" i="1"/>
  <c r="P41" i="1"/>
  <c r="J15" i="3" s="1"/>
  <c r="O47" i="1"/>
  <c r="P25" i="1"/>
  <c r="P32" i="1"/>
  <c r="J12" i="3" s="1"/>
  <c r="P27" i="1"/>
  <c r="E118" i="4" l="1"/>
  <c r="I118" i="4" s="1"/>
  <c r="J118" i="4" l="1"/>
  <c r="M51" i="1" l="1"/>
  <c r="G51" i="1"/>
  <c r="G49" i="1" l="1"/>
  <c r="I51" i="1"/>
  <c r="J51" i="1"/>
  <c r="O51" i="1"/>
  <c r="P51" i="1"/>
  <c r="J49" i="1" l="1"/>
  <c r="I49" i="1"/>
  <c r="M49" i="1"/>
  <c r="G17" i="3" s="1"/>
  <c r="O49" i="1" l="1"/>
  <c r="I17" i="3" s="1"/>
  <c r="P49" i="1"/>
  <c r="B3" i="2" l="1"/>
  <c r="M24" i="1" l="1"/>
  <c r="G11" i="3" s="1"/>
  <c r="J24" i="1"/>
  <c r="I24" i="1"/>
  <c r="J11" i="3" l="1"/>
  <c r="O24" i="1"/>
  <c r="I11" i="3" s="1"/>
  <c r="P24" i="1"/>
  <c r="M133" i="2" l="1"/>
  <c r="I101" i="6" l="1"/>
  <c r="K101" i="6"/>
  <c r="I102" i="6"/>
  <c r="K102" i="6"/>
  <c r="H102" i="6"/>
  <c r="H101" i="6"/>
  <c r="I98" i="6"/>
  <c r="K98" i="6"/>
  <c r="I99" i="6"/>
  <c r="K99" i="6"/>
  <c r="H99" i="6"/>
  <c r="H98" i="6"/>
  <c r="I95" i="6"/>
  <c r="K95" i="6"/>
  <c r="I96" i="6"/>
  <c r="K96" i="6"/>
  <c r="H95" i="6"/>
  <c r="I92" i="6"/>
  <c r="K92" i="6"/>
  <c r="I93" i="6"/>
  <c r="K93" i="6"/>
  <c r="H93" i="6"/>
  <c r="H92" i="6"/>
  <c r="I89" i="6"/>
  <c r="K89" i="6"/>
  <c r="I90" i="6"/>
  <c r="K90" i="6"/>
  <c r="H89" i="6"/>
  <c r="K86" i="6"/>
  <c r="I87" i="6"/>
  <c r="K87" i="6"/>
  <c r="H87" i="6"/>
  <c r="H86" i="6"/>
  <c r="I83" i="6"/>
  <c r="K83" i="6"/>
  <c r="I84" i="6"/>
  <c r="K84" i="6"/>
  <c r="H83" i="6"/>
  <c r="I80" i="6"/>
  <c r="K80" i="6"/>
  <c r="I81" i="6"/>
  <c r="K81" i="6"/>
  <c r="H80" i="6"/>
  <c r="K77" i="6"/>
  <c r="I78" i="6"/>
  <c r="K78" i="6"/>
  <c r="H78" i="6"/>
  <c r="H77" i="6"/>
  <c r="K74" i="6"/>
  <c r="I75" i="6"/>
  <c r="K75" i="6"/>
  <c r="H74" i="6"/>
  <c r="K71" i="6"/>
  <c r="I72" i="6"/>
  <c r="K72" i="6"/>
  <c r="H71" i="6"/>
  <c r="I68" i="6"/>
  <c r="K68" i="6"/>
  <c r="I69" i="6"/>
  <c r="K69" i="6"/>
  <c r="H69" i="6"/>
  <c r="H68" i="6"/>
  <c r="I65" i="6"/>
  <c r="K65" i="6"/>
  <c r="I66" i="6"/>
  <c r="K66" i="6"/>
  <c r="H66" i="6"/>
  <c r="O128" i="6"/>
  <c r="P128" i="6" s="1"/>
  <c r="O129" i="6"/>
  <c r="P129" i="6" s="1"/>
  <c r="O130" i="6"/>
  <c r="P130" i="6" s="1"/>
  <c r="O29" i="6"/>
  <c r="P29" i="6" s="1"/>
  <c r="O30" i="6"/>
  <c r="P30" i="6" s="1"/>
  <c r="O31" i="6"/>
  <c r="P31" i="6" s="1"/>
  <c r="O101" i="6"/>
  <c r="P101" i="6" s="1"/>
  <c r="O102" i="6"/>
  <c r="P102" i="6" s="1"/>
  <c r="O103" i="6"/>
  <c r="P103" i="6" s="1"/>
  <c r="B3" i="5"/>
  <c r="B3" i="4"/>
  <c r="I143" i="6" l="1"/>
  <c r="K143" i="6"/>
  <c r="I144" i="6"/>
  <c r="K144" i="6"/>
  <c r="H144" i="6"/>
  <c r="H143" i="6"/>
  <c r="I140" i="6"/>
  <c r="K140" i="6"/>
  <c r="I141" i="6"/>
  <c r="K141" i="6"/>
  <c r="H141" i="6"/>
  <c r="H140" i="6"/>
  <c r="I137" i="6"/>
  <c r="K137" i="6"/>
  <c r="I138" i="6"/>
  <c r="K138" i="6"/>
  <c r="H138" i="6"/>
  <c r="H137" i="6"/>
  <c r="K134" i="6"/>
  <c r="I135" i="6"/>
  <c r="K135" i="6"/>
  <c r="H135" i="6"/>
  <c r="H134" i="6"/>
  <c r="I131" i="6"/>
  <c r="K131" i="6"/>
  <c r="I132" i="6"/>
  <c r="K132" i="6"/>
  <c r="H132" i="6"/>
  <c r="H131" i="6"/>
  <c r="I128" i="6"/>
  <c r="K128" i="6"/>
  <c r="I129" i="6"/>
  <c r="K129" i="6"/>
  <c r="H129" i="6"/>
  <c r="H128" i="6"/>
  <c r="K125" i="6"/>
  <c r="I126" i="6"/>
  <c r="K126" i="6"/>
  <c r="H126" i="6"/>
  <c r="H125" i="6"/>
  <c r="I122" i="6"/>
  <c r="K122" i="6"/>
  <c r="I123" i="6"/>
  <c r="K123" i="6"/>
  <c r="H123" i="6"/>
  <c r="H122" i="6"/>
  <c r="I119" i="6"/>
  <c r="K119" i="6"/>
  <c r="I120" i="6"/>
  <c r="K120" i="6"/>
  <c r="H120" i="6"/>
  <c r="H119" i="6"/>
  <c r="I116" i="6"/>
  <c r="K116" i="6"/>
  <c r="I117" i="6"/>
  <c r="K117" i="6"/>
  <c r="H117" i="6"/>
  <c r="H116" i="6"/>
  <c r="I113" i="6"/>
  <c r="K113" i="6"/>
  <c r="I114" i="6"/>
  <c r="K114" i="6"/>
  <c r="H114" i="6"/>
  <c r="H113" i="6"/>
  <c r="I110" i="6"/>
  <c r="K110" i="6"/>
  <c r="I111" i="6"/>
  <c r="K111" i="6"/>
  <c r="H111" i="6"/>
  <c r="H110" i="6"/>
  <c r="K107" i="6"/>
  <c r="I108" i="6"/>
  <c r="K108" i="6"/>
  <c r="H108" i="6"/>
  <c r="H107" i="6"/>
  <c r="I59" i="6"/>
  <c r="K59" i="6"/>
  <c r="I60" i="6"/>
  <c r="K60" i="6"/>
  <c r="H60" i="6"/>
  <c r="H59" i="6"/>
  <c r="I56" i="6"/>
  <c r="K56" i="6"/>
  <c r="I57" i="6"/>
  <c r="K57" i="6"/>
  <c r="H57" i="6"/>
  <c r="H56" i="6"/>
  <c r="I53" i="6"/>
  <c r="K53" i="6"/>
  <c r="I54" i="6"/>
  <c r="K54" i="6"/>
  <c r="H54" i="6"/>
  <c r="H53" i="6"/>
  <c r="K50" i="6"/>
  <c r="I51" i="6"/>
  <c r="K51" i="6"/>
  <c r="H51" i="6"/>
  <c r="H50" i="6"/>
  <c r="I47" i="6"/>
  <c r="K47" i="6"/>
  <c r="I48" i="6"/>
  <c r="K48" i="6"/>
  <c r="H48" i="6"/>
  <c r="H47" i="6"/>
  <c r="I44" i="6"/>
  <c r="K44" i="6"/>
  <c r="I45" i="6"/>
  <c r="K45" i="6"/>
  <c r="H45" i="6"/>
  <c r="H44" i="6"/>
  <c r="I41" i="6"/>
  <c r="K41" i="6"/>
  <c r="I42" i="6"/>
  <c r="K42" i="6"/>
  <c r="H42" i="6"/>
  <c r="H41" i="6"/>
  <c r="I38" i="6"/>
  <c r="K38" i="6"/>
  <c r="I39" i="6"/>
  <c r="K39" i="6"/>
  <c r="H39" i="6"/>
  <c r="H38" i="6"/>
  <c r="I35" i="6"/>
  <c r="K35" i="6"/>
  <c r="I36" i="6"/>
  <c r="K36" i="6"/>
  <c r="H36" i="6"/>
  <c r="H35" i="6"/>
  <c r="E60" i="6"/>
  <c r="E61" i="6"/>
  <c r="E59" i="6"/>
  <c r="E57" i="6"/>
  <c r="E58" i="6"/>
  <c r="E56" i="6"/>
  <c r="E54" i="6"/>
  <c r="E55" i="6"/>
  <c r="E53" i="6"/>
  <c r="E51" i="6"/>
  <c r="E52" i="6"/>
  <c r="E50" i="6"/>
  <c r="E48" i="6"/>
  <c r="E49" i="6"/>
  <c r="E47" i="6"/>
  <c r="E45" i="6"/>
  <c r="E46" i="6"/>
  <c r="E44" i="6"/>
  <c r="E42" i="6"/>
  <c r="E43" i="6"/>
  <c r="E41" i="6"/>
  <c r="E39" i="6"/>
  <c r="E40" i="6"/>
  <c r="E38" i="6"/>
  <c r="E37" i="6"/>
  <c r="E36" i="6"/>
  <c r="E35" i="6"/>
  <c r="E33" i="6"/>
  <c r="E34" i="6"/>
  <c r="E32" i="6"/>
  <c r="E30" i="6"/>
  <c r="E31" i="6"/>
  <c r="E29" i="6"/>
  <c r="E27" i="6"/>
  <c r="E28" i="6"/>
  <c r="E26" i="6"/>
  <c r="I32" i="6"/>
  <c r="K32" i="6"/>
  <c r="I33" i="6"/>
  <c r="K33" i="6"/>
  <c r="I29" i="6"/>
  <c r="K29" i="6"/>
  <c r="I30" i="6"/>
  <c r="K30" i="6"/>
  <c r="H30" i="6"/>
  <c r="H29" i="6"/>
  <c r="H33" i="6"/>
  <c r="H32" i="6"/>
  <c r="I26" i="6"/>
  <c r="K26" i="6"/>
  <c r="I27" i="6"/>
  <c r="K27" i="6"/>
  <c r="E144" i="6"/>
  <c r="E145" i="6"/>
  <c r="E143" i="6"/>
  <c r="E141" i="6"/>
  <c r="E142" i="6"/>
  <c r="E140" i="6"/>
  <c r="E138" i="6"/>
  <c r="E139" i="6"/>
  <c r="E137" i="6"/>
  <c r="E135" i="6"/>
  <c r="E136" i="6"/>
  <c r="E134" i="6"/>
  <c r="E132" i="6"/>
  <c r="E133" i="6"/>
  <c r="E131" i="6"/>
  <c r="E129" i="6"/>
  <c r="E130" i="6"/>
  <c r="E128" i="6"/>
  <c r="E126" i="6"/>
  <c r="E127" i="6"/>
  <c r="E125" i="6"/>
  <c r="E123" i="6"/>
  <c r="E124" i="6"/>
  <c r="E122" i="6"/>
  <c r="E120" i="6"/>
  <c r="E121" i="6"/>
  <c r="E119" i="6"/>
  <c r="E117" i="6"/>
  <c r="E118" i="6"/>
  <c r="E116" i="6"/>
  <c r="E114" i="6"/>
  <c r="E115" i="6"/>
  <c r="E113" i="6"/>
  <c r="E111" i="6"/>
  <c r="E112" i="6"/>
  <c r="E110" i="6"/>
  <c r="E108" i="6"/>
  <c r="E109" i="6"/>
  <c r="E107" i="6"/>
  <c r="E102" i="6"/>
  <c r="E103" i="6"/>
  <c r="E101" i="6"/>
  <c r="E99" i="6"/>
  <c r="E100" i="6"/>
  <c r="E98" i="6"/>
  <c r="E96" i="6"/>
  <c r="E97" i="6"/>
  <c r="E95" i="6"/>
  <c r="E93" i="6"/>
  <c r="E94" i="6"/>
  <c r="E92" i="6"/>
  <c r="E90" i="6"/>
  <c r="E91" i="6"/>
  <c r="E89" i="6"/>
  <c r="E87" i="6"/>
  <c r="E88" i="6"/>
  <c r="E86" i="6"/>
  <c r="E84" i="6"/>
  <c r="E85" i="6"/>
  <c r="E83" i="6"/>
  <c r="E81" i="6"/>
  <c r="E82" i="6"/>
  <c r="E80" i="6"/>
  <c r="E78" i="6"/>
  <c r="E79" i="6"/>
  <c r="E77" i="6"/>
  <c r="E75" i="6"/>
  <c r="E76" i="6"/>
  <c r="E74" i="6"/>
  <c r="E72" i="6"/>
  <c r="E73" i="6"/>
  <c r="E71" i="6"/>
  <c r="E69" i="6"/>
  <c r="E70" i="6"/>
  <c r="E68" i="6"/>
  <c r="E66" i="6"/>
  <c r="E67" i="6"/>
  <c r="E65" i="6"/>
  <c r="G18" i="1" l="1"/>
  <c r="G10" i="3" s="1"/>
  <c r="G6" i="1"/>
  <c r="J6" i="1" s="1"/>
  <c r="I18" i="1" l="1"/>
  <c r="I6" i="1"/>
  <c r="M6" i="1"/>
  <c r="I74" i="6"/>
  <c r="H41" i="2"/>
  <c r="O6" i="1" l="1"/>
  <c r="I6" i="3" s="1"/>
  <c r="G6" i="3"/>
  <c r="J41" i="6"/>
  <c r="K41" i="2"/>
  <c r="I71" i="6" l="1"/>
  <c r="I77" i="6"/>
  <c r="I125" i="6"/>
  <c r="I107" i="6" l="1"/>
  <c r="O205" i="6"/>
  <c r="P205" i="6" s="1"/>
  <c r="O199" i="6"/>
  <c r="P199" i="6" s="1"/>
  <c r="O200" i="6"/>
  <c r="P200" i="6" s="1"/>
  <c r="O201" i="6"/>
  <c r="P201" i="6" s="1"/>
  <c r="O202" i="6"/>
  <c r="P202" i="6" s="1"/>
  <c r="K203" i="6"/>
  <c r="O203" i="6"/>
  <c r="P203" i="6" s="1"/>
  <c r="O204" i="6"/>
  <c r="P204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H155" i="6"/>
  <c r="H153" i="6"/>
  <c r="H90" i="2" l="1"/>
  <c r="L90" i="2"/>
  <c r="H103" i="6" s="1"/>
  <c r="M90" i="2"/>
  <c r="I103" i="6" s="1"/>
  <c r="O90" i="2"/>
  <c r="M88" i="2"/>
  <c r="I100" i="6" s="1"/>
  <c r="O88" i="2"/>
  <c r="L88" i="2"/>
  <c r="H100" i="6" s="1"/>
  <c r="H88" i="2"/>
  <c r="J98" i="6" l="1"/>
  <c r="K88" i="2"/>
  <c r="M98" i="6" s="1"/>
  <c r="K103" i="6"/>
  <c r="K100" i="6"/>
  <c r="J101" i="6"/>
  <c r="K90" i="2"/>
  <c r="M101" i="6" s="1"/>
  <c r="J88" i="2"/>
  <c r="L98" i="6" s="1"/>
  <c r="N90" i="2"/>
  <c r="J103" i="6" s="1"/>
  <c r="J90" i="2"/>
  <c r="L101" i="6" s="1"/>
  <c r="N88" i="2"/>
  <c r="J100" i="6" s="1"/>
  <c r="L53" i="2"/>
  <c r="M53" i="2"/>
  <c r="I61" i="6" s="1"/>
  <c r="O53" i="2"/>
  <c r="Q90" i="2" l="1"/>
  <c r="M103" i="6" s="1"/>
  <c r="Q88" i="2"/>
  <c r="M100" i="6" s="1"/>
  <c r="K61" i="6"/>
  <c r="H89" i="2"/>
  <c r="P90" i="2"/>
  <c r="L103" i="6" s="1"/>
  <c r="P88" i="2"/>
  <c r="L100" i="6" s="1"/>
  <c r="N53" i="2"/>
  <c r="H61" i="6"/>
  <c r="H91" i="2"/>
  <c r="J102" i="6" l="1"/>
  <c r="K91" i="2"/>
  <c r="K89" i="2"/>
  <c r="M99" i="6" s="1"/>
  <c r="M61" i="6"/>
  <c r="J89" i="2"/>
  <c r="L99" i="6" s="1"/>
  <c r="J99" i="6"/>
  <c r="P53" i="2"/>
  <c r="L61" i="6" s="1"/>
  <c r="J61" i="6"/>
  <c r="J91" i="2"/>
  <c r="L102" i="6" s="1"/>
  <c r="H141" i="2"/>
  <c r="L141" i="2"/>
  <c r="H142" i="6" s="1"/>
  <c r="M141" i="2"/>
  <c r="I142" i="6" s="1"/>
  <c r="O141" i="2"/>
  <c r="J140" i="6" l="1"/>
  <c r="K141" i="2"/>
  <c r="M140" i="6" s="1"/>
  <c r="K142" i="6"/>
  <c r="N141" i="2"/>
  <c r="Q141" i="2" s="1"/>
  <c r="J141" i="2"/>
  <c r="I134" i="6"/>
  <c r="I86" i="6"/>
  <c r="H142" i="2" l="1"/>
  <c r="K142" i="2" s="1"/>
  <c r="L140" i="6"/>
  <c r="P141" i="2"/>
  <c r="L142" i="6" s="1"/>
  <c r="J142" i="6"/>
  <c r="M142" i="6"/>
  <c r="J141" i="6" l="1"/>
  <c r="J142" i="2"/>
  <c r="L141" i="6" s="1"/>
  <c r="M141" i="6"/>
  <c r="M12" i="2" l="1"/>
  <c r="I13" i="6" s="1"/>
  <c r="I50" i="6" l="1"/>
  <c r="E7" i="6"/>
  <c r="E6" i="6"/>
  <c r="E5" i="6"/>
  <c r="E3" i="6"/>
  <c r="E4" i="6"/>
  <c r="E2" i="6"/>
  <c r="H201" i="6" l="1"/>
  <c r="H53" i="2"/>
  <c r="K53" i="2" s="1"/>
  <c r="N169" i="6"/>
  <c r="I171" i="6"/>
  <c r="K171" i="6"/>
  <c r="I169" i="6"/>
  <c r="K169" i="6"/>
  <c r="H169" i="6"/>
  <c r="E170" i="6"/>
  <c r="E169" i="6"/>
  <c r="N167" i="6"/>
  <c r="I167" i="6"/>
  <c r="K167" i="6"/>
  <c r="H167" i="6"/>
  <c r="N163" i="6"/>
  <c r="I163" i="6"/>
  <c r="K163" i="6"/>
  <c r="H163" i="6"/>
  <c r="K202" i="6"/>
  <c r="K201" i="6"/>
  <c r="K200" i="6"/>
  <c r="H202" i="6"/>
  <c r="H200" i="6"/>
  <c r="H199" i="6"/>
  <c r="I200" i="6"/>
  <c r="I202" i="6"/>
  <c r="J53" i="2" l="1"/>
  <c r="J59" i="6"/>
  <c r="I199" i="6"/>
  <c r="K199" i="6"/>
  <c r="G7" i="7"/>
  <c r="J22" i="3" s="1"/>
  <c r="F7" i="7"/>
  <c r="I22" i="3" s="1"/>
  <c r="M59" i="6"/>
  <c r="H54" i="2" l="1"/>
  <c r="K54" i="2" s="1"/>
  <c r="L59" i="6"/>
  <c r="I201" i="6"/>
  <c r="E168" i="6"/>
  <c r="E167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H38" i="3"/>
  <c r="I23" i="3" s="1"/>
  <c r="O169" i="6"/>
  <c r="P169" i="6" s="1"/>
  <c r="O170" i="6"/>
  <c r="P170" i="6" s="1"/>
  <c r="I29" i="3"/>
  <c r="G20" i="3"/>
  <c r="J20" i="3" s="1"/>
  <c r="G21" i="3"/>
  <c r="G22" i="3"/>
  <c r="H212" i="6"/>
  <c r="H211" i="6"/>
  <c r="H210" i="6"/>
  <c r="H209" i="6"/>
  <c r="H208" i="6"/>
  <c r="H207" i="6"/>
  <c r="H206" i="6"/>
  <c r="H205" i="6"/>
  <c r="E8" i="3"/>
  <c r="E30" i="3" s="1"/>
  <c r="H204" i="6"/>
  <c r="J202" i="6"/>
  <c r="J201" i="6"/>
  <c r="J200" i="6"/>
  <c r="H213" i="6" l="1"/>
  <c r="K211" i="6"/>
  <c r="K212" i="6"/>
  <c r="K205" i="6"/>
  <c r="K206" i="6"/>
  <c r="K213" i="6"/>
  <c r="K207" i="6"/>
  <c r="K208" i="6"/>
  <c r="K204" i="6"/>
  <c r="K209" i="6"/>
  <c r="H203" i="6"/>
  <c r="K210" i="6"/>
  <c r="J60" i="6"/>
  <c r="M60" i="6"/>
  <c r="J54" i="2"/>
  <c r="L60" i="6" s="1"/>
  <c r="L199" i="6"/>
  <c r="J199" i="6"/>
  <c r="I20" i="3"/>
  <c r="L201" i="6"/>
  <c r="M201" i="6"/>
  <c r="L200" i="6"/>
  <c r="L202" i="6"/>
  <c r="M202" i="6"/>
  <c r="M200" i="6"/>
  <c r="M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G24" i="3" l="1"/>
  <c r="M84" i="2" l="1"/>
  <c r="I94" i="6" s="1"/>
  <c r="L84" i="2"/>
  <c r="N84" i="2" l="1"/>
  <c r="J94" i="6" s="1"/>
  <c r="O95" i="6" l="1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0" i="6"/>
  <c r="P140" i="6" s="1"/>
  <c r="O141" i="6"/>
  <c r="P141" i="6" s="1"/>
  <c r="O142" i="6"/>
  <c r="P142" i="6" s="1"/>
  <c r="O143" i="6"/>
  <c r="P143" i="6" s="1"/>
  <c r="O144" i="6"/>
  <c r="P144" i="6" s="1"/>
  <c r="O145" i="6"/>
  <c r="P145" i="6" s="1"/>
  <c r="O149" i="6"/>
  <c r="P149" i="6" s="1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7" i="6"/>
  <c r="P167" i="6" s="1"/>
  <c r="O168" i="6"/>
  <c r="P168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88" i="6"/>
  <c r="P188" i="6" s="1"/>
  <c r="O189" i="6"/>
  <c r="P189" i="6" s="1"/>
  <c r="O190" i="6"/>
  <c r="P190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3" i="6"/>
  <c r="P3" i="6" s="1"/>
  <c r="O4" i="6"/>
  <c r="P4" i="6" s="1"/>
  <c r="O5" i="6"/>
  <c r="P5" i="6" s="1"/>
  <c r="O6" i="6"/>
  <c r="P6" i="6" s="1"/>
  <c r="O7" i="6"/>
  <c r="P7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6" i="6"/>
  <c r="P26" i="6" s="1"/>
  <c r="O27" i="6"/>
  <c r="P27" i="6" s="1"/>
  <c r="O28" i="6"/>
  <c r="P28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H96" i="6"/>
  <c r="H84" i="6"/>
  <c r="H75" i="6"/>
  <c r="O2" i="6" l="1"/>
  <c r="P2" i="6" s="1"/>
  <c r="H90" i="6"/>
  <c r="H81" i="6"/>
  <c r="H72" i="6"/>
  <c r="H65" i="6" l="1"/>
  <c r="J14" i="6"/>
  <c r="K8" i="2"/>
  <c r="O18" i="2"/>
  <c r="K22" i="6" s="1"/>
  <c r="O16" i="2"/>
  <c r="K19" i="6" s="1"/>
  <c r="O14" i="2"/>
  <c r="K16" i="6" s="1"/>
  <c r="O12" i="2"/>
  <c r="K13" i="6" s="1"/>
  <c r="O8" i="2"/>
  <c r="O6" i="2"/>
  <c r="M18" i="2"/>
  <c r="I22" i="6" s="1"/>
  <c r="M16" i="2"/>
  <c r="I19" i="6" s="1"/>
  <c r="M14" i="2"/>
  <c r="I16" i="6" s="1"/>
  <c r="M8" i="2"/>
  <c r="M6" i="2"/>
  <c r="L18" i="2"/>
  <c r="H22" i="6" s="1"/>
  <c r="L16" i="2"/>
  <c r="H19" i="6" s="1"/>
  <c r="L14" i="2"/>
  <c r="H16" i="6" s="1"/>
  <c r="L12" i="2"/>
  <c r="L8" i="2"/>
  <c r="L6" i="2"/>
  <c r="H164" i="6"/>
  <c r="K164" i="6"/>
  <c r="N12" i="2" l="1"/>
  <c r="J13" i="6" s="1"/>
  <c r="H13" i="6"/>
  <c r="K12" i="2"/>
  <c r="M11" i="6" s="1"/>
  <c r="J11" i="6"/>
  <c r="K14" i="2"/>
  <c r="M14" i="6" s="1"/>
  <c r="N6" i="2"/>
  <c r="P6" i="2" s="1"/>
  <c r="N8" i="2"/>
  <c r="J163" i="6"/>
  <c r="J6" i="2"/>
  <c r="H7" i="2" s="1"/>
  <c r="N18" i="2"/>
  <c r="J22" i="6" s="1"/>
  <c r="M163" i="6"/>
  <c r="N14" i="2"/>
  <c r="N16" i="2"/>
  <c r="P12" i="2" l="1"/>
  <c r="L13" i="6" s="1"/>
  <c r="Q12" i="2"/>
  <c r="M13" i="6" s="1"/>
  <c r="Q16" i="2"/>
  <c r="M19" i="6" s="1"/>
  <c r="J19" i="6"/>
  <c r="Q14" i="2"/>
  <c r="M16" i="6" s="1"/>
  <c r="J16" i="6"/>
  <c r="P8" i="2"/>
  <c r="M22" i="6"/>
  <c r="Q6" i="2"/>
  <c r="L164" i="6"/>
  <c r="J164" i="6"/>
  <c r="P14" i="2"/>
  <c r="L16" i="6" s="1"/>
  <c r="P16" i="2"/>
  <c r="L19" i="6" s="1"/>
  <c r="L163" i="6"/>
  <c r="P18" i="2"/>
  <c r="L22" i="6" s="1"/>
  <c r="M164" i="6"/>
  <c r="H135" i="2" l="1"/>
  <c r="H133" i="2"/>
  <c r="H131" i="2"/>
  <c r="H127" i="2"/>
  <c r="H125" i="2"/>
  <c r="H123" i="2"/>
  <c r="H121" i="2"/>
  <c r="H86" i="2"/>
  <c r="H84" i="2"/>
  <c r="H82" i="2"/>
  <c r="H80" i="2"/>
  <c r="H78" i="2"/>
  <c r="H76" i="2"/>
  <c r="H74" i="2"/>
  <c r="H72" i="2"/>
  <c r="H70" i="2"/>
  <c r="H68" i="2"/>
  <c r="H51" i="2"/>
  <c r="H49" i="2"/>
  <c r="K49" i="2" s="1"/>
  <c r="H47" i="2"/>
  <c r="K47" i="2" s="1"/>
  <c r="H45" i="2"/>
  <c r="K45" i="2" s="1"/>
  <c r="H43" i="2"/>
  <c r="K43" i="2" s="1"/>
  <c r="M41" i="6"/>
  <c r="H39" i="2"/>
  <c r="K39" i="2" s="1"/>
  <c r="H37" i="2"/>
  <c r="K37" i="2" s="1"/>
  <c r="H35" i="2"/>
  <c r="K35" i="2" s="1"/>
  <c r="H33" i="2"/>
  <c r="K33" i="2" s="1"/>
  <c r="J20" i="6"/>
  <c r="J17" i="6"/>
  <c r="J14" i="2"/>
  <c r="J12" i="2"/>
  <c r="G15" i="1"/>
  <c r="J153" i="6" s="1"/>
  <c r="G12" i="1"/>
  <c r="L14" i="6" l="1"/>
  <c r="H15" i="2"/>
  <c r="L11" i="6"/>
  <c r="H13" i="2"/>
  <c r="J128" i="6"/>
  <c r="K133" i="2"/>
  <c r="M128" i="6" s="1"/>
  <c r="J110" i="6"/>
  <c r="K121" i="2"/>
  <c r="J89" i="6"/>
  <c r="K82" i="2"/>
  <c r="M89" i="6" s="1"/>
  <c r="J119" i="6"/>
  <c r="K127" i="2"/>
  <c r="M119" i="6" s="1"/>
  <c r="J86" i="6"/>
  <c r="K80" i="2"/>
  <c r="M86" i="6" s="1"/>
  <c r="J134" i="6"/>
  <c r="M134" i="6"/>
  <c r="J95" i="6"/>
  <c r="K86" i="2"/>
  <c r="J122" i="6"/>
  <c r="K129" i="2"/>
  <c r="M122" i="6" s="1"/>
  <c r="J80" i="6"/>
  <c r="K76" i="2"/>
  <c r="M80" i="6" s="1"/>
  <c r="J83" i="6"/>
  <c r="K78" i="2"/>
  <c r="M83" i="6" s="1"/>
  <c r="J131" i="6"/>
  <c r="K135" i="2"/>
  <c r="M131" i="6" s="1"/>
  <c r="J113" i="6"/>
  <c r="K123" i="2"/>
  <c r="M113" i="6" s="1"/>
  <c r="J68" i="6"/>
  <c r="K68" i="2"/>
  <c r="M68" i="6" s="1"/>
  <c r="J116" i="6"/>
  <c r="K125" i="2"/>
  <c r="M116" i="6" s="1"/>
  <c r="J71" i="6"/>
  <c r="K70" i="2"/>
  <c r="M71" i="6" s="1"/>
  <c r="J92" i="6"/>
  <c r="K84" i="2"/>
  <c r="M92" i="6" s="1"/>
  <c r="J74" i="6"/>
  <c r="K72" i="2"/>
  <c r="M74" i="6" s="1"/>
  <c r="J77" i="6"/>
  <c r="K74" i="2"/>
  <c r="M77" i="6" s="1"/>
  <c r="J125" i="6"/>
  <c r="K131" i="2"/>
  <c r="M125" i="6" s="1"/>
  <c r="J56" i="6"/>
  <c r="K51" i="2"/>
  <c r="M56" i="6" s="1"/>
  <c r="K16" i="2"/>
  <c r="M17" i="6" s="1"/>
  <c r="K18" i="2"/>
  <c r="M20" i="6" s="1"/>
  <c r="M29" i="6"/>
  <c r="J29" i="6"/>
  <c r="M102" i="6"/>
  <c r="M32" i="6"/>
  <c r="J32" i="6"/>
  <c r="M47" i="6"/>
  <c r="J47" i="6"/>
  <c r="M38" i="6"/>
  <c r="J38" i="6"/>
  <c r="M50" i="6"/>
  <c r="J50" i="6"/>
  <c r="M35" i="6"/>
  <c r="J35" i="6"/>
  <c r="M44" i="6"/>
  <c r="J44" i="6"/>
  <c r="M53" i="6"/>
  <c r="J53" i="6"/>
  <c r="L134" i="6"/>
  <c r="J18" i="2"/>
  <c r="J15" i="6"/>
  <c r="J16" i="2"/>
  <c r="J8" i="2"/>
  <c r="L17" i="6" l="1"/>
  <c r="H17" i="2"/>
  <c r="J18" i="6" s="1"/>
  <c r="L20" i="6"/>
  <c r="H19" i="2"/>
  <c r="J21" i="6" s="1"/>
  <c r="H9" i="2"/>
  <c r="K9" i="2" s="1"/>
  <c r="K13" i="2"/>
  <c r="M12" i="6" s="1"/>
  <c r="J12" i="6"/>
  <c r="K15" i="2"/>
  <c r="M15" i="6" s="1"/>
  <c r="M110" i="6"/>
  <c r="J15" i="1"/>
  <c r="K19" i="2" l="1"/>
  <c r="M21" i="6" s="1"/>
  <c r="K17" i="2"/>
  <c r="M18" i="6" s="1"/>
  <c r="J17" i="2"/>
  <c r="L18" i="6" s="1"/>
  <c r="I15" i="1"/>
  <c r="M72" i="2" l="1"/>
  <c r="I76" i="6" s="1"/>
  <c r="G9" i="1" l="1"/>
  <c r="H150" i="6"/>
  <c r="H154" i="6"/>
  <c r="H2" i="6"/>
  <c r="H66" i="2"/>
  <c r="J65" i="6" s="1"/>
  <c r="H139" i="2"/>
  <c r="K139" i="2" s="1"/>
  <c r="O33" i="2"/>
  <c r="K31" i="6" s="1"/>
  <c r="O35" i="2"/>
  <c r="K34" i="6" s="1"/>
  <c r="O37" i="2"/>
  <c r="K37" i="6" s="1"/>
  <c r="O39" i="2"/>
  <c r="K40" i="6" s="1"/>
  <c r="O41" i="2"/>
  <c r="K43" i="6" s="1"/>
  <c r="O43" i="2"/>
  <c r="K46" i="6" s="1"/>
  <c r="O45" i="2"/>
  <c r="K49" i="6" s="1"/>
  <c r="O47" i="2"/>
  <c r="K52" i="6" s="1"/>
  <c r="O49" i="2"/>
  <c r="O51" i="2"/>
  <c r="M33" i="2"/>
  <c r="I31" i="6" s="1"/>
  <c r="M35" i="2"/>
  <c r="I34" i="6" s="1"/>
  <c r="M39" i="2"/>
  <c r="I40" i="6" s="1"/>
  <c r="M41" i="2"/>
  <c r="I43" i="6" s="1"/>
  <c r="M43" i="2"/>
  <c r="I46" i="6" s="1"/>
  <c r="M45" i="2"/>
  <c r="I49" i="6" s="1"/>
  <c r="M47" i="2"/>
  <c r="I52" i="6" s="1"/>
  <c r="M51" i="2"/>
  <c r="I58" i="6" s="1"/>
  <c r="M31" i="2"/>
  <c r="I28" i="6" s="1"/>
  <c r="L33" i="2"/>
  <c r="H31" i="6" s="1"/>
  <c r="L35" i="2"/>
  <c r="H34" i="6" s="1"/>
  <c r="L37" i="2"/>
  <c r="H37" i="6" s="1"/>
  <c r="L39" i="2"/>
  <c r="H40" i="6" s="1"/>
  <c r="L41" i="2"/>
  <c r="H43" i="6" s="1"/>
  <c r="L43" i="2"/>
  <c r="H46" i="6" s="1"/>
  <c r="L45" i="2"/>
  <c r="H49" i="6" s="1"/>
  <c r="L47" i="2"/>
  <c r="H52" i="6" s="1"/>
  <c r="L49" i="2"/>
  <c r="H55" i="6" s="1"/>
  <c r="L51" i="2"/>
  <c r="H58" i="6" s="1"/>
  <c r="L31" i="2"/>
  <c r="H28" i="6" s="1"/>
  <c r="H31" i="2"/>
  <c r="J26" i="6" s="1"/>
  <c r="J33" i="2"/>
  <c r="J39" i="2"/>
  <c r="J45" i="2"/>
  <c r="J51" i="2"/>
  <c r="L56" i="6" s="1"/>
  <c r="K7" i="6"/>
  <c r="I7" i="6"/>
  <c r="H7" i="6"/>
  <c r="H4" i="6"/>
  <c r="M5" i="6"/>
  <c r="J9" i="2"/>
  <c r="J35" i="2"/>
  <c r="L32" i="6" s="1"/>
  <c r="J19" i="2"/>
  <c r="L21" i="6" s="1"/>
  <c r="L78" i="2"/>
  <c r="H85" i="6" s="1"/>
  <c r="N181" i="6"/>
  <c r="N197" i="6"/>
  <c r="N195" i="6"/>
  <c r="N193" i="6"/>
  <c r="N191" i="6"/>
  <c r="N189" i="6"/>
  <c r="N185" i="6"/>
  <c r="N183" i="6"/>
  <c r="N179" i="6"/>
  <c r="N177" i="6"/>
  <c r="N175" i="6"/>
  <c r="N173" i="6"/>
  <c r="N171" i="6"/>
  <c r="N159" i="6"/>
  <c r="N157" i="6"/>
  <c r="N155" i="6"/>
  <c r="N153" i="6"/>
  <c r="N151" i="6"/>
  <c r="N149" i="6"/>
  <c r="N187" i="6"/>
  <c r="N161" i="6"/>
  <c r="I194" i="6"/>
  <c r="K197" i="6"/>
  <c r="I197" i="6"/>
  <c r="H197" i="6"/>
  <c r="K195" i="6"/>
  <c r="I195" i="6"/>
  <c r="H195" i="6"/>
  <c r="K193" i="6"/>
  <c r="I193" i="6"/>
  <c r="H193" i="6"/>
  <c r="H191" i="6"/>
  <c r="K189" i="6"/>
  <c r="H189" i="6"/>
  <c r="K187" i="6"/>
  <c r="I187" i="6"/>
  <c r="H187" i="6"/>
  <c r="K185" i="6"/>
  <c r="H185" i="6"/>
  <c r="K183" i="6"/>
  <c r="I183" i="6"/>
  <c r="H183" i="6"/>
  <c r="K181" i="6"/>
  <c r="I181" i="6"/>
  <c r="H181" i="6"/>
  <c r="K179" i="6"/>
  <c r="I179" i="6"/>
  <c r="H179" i="6"/>
  <c r="K177" i="6"/>
  <c r="I177" i="6"/>
  <c r="H177" i="6"/>
  <c r="K175" i="6"/>
  <c r="I175" i="6"/>
  <c r="H175" i="6"/>
  <c r="K173" i="6"/>
  <c r="I173" i="6"/>
  <c r="H173" i="6"/>
  <c r="H171" i="6"/>
  <c r="K161" i="6"/>
  <c r="I161" i="6"/>
  <c r="H161" i="6"/>
  <c r="K159" i="6"/>
  <c r="I159" i="6"/>
  <c r="H159" i="6"/>
  <c r="K157" i="6"/>
  <c r="I157" i="6"/>
  <c r="H157" i="6"/>
  <c r="K155" i="6"/>
  <c r="I155" i="6"/>
  <c r="K153" i="6"/>
  <c r="K151" i="6"/>
  <c r="I151" i="6"/>
  <c r="H151" i="6"/>
  <c r="K149" i="6"/>
  <c r="I149" i="6"/>
  <c r="H149" i="6"/>
  <c r="H27" i="6"/>
  <c r="H26" i="6"/>
  <c r="H5" i="6"/>
  <c r="H6" i="6"/>
  <c r="H3" i="6"/>
  <c r="K6" i="6"/>
  <c r="K5" i="6"/>
  <c r="K3" i="6"/>
  <c r="K2" i="6"/>
  <c r="I6" i="6"/>
  <c r="I5" i="6"/>
  <c r="I3" i="6"/>
  <c r="I2" i="6"/>
  <c r="H119" i="2"/>
  <c r="J107" i="6" s="1"/>
  <c r="M119" i="2"/>
  <c r="I109" i="6" s="1"/>
  <c r="M76" i="2"/>
  <c r="I4" i="6"/>
  <c r="H139" i="6"/>
  <c r="L135" i="2"/>
  <c r="H133" i="6" s="1"/>
  <c r="L133" i="2"/>
  <c r="H130" i="6" s="1"/>
  <c r="L131" i="2"/>
  <c r="H127" i="6" s="1"/>
  <c r="L129" i="2"/>
  <c r="H124" i="6" s="1"/>
  <c r="L127" i="2"/>
  <c r="H121" i="6" s="1"/>
  <c r="L125" i="2"/>
  <c r="H118" i="6" s="1"/>
  <c r="L123" i="2"/>
  <c r="H115" i="6" s="1"/>
  <c r="L119" i="2"/>
  <c r="H109" i="6" s="1"/>
  <c r="H94" i="6"/>
  <c r="L82" i="2"/>
  <c r="H91" i="6" s="1"/>
  <c r="L80" i="2"/>
  <c r="H88" i="6" s="1"/>
  <c r="L74" i="2"/>
  <c r="H79" i="6" s="1"/>
  <c r="L72" i="2"/>
  <c r="H76" i="6" s="1"/>
  <c r="L70" i="2"/>
  <c r="H73" i="6" s="1"/>
  <c r="L68" i="2"/>
  <c r="H70" i="6" s="1"/>
  <c r="L66" i="2"/>
  <c r="H67" i="6" s="1"/>
  <c r="K198" i="6"/>
  <c r="K196" i="6"/>
  <c r="K190" i="6"/>
  <c r="K188" i="6"/>
  <c r="K182" i="6"/>
  <c r="K168" i="6"/>
  <c r="K162" i="6"/>
  <c r="N12" i="1"/>
  <c r="H8" i="3" s="1"/>
  <c r="H30" i="3" s="1"/>
  <c r="I198" i="6"/>
  <c r="I196" i="6"/>
  <c r="I188" i="6"/>
  <c r="I170" i="6"/>
  <c r="I168" i="6"/>
  <c r="H198" i="6"/>
  <c r="H192" i="6"/>
  <c r="H190" i="6"/>
  <c r="H174" i="6"/>
  <c r="H172" i="6"/>
  <c r="H168" i="6"/>
  <c r="H162" i="6"/>
  <c r="H158" i="6"/>
  <c r="H156" i="6"/>
  <c r="H152" i="6"/>
  <c r="J175" i="6"/>
  <c r="J169" i="6"/>
  <c r="J167" i="6"/>
  <c r="M161" i="6"/>
  <c r="J155" i="6"/>
  <c r="I12" i="1"/>
  <c r="K184" i="6"/>
  <c r="H178" i="6"/>
  <c r="J177" i="6"/>
  <c r="M177" i="6"/>
  <c r="L86" i="2"/>
  <c r="H97" i="6" s="1"/>
  <c r="K4" i="6"/>
  <c r="H143" i="2"/>
  <c r="O31" i="2"/>
  <c r="K28" i="6" s="1"/>
  <c r="O66" i="2"/>
  <c r="K67" i="6" s="1"/>
  <c r="O68" i="2"/>
  <c r="O70" i="2"/>
  <c r="O72" i="2"/>
  <c r="O74" i="2"/>
  <c r="O76" i="2"/>
  <c r="O78" i="2"/>
  <c r="O80" i="2"/>
  <c r="O82" i="2"/>
  <c r="O84" i="2"/>
  <c r="O86" i="2"/>
  <c r="O119" i="2"/>
  <c r="K109" i="6" s="1"/>
  <c r="O121" i="2"/>
  <c r="O123" i="2"/>
  <c r="O125" i="2"/>
  <c r="O127" i="2"/>
  <c r="O129" i="2"/>
  <c r="O131" i="2"/>
  <c r="O133" i="2"/>
  <c r="O135" i="2"/>
  <c r="O137" i="2"/>
  <c r="O139" i="2"/>
  <c r="O143" i="2"/>
  <c r="M68" i="2"/>
  <c r="I70" i="6" s="1"/>
  <c r="M70" i="2"/>
  <c r="I73" i="6" s="1"/>
  <c r="M74" i="2"/>
  <c r="I79" i="6" s="1"/>
  <c r="M78" i="2"/>
  <c r="I85" i="6" s="1"/>
  <c r="M80" i="2"/>
  <c r="I88" i="6" s="1"/>
  <c r="M82" i="2"/>
  <c r="I91" i="6" s="1"/>
  <c r="M86" i="2"/>
  <c r="I97" i="6" s="1"/>
  <c r="M121" i="2"/>
  <c r="I112" i="6" s="1"/>
  <c r="M125" i="2"/>
  <c r="I118" i="6" s="1"/>
  <c r="M127" i="2"/>
  <c r="I121" i="6" s="1"/>
  <c r="M129" i="2"/>
  <c r="I124" i="6" s="1"/>
  <c r="M131" i="2"/>
  <c r="I127" i="6" s="1"/>
  <c r="M135" i="2"/>
  <c r="I133" i="6" s="1"/>
  <c r="M137" i="2"/>
  <c r="I136" i="6" s="1"/>
  <c r="M139" i="2"/>
  <c r="M143" i="2"/>
  <c r="I145" i="6" s="1"/>
  <c r="L121" i="2"/>
  <c r="H112" i="6" s="1"/>
  <c r="L143" i="2"/>
  <c r="H145" i="6" s="1"/>
  <c r="I189" i="6"/>
  <c r="M123" i="2"/>
  <c r="I115" i="6" s="1"/>
  <c r="I186" i="6"/>
  <c r="J171" i="6"/>
  <c r="J72" i="2"/>
  <c r="L74" i="6" s="1"/>
  <c r="J78" i="2"/>
  <c r="L83" i="6" s="1"/>
  <c r="J129" i="2"/>
  <c r="L122" i="6" s="1"/>
  <c r="J131" i="2"/>
  <c r="L125" i="6" s="1"/>
  <c r="J70" i="2"/>
  <c r="L71" i="6" s="1"/>
  <c r="K94" i="6" l="1"/>
  <c r="Q84" i="2"/>
  <c r="M94" i="6" s="1"/>
  <c r="K73" i="6"/>
  <c r="K124" i="6"/>
  <c r="K70" i="6"/>
  <c r="K121" i="6"/>
  <c r="K55" i="6"/>
  <c r="K139" i="6"/>
  <c r="K85" i="6"/>
  <c r="K136" i="6"/>
  <c r="K112" i="6"/>
  <c r="K82" i="6"/>
  <c r="J143" i="6"/>
  <c r="K143" i="2"/>
  <c r="M143" i="6" s="1"/>
  <c r="K127" i="6"/>
  <c r="K58" i="6"/>
  <c r="K88" i="6"/>
  <c r="K133" i="6"/>
  <c r="K79" i="6"/>
  <c r="K145" i="6"/>
  <c r="K118" i="6"/>
  <c r="K115" i="6"/>
  <c r="K130" i="6"/>
  <c r="K97" i="6"/>
  <c r="K76" i="6"/>
  <c r="J137" i="6"/>
  <c r="M137" i="6"/>
  <c r="I156" i="6"/>
  <c r="H46" i="2"/>
  <c r="L47" i="6"/>
  <c r="J203" i="6"/>
  <c r="I203" i="6"/>
  <c r="H40" i="2"/>
  <c r="L38" i="6"/>
  <c r="I205" i="6"/>
  <c r="H34" i="2"/>
  <c r="L29" i="6"/>
  <c r="I207" i="6"/>
  <c r="K91" i="6"/>
  <c r="I139" i="6"/>
  <c r="I82" i="6"/>
  <c r="I130" i="6"/>
  <c r="J157" i="6"/>
  <c r="M157" i="6"/>
  <c r="I180" i="6"/>
  <c r="I211" i="6"/>
  <c r="I174" i="6"/>
  <c r="I208" i="6"/>
  <c r="I160" i="6"/>
  <c r="H170" i="6"/>
  <c r="I176" i="6"/>
  <c r="I209" i="6"/>
  <c r="I152" i="6"/>
  <c r="I204" i="6"/>
  <c r="I162" i="6"/>
  <c r="I182" i="6"/>
  <c r="I212" i="6"/>
  <c r="J178" i="6"/>
  <c r="I210" i="6"/>
  <c r="K170" i="6"/>
  <c r="H184" i="6"/>
  <c r="I184" i="6"/>
  <c r="M196" i="6"/>
  <c r="I150" i="6"/>
  <c r="M181" i="6"/>
  <c r="H130" i="2"/>
  <c r="K130" i="2" s="1"/>
  <c r="M123" i="6" s="1"/>
  <c r="H73" i="2"/>
  <c r="H71" i="2"/>
  <c r="M180" i="6"/>
  <c r="J183" i="6"/>
  <c r="M183" i="6"/>
  <c r="J160" i="6"/>
  <c r="J196" i="6"/>
  <c r="K174" i="6"/>
  <c r="N82" i="2"/>
  <c r="J91" i="6" s="1"/>
  <c r="N47" i="2"/>
  <c r="N39" i="2"/>
  <c r="P39" i="2" s="1"/>
  <c r="K7" i="2"/>
  <c r="K180" i="6"/>
  <c r="K176" i="6"/>
  <c r="N70" i="2"/>
  <c r="J73" i="6" s="1"/>
  <c r="K178" i="6"/>
  <c r="L161" i="6"/>
  <c r="H196" i="6"/>
  <c r="M18" i="1"/>
  <c r="N135" i="2"/>
  <c r="J133" i="6" s="1"/>
  <c r="K66" i="2"/>
  <c r="M65" i="6" s="1"/>
  <c r="N80" i="2"/>
  <c r="J88" i="6" s="1"/>
  <c r="N129" i="2"/>
  <c r="J124" i="6" s="1"/>
  <c r="J31" i="2"/>
  <c r="K31" i="2"/>
  <c r="M26" i="6" s="1"/>
  <c r="K119" i="2"/>
  <c r="M107" i="6" s="1"/>
  <c r="L175" i="6"/>
  <c r="J182" i="6"/>
  <c r="J181" i="6"/>
  <c r="M159" i="6"/>
  <c r="M193" i="6"/>
  <c r="M187" i="6"/>
  <c r="M169" i="6"/>
  <c r="J197" i="6"/>
  <c r="M197" i="6"/>
  <c r="L159" i="6"/>
  <c r="J195" i="6"/>
  <c r="M195" i="6"/>
  <c r="M149" i="6"/>
  <c r="M171" i="6"/>
  <c r="M189" i="6"/>
  <c r="J159" i="6"/>
  <c r="M167" i="6"/>
  <c r="K158" i="6"/>
  <c r="J149" i="6"/>
  <c r="H132" i="2"/>
  <c r="H79" i="2"/>
  <c r="M95" i="6"/>
  <c r="H52" i="2"/>
  <c r="H36" i="2"/>
  <c r="K36" i="2" s="1"/>
  <c r="J5" i="6"/>
  <c r="N125" i="2"/>
  <c r="J118" i="6" s="1"/>
  <c r="J125" i="2"/>
  <c r="L116" i="6" s="1"/>
  <c r="L4" i="6"/>
  <c r="N31" i="2"/>
  <c r="Q31" i="2" s="1"/>
  <c r="M28" i="6" s="1"/>
  <c r="N43" i="2"/>
  <c r="N35" i="2"/>
  <c r="J74" i="2"/>
  <c r="L77" i="6" s="1"/>
  <c r="M186" i="6"/>
  <c r="J193" i="6"/>
  <c r="L177" i="6"/>
  <c r="M175" i="6"/>
  <c r="L167" i="6"/>
  <c r="J151" i="6"/>
  <c r="I9" i="1"/>
  <c r="J135" i="2"/>
  <c r="L131" i="6" s="1"/>
  <c r="J189" i="6"/>
  <c r="J12" i="1"/>
  <c r="H182" i="6"/>
  <c r="M153" i="6"/>
  <c r="I153" i="6"/>
  <c r="L169" i="6"/>
  <c r="J198" i="6"/>
  <c r="M9" i="1"/>
  <c r="G7" i="3" s="1"/>
  <c r="H186" i="6"/>
  <c r="J194" i="6"/>
  <c r="I192" i="6"/>
  <c r="J192" i="6"/>
  <c r="L173" i="6"/>
  <c r="I154" i="6"/>
  <c r="M15" i="1"/>
  <c r="G9" i="3" s="1"/>
  <c r="L181" i="6"/>
  <c r="I191" i="6"/>
  <c r="L149" i="6"/>
  <c r="J161" i="6"/>
  <c r="I178" i="6"/>
  <c r="M12" i="1"/>
  <c r="G8" i="3" s="1"/>
  <c r="I185" i="6"/>
  <c r="K191" i="6"/>
  <c r="J18" i="1"/>
  <c r="M155" i="6" s="1"/>
  <c r="H194" i="6"/>
  <c r="J173" i="6"/>
  <c r="M173" i="6"/>
  <c r="L179" i="6"/>
  <c r="M185" i="6"/>
  <c r="J185" i="6"/>
  <c r="J188" i="6"/>
  <c r="H188" i="6"/>
  <c r="K186" i="6"/>
  <c r="K192" i="6"/>
  <c r="L196" i="6"/>
  <c r="H176" i="6"/>
  <c r="H160" i="6"/>
  <c r="J170" i="6"/>
  <c r="K194" i="6"/>
  <c r="I158" i="6"/>
  <c r="J158" i="6"/>
  <c r="J179" i="6"/>
  <c r="M179" i="6"/>
  <c r="I172" i="6"/>
  <c r="J172" i="6"/>
  <c r="L157" i="6"/>
  <c r="J9" i="1"/>
  <c r="M151" i="6" s="1"/>
  <c r="K156" i="6"/>
  <c r="K172" i="6"/>
  <c r="J82" i="2"/>
  <c r="L89" i="6" s="1"/>
  <c r="J76" i="2"/>
  <c r="L80" i="6" s="1"/>
  <c r="J68" i="2"/>
  <c r="L68" i="6" s="1"/>
  <c r="J66" i="2"/>
  <c r="L65" i="6" s="1"/>
  <c r="N78" i="2"/>
  <c r="J85" i="6" s="1"/>
  <c r="L137" i="2"/>
  <c r="H136" i="6" s="1"/>
  <c r="N72" i="2"/>
  <c r="J76" i="6" s="1"/>
  <c r="J121" i="2"/>
  <c r="L110" i="6" s="1"/>
  <c r="N131" i="2"/>
  <c r="M66" i="2"/>
  <c r="I67" i="6" s="1"/>
  <c r="J133" i="2"/>
  <c r="L128" i="6" s="1"/>
  <c r="N133" i="2"/>
  <c r="J130" i="6" s="1"/>
  <c r="N86" i="2"/>
  <c r="J97" i="6" s="1"/>
  <c r="J41" i="2"/>
  <c r="L41" i="6" s="1"/>
  <c r="N123" i="2"/>
  <c r="J115" i="6" s="1"/>
  <c r="K152" i="6"/>
  <c r="K160" i="6"/>
  <c r="K150" i="6"/>
  <c r="J139" i="2"/>
  <c r="L137" i="6" s="1"/>
  <c r="N68" i="2"/>
  <c r="J70" i="6" s="1"/>
  <c r="K154" i="6"/>
  <c r="N74" i="2"/>
  <c r="J79" i="6" s="1"/>
  <c r="J47" i="2"/>
  <c r="L50" i="6" s="1"/>
  <c r="N45" i="2"/>
  <c r="Q45" i="2" s="1"/>
  <c r="N139" i="2"/>
  <c r="J139" i="6" s="1"/>
  <c r="J123" i="2"/>
  <c r="L113" i="6" s="1"/>
  <c r="N127" i="2"/>
  <c r="J121" i="6" s="1"/>
  <c r="N119" i="2"/>
  <c r="J109" i="6" s="1"/>
  <c r="J80" i="2"/>
  <c r="L86" i="6" s="1"/>
  <c r="N121" i="2"/>
  <c r="J112" i="6" s="1"/>
  <c r="N41" i="2"/>
  <c r="P41" i="2" s="1"/>
  <c r="M37" i="2"/>
  <c r="M49" i="2"/>
  <c r="I55" i="6" s="1"/>
  <c r="J15" i="2"/>
  <c r="L15" i="6" s="1"/>
  <c r="N33" i="2"/>
  <c r="J84" i="2"/>
  <c r="L92" i="6" s="1"/>
  <c r="L76" i="2"/>
  <c r="H82" i="6" s="1"/>
  <c r="N51" i="2"/>
  <c r="J187" i="6"/>
  <c r="J143" i="2"/>
  <c r="L143" i="6" s="1"/>
  <c r="N143" i="2"/>
  <c r="J145" i="6" s="1"/>
  <c r="J13" i="2"/>
  <c r="L12" i="6" s="1"/>
  <c r="L2" i="6"/>
  <c r="K6" i="2"/>
  <c r="J2" i="6"/>
  <c r="J86" i="2"/>
  <c r="J43" i="2"/>
  <c r="J119" i="2"/>
  <c r="L107" i="6" s="1"/>
  <c r="J6" i="6"/>
  <c r="L6" i="6"/>
  <c r="L5" i="6"/>
  <c r="Q131" i="2" l="1"/>
  <c r="M127" i="6" s="1"/>
  <c r="O18" i="1"/>
  <c r="L156" i="6" s="1"/>
  <c r="L155" i="6"/>
  <c r="J58" i="6"/>
  <c r="P51" i="2"/>
  <c r="L58" i="6" s="1"/>
  <c r="Q47" i="2"/>
  <c r="P47" i="2"/>
  <c r="L52" i="6" s="1"/>
  <c r="Q43" i="2"/>
  <c r="M46" i="6" s="1"/>
  <c r="P43" i="2"/>
  <c r="L46" i="6" s="1"/>
  <c r="J205" i="6"/>
  <c r="Q78" i="2"/>
  <c r="M85" i="6" s="1"/>
  <c r="Q125" i="2"/>
  <c r="M118" i="6" s="1"/>
  <c r="Q68" i="2"/>
  <c r="M70" i="6" s="1"/>
  <c r="M145" i="6"/>
  <c r="M124" i="6"/>
  <c r="Q86" i="2"/>
  <c r="M97" i="6" s="1"/>
  <c r="Q80" i="2"/>
  <c r="M88" i="6" s="1"/>
  <c r="Q51" i="2"/>
  <c r="M58" i="6" s="1"/>
  <c r="J72" i="6"/>
  <c r="K71" i="2"/>
  <c r="M72" i="6" s="1"/>
  <c r="Q123" i="2"/>
  <c r="M115" i="6" s="1"/>
  <c r="Q74" i="2"/>
  <c r="M79" i="6" s="1"/>
  <c r="Q82" i="2"/>
  <c r="M91" i="6" s="1"/>
  <c r="J84" i="6"/>
  <c r="K79" i="2"/>
  <c r="M84" i="6" s="1"/>
  <c r="J126" i="6"/>
  <c r="K132" i="2"/>
  <c r="M126" i="6" s="1"/>
  <c r="J75" i="6"/>
  <c r="K73" i="2"/>
  <c r="M75" i="6" s="1"/>
  <c r="Q133" i="2"/>
  <c r="M130" i="6" s="1"/>
  <c r="Q70" i="2"/>
  <c r="M73" i="6" s="1"/>
  <c r="Q121" i="2"/>
  <c r="Q139" i="2"/>
  <c r="M139" i="6" s="1"/>
  <c r="Q127" i="2"/>
  <c r="M121" i="6" s="1"/>
  <c r="Q72" i="2"/>
  <c r="M76" i="6" s="1"/>
  <c r="Q135" i="2"/>
  <c r="M133" i="6" s="1"/>
  <c r="J43" i="6"/>
  <c r="Q41" i="2"/>
  <c r="M43" i="6" s="1"/>
  <c r="J40" i="6"/>
  <c r="Q39" i="2"/>
  <c r="M40" i="6" s="1"/>
  <c r="J34" i="6"/>
  <c r="Q35" i="2"/>
  <c r="M34" i="6" s="1"/>
  <c r="J31" i="6"/>
  <c r="Q33" i="2"/>
  <c r="M31" i="6" s="1"/>
  <c r="J34" i="2"/>
  <c r="L30" i="6" s="1"/>
  <c r="K34" i="2"/>
  <c r="M30" i="6" s="1"/>
  <c r="J57" i="6"/>
  <c r="K52" i="2"/>
  <c r="M57" i="6" s="1"/>
  <c r="J46" i="2"/>
  <c r="L48" i="6" s="1"/>
  <c r="K46" i="2"/>
  <c r="M48" i="6" s="1"/>
  <c r="J39" i="6"/>
  <c r="K40" i="2"/>
  <c r="M39" i="6" s="1"/>
  <c r="L178" i="6"/>
  <c r="M178" i="6"/>
  <c r="L203" i="6"/>
  <c r="I206" i="6"/>
  <c r="J48" i="6"/>
  <c r="M49" i="6"/>
  <c r="J49" i="6"/>
  <c r="J130" i="2"/>
  <c r="L123" i="6" s="1"/>
  <c r="J123" i="6"/>
  <c r="M52" i="6"/>
  <c r="J52" i="6"/>
  <c r="P131" i="2"/>
  <c r="L127" i="6" s="1"/>
  <c r="J127" i="6"/>
  <c r="L168" i="6"/>
  <c r="J168" i="6"/>
  <c r="M33" i="6"/>
  <c r="J33" i="6"/>
  <c r="H32" i="2"/>
  <c r="L26" i="6"/>
  <c r="J30" i="6"/>
  <c r="I37" i="6"/>
  <c r="L180" i="6"/>
  <c r="L95" i="6"/>
  <c r="H87" i="2"/>
  <c r="J46" i="6"/>
  <c r="H44" i="2"/>
  <c r="K44" i="2" s="1"/>
  <c r="L44" i="6"/>
  <c r="P18" i="1"/>
  <c r="M156" i="6" s="1"/>
  <c r="L171" i="6"/>
  <c r="J7" i="2"/>
  <c r="L160" i="6"/>
  <c r="H85" i="2"/>
  <c r="M176" i="6"/>
  <c r="J180" i="6"/>
  <c r="M184" i="6"/>
  <c r="O12" i="1"/>
  <c r="I8" i="3" s="1"/>
  <c r="J176" i="6"/>
  <c r="L182" i="6"/>
  <c r="L176" i="6"/>
  <c r="M182" i="6"/>
  <c r="P125" i="2"/>
  <c r="L118" i="6" s="1"/>
  <c r="H122" i="2"/>
  <c r="P129" i="2"/>
  <c r="L124" i="6" s="1"/>
  <c r="H126" i="2"/>
  <c r="K126" i="2" s="1"/>
  <c r="M117" i="6" s="1"/>
  <c r="M160" i="6"/>
  <c r="H124" i="2"/>
  <c r="P123" i="2"/>
  <c r="L115" i="6" s="1"/>
  <c r="H134" i="2"/>
  <c r="P80" i="2"/>
  <c r="L88" i="6" s="1"/>
  <c r="H140" i="2"/>
  <c r="K140" i="2" s="1"/>
  <c r="H83" i="2"/>
  <c r="H81" i="2"/>
  <c r="K81" i="2" s="1"/>
  <c r="H77" i="2"/>
  <c r="K77" i="2" s="1"/>
  <c r="N66" i="2"/>
  <c r="J67" i="6" s="1"/>
  <c r="H67" i="2"/>
  <c r="L187" i="6"/>
  <c r="P82" i="2"/>
  <c r="L91" i="6" s="1"/>
  <c r="L174" i="6"/>
  <c r="L183" i="6"/>
  <c r="L150" i="6"/>
  <c r="J154" i="6"/>
  <c r="J152" i="6"/>
  <c r="P12" i="1"/>
  <c r="J8" i="3" s="1"/>
  <c r="J156" i="6"/>
  <c r="P70" i="2"/>
  <c r="L73" i="6" s="1"/>
  <c r="M6" i="6"/>
  <c r="J36" i="2"/>
  <c r="L33" i="6" s="1"/>
  <c r="L40" i="6"/>
  <c r="J79" i="2"/>
  <c r="L84" i="6" s="1"/>
  <c r="P135" i="2"/>
  <c r="L133" i="6" s="1"/>
  <c r="J52" i="2"/>
  <c r="L57" i="6" s="1"/>
  <c r="M2" i="6"/>
  <c r="L197" i="6"/>
  <c r="J186" i="6"/>
  <c r="L186" i="6"/>
  <c r="P31" i="2"/>
  <c r="L28" i="6" s="1"/>
  <c r="P35" i="2"/>
  <c r="L34" i="6" s="1"/>
  <c r="J28" i="6"/>
  <c r="M172" i="6"/>
  <c r="M174" i="6"/>
  <c r="J174" i="6"/>
  <c r="L172" i="6"/>
  <c r="O15" i="1"/>
  <c r="M168" i="6"/>
  <c r="M158" i="6"/>
  <c r="L192" i="6"/>
  <c r="H136" i="2"/>
  <c r="J132" i="2"/>
  <c r="L126" i="6" s="1"/>
  <c r="H75" i="2"/>
  <c r="H69" i="2"/>
  <c r="H48" i="2"/>
  <c r="K48" i="2" s="1"/>
  <c r="H42" i="2"/>
  <c r="K42" i="2" s="1"/>
  <c r="J4" i="6"/>
  <c r="J40" i="2"/>
  <c r="L39" i="6" s="1"/>
  <c r="J150" i="6"/>
  <c r="P6" i="1"/>
  <c r="L188" i="6"/>
  <c r="M198" i="6"/>
  <c r="L194" i="6"/>
  <c r="L198" i="6"/>
  <c r="P15" i="1"/>
  <c r="L7" i="6"/>
  <c r="P86" i="2"/>
  <c r="L97" i="6" s="1"/>
  <c r="M194" i="6"/>
  <c r="O9" i="1"/>
  <c r="P9" i="1"/>
  <c r="M191" i="6"/>
  <c r="J191" i="6"/>
  <c r="L151" i="6"/>
  <c r="M192" i="6"/>
  <c r="L195" i="6"/>
  <c r="M190" i="6"/>
  <c r="I190" i="6"/>
  <c r="L189" i="6"/>
  <c r="L158" i="6"/>
  <c r="L193" i="6"/>
  <c r="M188" i="6"/>
  <c r="L185" i="6"/>
  <c r="L162" i="6"/>
  <c r="M162" i="6"/>
  <c r="J162" i="6"/>
  <c r="E29" i="3"/>
  <c r="P78" i="2"/>
  <c r="L85" i="6" s="1"/>
  <c r="P84" i="2"/>
  <c r="L94" i="6" s="1"/>
  <c r="N137" i="2"/>
  <c r="P133" i="2"/>
  <c r="L130" i="6" s="1"/>
  <c r="J184" i="6"/>
  <c r="L184" i="6"/>
  <c r="P68" i="2"/>
  <c r="L70" i="6" s="1"/>
  <c r="J37" i="2"/>
  <c r="N37" i="2"/>
  <c r="J7" i="6"/>
  <c r="J127" i="2"/>
  <c r="L119" i="6" s="1"/>
  <c r="J49" i="2"/>
  <c r="P121" i="2"/>
  <c r="L112" i="6" s="1"/>
  <c r="P127" i="2"/>
  <c r="L121" i="6" s="1"/>
  <c r="N76" i="2"/>
  <c r="P33" i="2"/>
  <c r="L31" i="6" s="1"/>
  <c r="L43" i="6"/>
  <c r="P119" i="2"/>
  <c r="L109" i="6" s="1"/>
  <c r="Q119" i="2"/>
  <c r="M109" i="6" s="1"/>
  <c r="J71" i="2"/>
  <c r="L72" i="6" s="1"/>
  <c r="N49" i="2"/>
  <c r="P139" i="2"/>
  <c r="L139" i="6" s="1"/>
  <c r="P45" i="2"/>
  <c r="L49" i="6" s="1"/>
  <c r="P74" i="2"/>
  <c r="L79" i="6" s="1"/>
  <c r="H144" i="2"/>
  <c r="P143" i="2"/>
  <c r="L145" i="6" s="1"/>
  <c r="J3" i="6"/>
  <c r="J73" i="2"/>
  <c r="L75" i="6" s="1"/>
  <c r="H120" i="2"/>
  <c r="P72" i="2"/>
  <c r="L76" i="6" s="1"/>
  <c r="I10" i="3" l="1"/>
  <c r="L206" i="6" s="1"/>
  <c r="L152" i="6"/>
  <c r="I7" i="3"/>
  <c r="L204" i="6" s="1"/>
  <c r="M152" i="6"/>
  <c r="J7" i="3"/>
  <c r="M154" i="6"/>
  <c r="J9" i="3"/>
  <c r="M205" i="6" s="1"/>
  <c r="L154" i="6"/>
  <c r="I9" i="3"/>
  <c r="L205" i="6" s="1"/>
  <c r="M150" i="6"/>
  <c r="J6" i="3"/>
  <c r="M203" i="6" s="1"/>
  <c r="J204" i="6"/>
  <c r="M204" i="6"/>
  <c r="J212" i="6"/>
  <c r="M212" i="6"/>
  <c r="J208" i="6"/>
  <c r="M208" i="6"/>
  <c r="J207" i="6"/>
  <c r="M207" i="6"/>
  <c r="J209" i="6"/>
  <c r="M209" i="6"/>
  <c r="J210" i="6"/>
  <c r="M210" i="6"/>
  <c r="J206" i="6"/>
  <c r="J10" i="3"/>
  <c r="M206" i="6" s="1"/>
  <c r="J211" i="6"/>
  <c r="M211" i="6"/>
  <c r="J78" i="6"/>
  <c r="K75" i="2"/>
  <c r="M78" i="6" s="1"/>
  <c r="J114" i="6"/>
  <c r="K124" i="2"/>
  <c r="M114" i="6" s="1"/>
  <c r="J111" i="6"/>
  <c r="K122" i="2"/>
  <c r="J135" i="6"/>
  <c r="M135" i="6"/>
  <c r="J90" i="6"/>
  <c r="K83" i="2"/>
  <c r="M90" i="6" s="1"/>
  <c r="J132" i="6"/>
  <c r="K136" i="2"/>
  <c r="M132" i="6" s="1"/>
  <c r="J66" i="6"/>
  <c r="K67" i="2"/>
  <c r="M66" i="6" s="1"/>
  <c r="J96" i="6"/>
  <c r="K87" i="2"/>
  <c r="M96" i="6" s="1"/>
  <c r="J129" i="6"/>
  <c r="K134" i="2"/>
  <c r="M129" i="6" s="1"/>
  <c r="J82" i="6"/>
  <c r="Q76" i="2"/>
  <c r="M82" i="6" s="1"/>
  <c r="J136" i="6"/>
  <c r="Q137" i="2"/>
  <c r="M136" i="6" s="1"/>
  <c r="J55" i="6"/>
  <c r="Q49" i="2"/>
  <c r="M55" i="6" s="1"/>
  <c r="J144" i="6"/>
  <c r="K144" i="2"/>
  <c r="M144" i="6" s="1"/>
  <c r="J108" i="6"/>
  <c r="K120" i="2"/>
  <c r="M108" i="6" s="1"/>
  <c r="J69" i="6"/>
  <c r="K69" i="2"/>
  <c r="M69" i="6" s="1"/>
  <c r="J93" i="6"/>
  <c r="K85" i="2"/>
  <c r="M93" i="6" s="1"/>
  <c r="J37" i="6"/>
  <c r="Q37" i="2"/>
  <c r="M37" i="6" s="1"/>
  <c r="J32" i="2"/>
  <c r="L27" i="6" s="1"/>
  <c r="K32" i="2"/>
  <c r="M27" i="6" s="1"/>
  <c r="J87" i="6"/>
  <c r="J81" i="2"/>
  <c r="L87" i="6" s="1"/>
  <c r="I213" i="6"/>
  <c r="F29" i="3"/>
  <c r="G30" i="3"/>
  <c r="J30" i="3" s="1"/>
  <c r="M112" i="6"/>
  <c r="M42" i="6"/>
  <c r="J42" i="6"/>
  <c r="M51" i="6"/>
  <c r="J51" i="6"/>
  <c r="J126" i="2"/>
  <c r="L117" i="6" s="1"/>
  <c r="J117" i="6"/>
  <c r="J27" i="6"/>
  <c r="H38" i="2"/>
  <c r="L35" i="6"/>
  <c r="J140" i="2"/>
  <c r="L138" i="6" s="1"/>
  <c r="J138" i="6"/>
  <c r="J77" i="2"/>
  <c r="L81" i="6" s="1"/>
  <c r="J81" i="6"/>
  <c r="M45" i="6"/>
  <c r="J45" i="6"/>
  <c r="H50" i="2"/>
  <c r="K50" i="2" s="1"/>
  <c r="L53" i="6"/>
  <c r="L210" i="6"/>
  <c r="L209" i="6"/>
  <c r="L208" i="6"/>
  <c r="L170" i="6"/>
  <c r="M170" i="6"/>
  <c r="L211" i="6"/>
  <c r="L212" i="6"/>
  <c r="L207" i="6"/>
  <c r="H128" i="2"/>
  <c r="M138" i="6"/>
  <c r="M87" i="6"/>
  <c r="M81" i="6"/>
  <c r="Q66" i="2"/>
  <c r="M67" i="6" s="1"/>
  <c r="P66" i="2"/>
  <c r="L67" i="6" s="1"/>
  <c r="J48" i="2"/>
  <c r="L51" i="6" s="1"/>
  <c r="L3" i="6"/>
  <c r="M7" i="6"/>
  <c r="M4" i="6"/>
  <c r="M3" i="6"/>
  <c r="J69" i="2"/>
  <c r="L69" i="6" s="1"/>
  <c r="J136" i="2"/>
  <c r="L132" i="6" s="1"/>
  <c r="J85" i="2"/>
  <c r="L93" i="6" s="1"/>
  <c r="J75" i="2"/>
  <c r="L78" i="6" s="1"/>
  <c r="J42" i="2"/>
  <c r="L42" i="6" s="1"/>
  <c r="L153" i="6"/>
  <c r="L191" i="6"/>
  <c r="J190" i="6"/>
  <c r="L190" i="6"/>
  <c r="J67" i="2"/>
  <c r="L66" i="6" s="1"/>
  <c r="J134" i="2"/>
  <c r="L129" i="6" s="1"/>
  <c r="P137" i="2"/>
  <c r="L136" i="6" s="1"/>
  <c r="J83" i="2"/>
  <c r="L90" i="6" s="1"/>
  <c r="J122" i="2"/>
  <c r="L111" i="6" s="1"/>
  <c r="P49" i="2"/>
  <c r="L55" i="6" s="1"/>
  <c r="P76" i="2"/>
  <c r="L82" i="6" s="1"/>
  <c r="J124" i="2"/>
  <c r="L114" i="6" s="1"/>
  <c r="P37" i="2"/>
  <c r="L37" i="6" s="1"/>
  <c r="J144" i="2"/>
  <c r="L144" i="6" s="1"/>
  <c r="J87" i="2"/>
  <c r="L96" i="6" s="1"/>
  <c r="J44" i="2"/>
  <c r="L45" i="6" s="1"/>
  <c r="J120" i="2"/>
  <c r="L108" i="6" s="1"/>
  <c r="J213" i="6" l="1"/>
  <c r="J17" i="3"/>
  <c r="M213" i="6" s="1"/>
  <c r="J120" i="6"/>
  <c r="K128" i="2"/>
  <c r="M120" i="6" s="1"/>
  <c r="J36" i="6"/>
  <c r="K38" i="2"/>
  <c r="M36" i="6" s="1"/>
  <c r="M111" i="6"/>
  <c r="M54" i="6"/>
  <c r="J54" i="6"/>
  <c r="L213" i="6"/>
  <c r="J128" i="2"/>
  <c r="L120" i="6" s="1"/>
  <c r="J38" i="2"/>
  <c r="L36" i="6" s="1"/>
  <c r="L135" i="6"/>
  <c r="J50" i="2"/>
  <c r="L54" i="6" s="1"/>
  <c r="I30" i="3" l="1"/>
</calcChain>
</file>

<file path=xl/comments1.xml><?xml version="1.0" encoding="utf-8"?>
<comments xmlns="http://schemas.openxmlformats.org/spreadsheetml/2006/main">
  <authors>
    <author>CEA TELLO, MARIO ANDRES</author>
    <author>Autor</author>
    <author>SBENALCAZAR</author>
    <author>nperez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R.Ex. 1280-22 Cuota imprevistos, +2905 ton.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Res. Ex. 65
Apertura Res. Ex.211 (21-11-2022)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Ex. N°677-2022 CESIÓN DE 1400 TON A FAVOR DE ORIZON S.A. V-IX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R.Ex. 1301 24-06-22 Cuota imprevistos, +1913,194 ton.</t>
        </r>
      </text>
    </comment>
    <comment ref="Q19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Cierre Res. Ex. 65
Apertura Res. Ex. 69 (14-03-2022)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Ex. N°1442-2022 CESIÓN DE 120 TON A FAVOR DE ORIZON S.A. V-IX</t>
        </r>
      </text>
    </comment>
    <comment ref="F2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Ex. N°540-2022 CESIÓN DE 385 TON A FAVOR DE PESQUERA LITORAL SPA
Res. Ex. N°610-2022 CESIÓN DE 3465 TON A FAVOR DE PESQUERA LITORAL SPA
Res. Ex. N°612-2022 CESIÓN DE 770 TON A FAVOR DE ALIMENTOS MARINOS S.A. ALIMAR
Res. Ex. N°2157-2022 CESIÓN DE 168 TON A FAVOR DE PESQUERA LITORAL SPA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Ex. N°257-2022 CESIÓN DE 81,82 TON A FAVOR DE ORIZON S.A.</t>
        </r>
      </text>
    </comment>
    <comment ref="F2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Ex. N°316-2022 CESIÓN DE 150 TON A FAVOR DE ORIZON S.A.</t>
        </r>
      </text>
    </comment>
    <comment ref="L3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174-22 CESIÓN DE 300 TONELADAS POR PARTE DE ORIZON S.A.</t>
        </r>
      </text>
    </comment>
    <comment ref="Q3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04-2022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(Res. Ex. N°53-2022)</t>
        </r>
      </text>
    </comment>
    <comment ref="F4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Ex. N°443-2022 CESIÓN DE 150 TON A FAVOR DE ORIZON S.A. V-IX 
Res. Ex. N°631-2022 CESIÓN DE 709,266 TON A FAVOR DE ORIZON S.A. V-IX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Ex.00157-2022 Cierre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Ex.00158-2022 Cierre</t>
        </r>
      </text>
    </comment>
    <comment ref="F4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Ex. N° 223-2022 CESIÓN DE 4140 TON A FAVOR DE PESQUERA LANDES S.A. V-IX 
</t>
        </r>
      </text>
    </comment>
    <comment ref="F5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Ex. N°454-2022 CESIÓN DE 720 TON A FAVOR DE ORIZON S.A. V-IX </t>
        </r>
      </text>
    </comment>
    <comment ref="F51" authorId="3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Res. Ex. N° 175-2022 Cesión de 2294 Ton a favor de LANDES S.A.V-IX.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175-2022 CESIÓN DE 2294 A FAVOR DE LANDES S.A. SOC. PESQ.    </t>
        </r>
      </text>
    </comment>
    <comment ref="Q5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51-2022 CIERRE </t>
        </r>
      </text>
    </comment>
    <comment ref="F5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Ex.N° 259-2022 CESIÓN DE 1090,26 TON A FAVOR DE ORIZON S.A. V-IX</t>
        </r>
      </text>
    </comment>
    <comment ref="Q5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69-2022 CIERRE </t>
        </r>
      </text>
    </comment>
    <comment ref="F53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Res. Ex. N° 611 Cesion de 143 Ton de jurel a orizon V-IX</t>
        </r>
      </text>
    </comment>
    <comment ref="Q5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Ex.00586-2022 Cierre Cuota</t>
        </r>
      </text>
    </comment>
  </commentList>
</comments>
</file>

<file path=xl/comments2.xml><?xml version="1.0" encoding="utf-8"?>
<comments xmlns="http://schemas.openxmlformats.org/spreadsheetml/2006/main">
  <authors>
    <author>SBENALCAZAR</author>
    <author>CEA TELLO, MARIO ANDRES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Cert. N° 02-22 Traspaso de 3770,685 ton
Res. Ex 1466-22 Otorga LTP A de 3627,967 Ton desde Camanchaca S.A. XV-II
Cert. N° 42-22 Traspaso de 3627,967 Ton a Camanchaca Pesca Sur S.A.  V-IX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1466-22 Otorga LTP A de 3627,967 Ton a Camanchaca Pesca Sur S.A. XV-II</t>
        </r>
      </text>
    </comment>
    <comment ref="G1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752-22 Otorga LTP B de 364,905 Ton desde Comercial y Conservera San Lazaro Ltda. XV-II
Res. Ex 753-22 Otorga LTP B de 364,905 Ton desde Comercial y Conservera San Lazaro Ltda. XV-II
Res. Ex 754-22 Otorga LTP B de 364,905 Ton desde Comercial y Conservera San Lazaro Ltda. XV-II
Res. Ex 755-22 Otorga LTP B de 364,905 Ton desde Comercial y Conservera San Lazaro Ltda. XV-II
Res. Ex 756-22 Otorga LTP B de 486,540 Ton desde Comercial y Conservera San Lazaro Ltda. XV-II
Cert. N° 09-22 Traspaso de 1946,160 Ton a Orizon S.A. V-IX
Cert. N° 13-22 Traspaso de 3344,963 Ton a Orizon S.A. V-IX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Cert. N° 01-22 Traspaso de 790,628 ton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04-22 Traspaso de 2285,116 Ton a Foodcorp Chile S.A. V-IX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752-22 Otorga LTP B de 364,905 Ton a Orizon S.A. XV-II
Res. Ex 753-22 Otorga LTP B de 364,905 Ton a Orizon S.A. XV-II
Res. Ex 754-22 Otorga LTP B de 364,905 Ton a Orizon S.A. XV-II
Res. Ex 755-22 Otorga LTP B de 364,905 Ton a Orizon S.A. XV-II
Res. Ex 756-22 Otorga LTP B de 486,540 Ton a Orizon S.A. XV-II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812-22 Otorga LTP B de 4,055 Ton a Espacio Costero Spa XV-II
Res. Ex 796-22 Otorga LTP B de 21,894 Ton a Sindicato Pesquero del Norte SPA XV-II</t>
        </r>
      </text>
    </comment>
    <comment ref="G2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812-22 Otorga LTP B de 4,055 Ton desde Enrique Gonzalez Salgado XV-II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796-22 Otorga LTP B de 21,894 Ton desde Enrique Gonzalez Salgado XV-II</t>
        </r>
      </text>
    </comment>
    <comment ref="G3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14-22 Traspaso de 1433 Ton a Alimnetos Marinos S.A. V-IX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40-22 Traspaso de 3000 Ton a Blumar S.A. V-IX
Cert. N° 49-22 Traspaso de 800 Ton a Blumar S.A. V-IX</t>
        </r>
      </text>
    </comment>
    <comment ref="G3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 59-22 Traspaso de 70 Ton a Blumar S.A. V-IX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1465-22 Otorga LTP A de 255,138 Ton a Camanchaca Pesca Sur S.A. III-IV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05-22 Traspaso de 817 Ton a Foodcorp Chile S.A. V-IX</t>
        </r>
      </text>
    </comment>
    <comment ref="G4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1292-22 Cesión de 300 ton a embaracion artesanal VIII región.
Cert. N° 39-22 Traspaso de 395 Ton a Litoral Spa Pesq. V-IX
</t>
        </r>
      </text>
    </comment>
    <comment ref="G4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774-22 Deja sin Efecto Fidecomiso de 7,187 Ton a Lota Protein S.A. III-IV
Cert. N° 19-22 Traspaso de 113,134 Ton a Landes S.A. V-IX
Res. Ex. 1162-22 Otorga LTP A de 7,187 Ton a Landes S.A.. III-IV
Cert. N° 26-22 Comodato de 0,17113 Ton a Thor Fishiries Chile Spa. III-IV</t>
        </r>
      </text>
    </comment>
    <comment ref="G4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757-22 Otorga LTP B de 205,356 Ton desde Comercial y Conservera San Lazaro Ltda. III-IV
Res. Ex 758-22 Otorga LTP B de 205,356 Ton desde Comercial y Conservera San Lazaro Ltda. III-IV
Res. Ex 759-22 Otorga LTP B de 205,356 Ton desde Comercial y Conservera San Lazaro Ltda. III-IV
Res. Ex 760-22 Otorga LTP B de 205,356 Ton desde Comercial y Conservera San Lazaro Ltda. III-IV
Cert. N° 10-22 Traspaso de 821,424 Ton a Orizon S.A. V-IX
Cert. N° 25-22 Traspaso de 7950 Ton a Orizon S.A. V-IX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18-22 Traspaso de 1010,701 Ton a Camanchaca Pesca Sur S.A.  V-IX
Res. Ex 1465-22 Otorga LTP A de 255,138 Ton desde Camanchaca S.A. III-IV
Cert. N° 42-22 Traspaso de 255,138 Ton a Camanchaca Pesca Sur S.A.  V-IX
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757-22 Otorga LTP B de 205,356 Ton a Orizon S.A. III-IV
Res. Ex 758-22 Otorga LTP B de 205,356 Ton a Orizon S.A. III-IV
Res. Ex 759-22 Otorga LTP B de 205,356 Ton a Orizon S.A. III-IV
Res. Ex 760-22 Otorga LTP B de 205,356 Ton a Orizon S.A. III-IV</t>
        </r>
      </text>
    </comment>
    <comment ref="G5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26-22 Comodato de 0,17113 Ton desde Landes S.A. III-IV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774-22 Deja sin Efecto Fidecomiso de 7,187 Ton desde Soc. Pesquera Landes. III-IV
Res. Ex 1162-22 Otorga LTP A de 7,187 Ton a Landes S.A.. III-IV</t>
        </r>
      </text>
    </comment>
    <comment ref="G5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1948-22 Deja sin Efecto Fidecomiso de 166,13 Ton desde Litoral Spa Pesq. III-IV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612-22 Cesión de 770 ton por parte de artesanal V región
Cert. N° 14-22 Traspaso de 1433 Ton desde Alimentos Marinos S.A. III-IV
Cert. N° 15-22 Traspaso de 4990 Ton desde Alimentos Marinos S.A. XIV-X</t>
        </r>
      </text>
    </comment>
    <comment ref="G6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40-22 Traspaso de 10000 Ton desde Blumar S.A. III-IV, XIV-X.
Cert. N° 49-22 Traspaso de 800 Ton desde Blumar S.A. III-IV.
Cert. N° 50-22 Traspaso de 3000 Ton desde Blumar S.A. XIV-X.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2014-22 Otorga LTP A de 55,064 Ton desde Pelantario Inostroza Concha S.A. V-IX
Cert. N° 60-22 Traspaso de 580 Ton desde Blumar S.A. XIV-X.
Cert. N° 59-22 Traspaso de 70 Ton desde Blumar S.A. III-IV.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Cert. N° 02-22 Traspaso de 3770,685 ton
Cert. N° 17-22 Traspaso de 1226,880 Ton desde Camanchaca Pesca Sur S.A. XIV-X
Cert. N° 16-22 Traspaso de 5809,563 Ton desde Camanchaca Pesca Sur S.A. XIV-X
Cert. N° 18-22 Traspaso de 1010,701 Ton desde Camanchaca Pesca Sur S.A. III-IV
Res. Ex 1464-22 Otorga LTP A de 868,797 Ton desde Camanchaca S.A. V-IX
Cert. N° 42-22 Traspaso de 4131,226 Ton desde Camanchaca Pesca Sur S.A. XV-II, III-IV y XIV-X</t>
        </r>
      </text>
    </comment>
    <comment ref="G7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1464-22 Otorga LTP A de 868,797 Ton a Camanchaca Pesca Sur S.A. V-IX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540-22 CESIÓN DE 385 TONELADAS POR PARTE DEL ARTESANAL REGIÓN DE VALPARAÍSO
RES 610-22 CESIÓN DE 3465 TONELADAS POR PARTE DEL ARTESANAL REGIÓN DE VALPARAÍSO
Cert. N° 20-22 Traspaso de 2322,33 Ton desde Litoral Spa  XIV-X
Cert. N° 39-22 Traspaso de 395 Ton desde Litoral Spa Pesq. III-IV
Cert. N° 41-22 Traspaso de 910 Ton desde Litoral Spa  XIV-X
</t>
        </r>
      </text>
    </comment>
    <comment ref="G7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540-22 CESIÓN DE 385 TONELADAS POR PARTE DEL ARTESANAL REGIÓN DE VALPARAÍSO
Res. Ex. N° 22157-22 Cesion de 168 Ton. desde Org. Artesanal V región.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04-22 Traspaso de 2285,116 Ton desde Foodcorp Chile S.A. XV-II
Cert. N° 05-22 Traspaso de 817 Ton desde Foodcorp Chile S.A. III-IV
Cert. N° 36-22 Traspaso de 3099 Ton desde Foodcorp Chile S.A. XIV-X
Cert. N° 43-22 Traspaso de 2000 Ton desde Foodcorp Chile S.A. XIV-X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223-2022 Cesión a favor de LANDES S.A. SPC. PESQ. de 4140 toneladas por artesanales Región de Los Lagos
RES 175-2022 Cesión a favor de LANDES S.A. SPC. PESQ. de 2294 toneladas por artesanales Región de Los Lagos
Cert. N° 01-22 Traspaso de 790,628 ton
Res. Ex 580-22 Deja sin Efecto Fidecomiso de 1152,669 Ton a Comercial y conservera San Lazaro Ltda. V-IX
Res. Ex 775-22 Deja sin Efecto Fidecomiso de 5065,246 Ton a Lota Protein S.A. V-IX
Cert. N° 12-22 Traspaso de 2380,479 Ton desde Landes S.A. XIV-X
Cert. N° 19-22 Traspaso de 113,134 Ton desde Landes S.A. III-IV
Cert. N° 21-22 Traspaso de 459,569 Ton desde Landes S.A. XIV-X
Res. Ex 1161-22 Otorga LTP A de 4966,131 Ton a Landes S.A. V-IX
Cert. N° 27-22 Comodato de 3,671 Ton a Thor Fishiries Chile Spa. V-IX
Cert. N° 38-22 Traspaso de 2044,8 Ton desde Landes S.A. XIV-X
Res. Ex 1705-22 Otorga LTP B de 1152,669 Ton desde Comercial y Conservera San Lazaro Ltda. V-IX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174-22 CESIÓN DE 300 TONELADAS A FAVOR DE LA EMBARCACIÓN ARTESANAL AZARIEL REGION DEL BIOBIO
RES 257-22 CESIÓN DE 81,82 TONELADAS POR PARTE DEL ARTESANAL AGRAPES A.G. REGIÓN DE VALPARAÍSO 
RES 259-22 CESIÓN DE 1090,26 TONELADAS POR PARTE DEL ARTESANAL PECERCAL REGIÓN DE LOS LAGOS
RES 316-22 CESIÓN DE 150 TONELADAS POR PARTE DEL ARTESANAL STI PESCADORES MUELLE SUDAMERICANA REGIÓN DE VALPARAÍSO
RES 443-22 CESIÓN DE 150 TONELADAS POR PARTE DEL ARTESANAL ARMAR A.G. REGIÓN DE LOS LAGOS
RES 454-22 CESIÓN DE 720 TONELADAS POR PARTE DEL ARTESANAL PESCA AUSTRAL A.G. REGIÓN DE LOS LAGOS
RES 541-22 CESIÓN DE 150 TONELADAS POR PARTE DE ORIZON S.A. A EMB. VIII
Res. Ex. N° 1631-22  Deja Sin Efecto  Res. Ex. N°541-22
RES 609-22 CESIÓN DE 300 TONELADAS POR PARTE DE ORIZON S.A. A EMB. VIII
Res. Ex. N°1903-22 Modifica Res. Ex. N°609-22 de 187 Ton Emb. VIII.
RES 443-22 CESIÓN DE 709,266 TONELADAS POR PARTE DE ASOGFER A.G. REGIÓN DE LOS LAGOS
RES 677 -22 CESIÓN DE 1400 TONELADAS POR PARTE DE AG. PAR Y BUZOS DE COQUIMBO AG 55-04 IV REGIÓN
RES 611-22 CESIÓN DE 143 TONELADAS POR PARTE DE STI PROVEEDORES MARITIMOS DE QUILLAIPE REGIÓN DE LOS LAGOS
Res. Ex 751-22 Otorga LTP B de 1152,669 Ton desde Comercial y Conservera San Lazaro Ltda. V-IX
Cert. N° 09-22 Traspaso de 1946,160 Ton desde Orizon S.A. XV-II
Cert. N° 10-22 Traspaso de 821,424 Ton desde Orizon S.A. III-IV
Cert. N° 11-22 Traspaso de 1303,560 Ton desde Orizon S.A. XIV-X
Cert. N° 13-22 Traspaso de 3344,963 Ton desde Orizon S.A. XV-II
Cert. N° 25-22 Traspaso de 7950 Ton desde Orizon S.A. III-IV
Cert. N° 24-22 Traspaso de 9000 Ton desde Orizon S.A. XIV-X
RES 1442 -22 CESIÓN DE 120 TON POR PARTE DE STI ARMADORES CERQUEROS COQUIMBOS IV REGION.
Cert. N° 37-22 Traspaso de 3724 Ton desde Orizon S.A. XIV-X</t>
        </r>
      </text>
    </comment>
    <comment ref="G9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580-22 Deja sin Efecto Fidecomiso de 1152,669 Ton desde Landes S.A. V-IX
Res. Ex 751-22 Otorga LTP B de 1152,669 Ton a Orizon S.A. V-IX
Res. Ex 1705-22 Otorga LTP B de 1152,669 Ton a Landes S.A. V-IX</t>
        </r>
      </text>
    </comment>
    <comment ref="G9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27-22 Comodato de 3,671 Ton desde Landes S.A. V-IX</t>
        </r>
      </text>
    </comment>
    <comment ref="G9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775-22 Deja sin Efecto Fidecomiso de 5065,246 Ton desde Landes S.A. V-IX
Res. Ex 1090-22 Otorga LTP A de 55,064 Ton a Pelantaro Inostroza Concha V-IX
Res. Ex 1097-22 Otorga LTP A de 44,051 Ton a Soc. Pesquera Genmar LTDA. V-IX
Res. Ex 1161-22 Otorga LTP A de 4966,131 Ton a Landes S.A. V-IX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1090-22 Otorga LTP A de 55,064 Ton a desde Lota Protein S.A. V-IX</t>
        </r>
      </text>
    </comment>
    <comment ref="G9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2014-22 Otorga LTP A de 55,064 Ton a Blumar S.A. V-IX</t>
        </r>
      </text>
    </comment>
    <comment ref="G9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1097-22 Otorga LTP A de 44,051 Ton desde Lota Protein S.A. V-IX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1118-22 Deja sin Efecto Fidecomiso de 6,975 Ton a Adustinas Inversiones Spa V-IX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1945-22 Deja sin Efecto Fidecomiso de 1564,326 Ton desde Litoral Spa Pesq. V-IX</t>
        </r>
      </text>
    </comment>
    <comment ref="G10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1947-22 Deja sin Efecto Fidecomiso de 1719,496 Ton desde Litoral Spa Pesq. V-IX</t>
        </r>
      </text>
    </comment>
    <comment ref="G10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1946-22 Deja sin Efecto Fidecomiso de 1719,496 Ton desde Litoral Spa Pesq. V-IX</t>
        </r>
      </text>
    </comment>
    <comment ref="G10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1941-22 Deja sin Efecto Fidecomiso de 1719,496 Ton desde Litoral Spa Pesq. V-IX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1940-22 Deja sin Efecto Fidecomiso de 1719,496 Ton desde Litoral Spa Pesq. V-IX</t>
        </r>
      </text>
    </comment>
    <comment ref="G11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1943-22 Deja sin Efecto Fidecomiso de 1731,867 Ton desde Litoral Spa Pesq. V-IX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15-22 Traspaso de 4990 Ton a Alimentos Marinos S.A. V-IX</t>
        </r>
      </text>
    </comment>
    <comment ref="G12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17-22 Traspaso de 1226,880 Ton a Camanchaca Pesca Sur S.A.  V-IX
Cert. N° 16-22 Traspaso de 5809,563 Ton a Camanchaca Pesca Sur S.A.  V-IX
Res. Ex 1463-22 Otorga LTP A de 248,121 Ton desde Camanchaca S.A. XIV-X
Cert. N° 42-22 Traspaso de 248,121 Ton a Camanchaca Pesca Sur S.A.  V-IX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40-22 Traspaso de 7000 Ton a Blumar S.A. V-IX
Cert. N° 50-22 Traspaso de 3000 Ton a Blumar S.A. V-IX</t>
        </r>
      </text>
    </comment>
    <comment ref="G12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2015-22 Otorga LTP A de 12,780 Ton desde Pelantario Inostroza Concha S.A. XIV-X
Cert. N° 60-22 Traspaso de 580 Ton a Blumar S.A. V-IX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1463-22 Otorga LTP A de 248,121 Ton a Camanchaca Pesca Sur S.A. XIV-X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20-22 Traspaso de 2322,33 Ton a Litoral Spa  V-IX
Cert. N° 41-22 Traspaso de 910 Ton a Litoral Spa  V-IX
</t>
        </r>
      </text>
    </comment>
    <comment ref="G13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36-22 Traspaso de 3099 Ton a Foodcorp Chile S.A. V-IX
Cert. N° 43-22 Traspaso de 2000 Ton a Foodcorp Chile S.A. V-IX</t>
        </r>
      </text>
    </comment>
    <comment ref="G13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776-22 Deja sin Efecto Fidecomiso de 2089,581 Ton a Lota Protein S.A. XIV-X
Cert. N° 12-22 Traspaso de 2380,479 Ton a Landes S.A. V-IX
Cert. N° 21-22 Traspaso de 459,569 Ton a Landes S.A. V-IX
Res. Ex 1160-22 Otorga LTP A de 2065,044 Ton desde Lota Protein S.A. XIV-X
Cert. N° 28-22 Comodato de 0,5112 Ton a  Thor Fishiries Chile Spa. XV-X
Cert. N° 38-22 Traspaso de 2044,8 Ton a Landes S.A. V-IX</t>
        </r>
      </text>
    </comment>
    <comment ref="G13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761-22 Otorga LTP B de 383,4 Ton desde Comercial y Conservera San Lazaro Ltda. XIV-X
Res. Ex 762-22 Otorga LTP B de 460,080 Ton desde Comercial y Conservera San Lazaro Ltda. XIV-X
Res. Ex 763-22 Otorga LTP B de 460,080 Ton desde Comercial y Conservera San Lazaro Ltda. XIV-X
Cert. N° 11-22 Traspaso de 1303,560 Ton a Orizon S.A. V-IX
Cert. N° 24-22 Traspaso de 9000 Ton a Orizon S.A. V-IX
Res 1306-22 Cesión de 500 ton a embaraciones artesanales VIII región.
Res. Ex. N°1951-22 Modifica Res. Ex. N°1306-22 a 221 Ton a embaraciones artesanales VIII región.
Cert. N° 37-22 Traspaso de 3724 Ton a Orizon S.A. V-IX</t>
        </r>
      </text>
    </comment>
    <comment ref="G14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761-22 Otorga LTP B de 383,4 Ton a Orizon S.A. XIV-X
Res. Ex 762-22 Otorga LTP B de 460,080 Ton a Orizon S.A. XIV-X
Res. Ex 763-22 Otorga LTP B de 460,080 Ton a Orizon S.A. XIV-X</t>
        </r>
      </text>
    </comment>
    <comment ref="G14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28-22 Comodato de 0,5112 Ton desde Landes S.A. XV-X</t>
        </r>
      </text>
    </comment>
    <comment ref="G14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776-22 Deja sin Efecto Fidecomiso de 2089,581 Ton desde Landes S.A. XIV-X
Res. Ex 1092-22 Otorga LTP A de 12,780 Ton a Pelantaro Inostroza Concha XIV-X
Res. Ex 1160-22 Otorga LTP A de 2065,044 Ton a Landes S.A. XIV-X
Res. Ex 1099-22 Otorga LTP A de 11,758 Ton a Soc. Pesquera Genmar LTDA. XIV-X</t>
        </r>
      </text>
    </comment>
    <comment ref="G14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1092-22 Otorga LTP A de 12,780 Ton desde Lota Protein S.A. XIV-X</t>
        </r>
      </text>
    </comment>
    <comment ref="G15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2015-22 Otorga LTP A de 12,780 Ton a Blumar S.A. XIV-X</t>
        </r>
      </text>
    </comment>
    <comment ref="G15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1099-22 Otorga LTP A de 11,758 Ton desde Lota Protein S.A.  XIV-X</t>
        </r>
      </text>
    </comment>
    <comment ref="G15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1939-22 Deja sin Efecto Fidecomiso de 793,551 Ton desde Litoral Spa Pesq. XIV-X</t>
        </r>
      </text>
    </comment>
    <comment ref="G15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1938-22 Deja sin Efecto Fidecomiso de 223,982 Ton desde Litoral Spa Pesq. XIV-X</t>
        </r>
      </text>
    </comment>
    <comment ref="G15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1950-22 Deja sin Efecto Fidecomiso de 793,551 Ton desde Litoral Spa Pesq. XIV-X</t>
        </r>
      </text>
    </comment>
    <comment ref="G15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1949-22 Deja sin Efecto Fidecomiso de 221,805 Ton desde Litoral Spa Pesq. XIV-X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 1631-22  Deja Sin Efecto  Res. Ex. N°541-22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 1903-22 Modifica  Res. Ex. N°609-22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 1951-22 Modifica Res. Ex. N°1306-22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 1951-22 Modifica Res. Ex. N°1306-22</t>
        </r>
      </text>
    </comment>
  </commentList>
</comments>
</file>

<file path=xl/sharedStrings.xml><?xml version="1.0" encoding="utf-8"?>
<sst xmlns="http://schemas.openxmlformats.org/spreadsheetml/2006/main" count="2177" uniqueCount="334">
  <si>
    <t>Ene-Sep</t>
  </si>
  <si>
    <t>Oct-Dic</t>
  </si>
  <si>
    <t>ARICA SEAFOOD PRODUCER S.A.</t>
  </si>
  <si>
    <t>CORPESCA S.A</t>
  </si>
  <si>
    <t>ORIZON S.A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</si>
  <si>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</si>
  <si>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</si>
  <si>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</si>
  <si>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</si>
  <si>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</si>
  <si>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</si>
  <si>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</si>
  <si>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</si>
  <si>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</si>
  <si>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</si>
  <si>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</si>
  <si>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II</t>
  </si>
  <si>
    <t>III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</si>
  <si>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</si>
  <si>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</si>
  <si>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</si>
  <si>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</si>
  <si>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</si>
  <si>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</si>
  <si>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</si>
  <si>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</si>
  <si>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</si>
  <si>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</si>
  <si>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</si>
  <si>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</si>
  <si>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XV-II</t>
  </si>
  <si>
    <t>Ene-Dic</t>
  </si>
  <si>
    <t>III-X</t>
  </si>
  <si>
    <t>XV-X</t>
  </si>
  <si>
    <t>X</t>
  </si>
  <si>
    <t>Industrial</t>
  </si>
  <si>
    <t>V-IX</t>
  </si>
  <si>
    <t>Artesanal</t>
  </si>
  <si>
    <t>XIV-X</t>
  </si>
  <si>
    <t>VII</t>
  </si>
  <si>
    <t>VIII-XVI</t>
  </si>
  <si>
    <t>PAOLA POBLETE NOVOA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</si>
  <si>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</si>
  <si>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</si>
  <si>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</si>
  <si>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</si>
  <si>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</si>
  <si>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</si>
  <si>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</si>
  <si>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</si>
  <si>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</si>
  <si>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</si>
  <si>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</si>
  <si>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</si>
  <si>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</si>
  <si>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</si>
  <si>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</si>
  <si>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</si>
  <si>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</si>
  <si>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</si>
  <si>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</si>
  <si>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</si>
  <si>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</si>
  <si>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</si>
  <si>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REGION</t>
  </si>
  <si>
    <t xml:space="preserve">JUREL III-IV  </t>
  </si>
  <si>
    <t xml:space="preserve">III-IV  </t>
  </si>
  <si>
    <t xml:space="preserve">LITORAL SPA PESQ    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</si>
  <si>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</si>
  <si>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</si>
  <si>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</si>
  <si>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</si>
  <si>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</si>
  <si>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</si>
  <si>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</si>
  <si>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</si>
  <si>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</si>
  <si>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</si>
  <si>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</si>
  <si>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TOTAL LTP</t>
  </si>
  <si>
    <t>TOTAL ASIGNATARIOS LTP</t>
  </si>
  <si>
    <t>TOTAL ASIGNATARIOS REGION</t>
  </si>
  <si>
    <t>-</t>
  </si>
  <si>
    <t>ORGANIZACION</t>
  </si>
  <si>
    <t>RPA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</si>
  <si>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</si>
  <si>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</si>
  <si>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</si>
  <si>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</si>
  <si>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</si>
  <si>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</si>
  <si>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% CONSUMIDO</t>
  </si>
  <si>
    <t xml:space="preserve"> PACIFICBLU SpA</t>
  </si>
  <si>
    <t>COMERCIAL Y CONSERVERA SAN LAZARO LIMITADA</t>
  </si>
  <si>
    <t>NAVE(S) AUTORIZADA(S)</t>
  </si>
  <si>
    <t>año</t>
  </si>
  <si>
    <t>mensaje</t>
  </si>
  <si>
    <t>TOTAL</t>
  </si>
  <si>
    <t>INFORMACIÓN PRELIMINAR</t>
  </si>
  <si>
    <t>STI PECERCAL RSU 10.01.0948</t>
  </si>
  <si>
    <t>PACIFICBLU SpA.</t>
  </si>
  <si>
    <t>captura</t>
  </si>
  <si>
    <t>CESIONES INDIVIDUALES</t>
  </si>
  <si>
    <t>ARTESANAL VIII-XVI</t>
  </si>
  <si>
    <t>CONTROL CUOTA  PESCA DE INVESTIGACIÓN</t>
  </si>
  <si>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</si>
  <si>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</si>
  <si>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</si>
  <si>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</si>
  <si>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</si>
  <si>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</si>
  <si>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</si>
  <si>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ARTESANAL</t>
  </si>
  <si>
    <t>INDUSTRIAL</t>
  </si>
  <si>
    <t>LINEA DE MANO</t>
  </si>
  <si>
    <t>IMPREVISTO</t>
  </si>
  <si>
    <t>INVESTIGACION</t>
  </si>
  <si>
    <t>CONSUMO HUMANO</t>
  </si>
  <si>
    <t>FUERA DE UNIDAD DE PESQUERIA</t>
  </si>
  <si>
    <t>ARTESANAL XV-I</t>
  </si>
  <si>
    <t>ARTESANAL III</t>
  </si>
  <si>
    <t>ARTESANAL IV</t>
  </si>
  <si>
    <t>ARTESANAL V</t>
  </si>
  <si>
    <t>ARTESANAL X</t>
  </si>
  <si>
    <t>INDUSTRIAL XV-II</t>
  </si>
  <si>
    <t>INDUSTRIAL V-IX</t>
  </si>
  <si>
    <t>INDUSTRIAL III-IV</t>
  </si>
  <si>
    <t>INDUSTRIAL XIV-X</t>
  </si>
  <si>
    <t>UNIDAD DE PESQUERIA</t>
  </si>
  <si>
    <t>JUREL XV-X</t>
  </si>
  <si>
    <t>ASIGNATARIO</t>
  </si>
  <si>
    <t>PERIODO</t>
  </si>
  <si>
    <t>FECHA CIERRE</t>
  </si>
  <si>
    <t xml:space="preserve">XV-I REGION ARICA Y PARINACOTA y TARAPACA </t>
  </si>
  <si>
    <t>II REGION DE ANTOFAGASTA</t>
  </si>
  <si>
    <t>III REGION DE ATACAMA</t>
  </si>
  <si>
    <t>IV REGION DE COQUIMBO</t>
  </si>
  <si>
    <t>V REGION DE VALPARAISO</t>
  </si>
  <si>
    <t xml:space="preserve">VI REGION DE O'HIGGINS </t>
  </si>
  <si>
    <t>VII REGION DEL MAULE</t>
  </si>
  <si>
    <t>VIII REGION DEL BIOBIO- XVI REGION DEL ÑUBLE</t>
  </si>
  <si>
    <t>IX REGION DE LA ARAUCANIA</t>
  </si>
  <si>
    <t>XIV REGION DE LOS RIOS</t>
  </si>
  <si>
    <t>X REGION DE LOS LAGOS</t>
  </si>
  <si>
    <t>MACROZONA XV-I</t>
  </si>
  <si>
    <t>II REGION</t>
  </si>
  <si>
    <t>FAUNA ACOMPAÑANTE</t>
  </si>
  <si>
    <t>III REGION</t>
  </si>
  <si>
    <t>VI REGION</t>
  </si>
  <si>
    <t>VII REGION</t>
  </si>
  <si>
    <t>VIII-XVI REGION</t>
  </si>
  <si>
    <t>IX REGION</t>
  </si>
  <si>
    <t>XIV REGION</t>
  </si>
  <si>
    <t>FAUNA ACOMPAÑANTE III-X</t>
  </si>
  <si>
    <t>CUOTA LINEA DE MANO</t>
  </si>
  <si>
    <t>TITULAR DE CUOTA LTP</t>
  </si>
  <si>
    <t>JUREL XV-II</t>
  </si>
  <si>
    <t>JUREL III-IV</t>
  </si>
  <si>
    <t>CONTROL CUOTA  CONSUMO HUMANO 2021</t>
  </si>
  <si>
    <t>RECURSO</t>
  </si>
  <si>
    <t>EMPRESA</t>
  </si>
  <si>
    <t>N° RESOLUCION</t>
  </si>
  <si>
    <t>ESPECIE</t>
  </si>
  <si>
    <t>% COSUMIDO</t>
  </si>
  <si>
    <t>FECHA DE CIERRE</t>
  </si>
  <si>
    <t>EMBARCACION</t>
  </si>
  <si>
    <t>CUOTA (TON)</t>
  </si>
  <si>
    <t>TOTAL CAPTURA (TON)</t>
  </si>
  <si>
    <t>CUOTA TRANSFERIDA (TON)</t>
  </si>
  <si>
    <t>JUREL XI-XII</t>
  </si>
  <si>
    <t>LANDES S.A. SOC. PESQ.</t>
  </si>
  <si>
    <t>FOODCORP CHILE S.A.</t>
  </si>
  <si>
    <t>STI DE PESCADORES MONTEMAR RSU 05.04.0117</t>
  </si>
  <si>
    <t xml:space="preserve">CONTROL CUOTA  FUERA UNIDAD DE PESQUERÍA XI-XII </t>
  </si>
  <si>
    <t>CAMANCHACA S.A.</t>
  </si>
  <si>
    <t>FAUNA ACOMPAÑANTE XV-II</t>
  </si>
  <si>
    <t>THOR FISHIRIES CHILE SPA</t>
  </si>
  <si>
    <t>THOR FISHERIES CHILE SPA</t>
  </si>
  <si>
    <t>ENRIQUE GONZALEZ SALGADO</t>
  </si>
  <si>
    <t xml:space="preserve">CONTROL CUOTA GLOBAL JUREL AÑO 2022                                                                                                                                                                                </t>
  </si>
  <si>
    <t xml:space="preserve"> </t>
  </si>
  <si>
    <t>COEFICIENTE</t>
  </si>
  <si>
    <t>CUOTA Ene-Sep</t>
  </si>
  <si>
    <t>CUOTA Oct-Dic</t>
  </si>
  <si>
    <t>CONTROL CUOTA CONSUMO HUMANO 2022</t>
  </si>
  <si>
    <t>CESIONES INDIVIDUALES AÑO 2022</t>
  </si>
  <si>
    <t xml:space="preserve">  </t>
  </si>
  <si>
    <t xml:space="preserve">CONTROL CUOTA JUREL FRACCIÓN ARTESANAL 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</si>
  <si>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CONTROL CUOTA JUREL FRACCION INDUSTRIAL  2022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</si>
  <si>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ARTESANAL II</t>
  </si>
  <si>
    <t>Azariel</t>
  </si>
  <si>
    <t>Huracan I</t>
  </si>
  <si>
    <t>DON BORIS</t>
  </si>
  <si>
    <t>DON TITO</t>
  </si>
  <si>
    <t>SANTA MARIA</t>
  </si>
  <si>
    <t>STI ARMADORES CERQUEROS COQUIMBO RSU 4040472</t>
  </si>
  <si>
    <t>CAZADOR</t>
  </si>
  <si>
    <t>DON MANUEL</t>
  </si>
  <si>
    <t>RUTH</t>
  </si>
  <si>
    <t>LOTA PROTEIN S.A.</t>
  </si>
  <si>
    <t>DON ALFONSO</t>
  </si>
  <si>
    <t>DON EDMUNDO</t>
  </si>
  <si>
    <t>COBRA</t>
  </si>
  <si>
    <t>RAPANUI</t>
  </si>
  <si>
    <t>YELCHO I</t>
  </si>
  <si>
    <t>ESPACIO PESQUERO SPA</t>
  </si>
  <si>
    <t>SINDICATO PESQUERO DEL NORTE</t>
  </si>
  <si>
    <t>PELANTARO INOSTROZA CONCHA</t>
  </si>
  <si>
    <t>CORAL I</t>
  </si>
  <si>
    <t>SOCIEDAD PESQUERA GENMAR LTDA.</t>
  </si>
  <si>
    <t>ADUSTINAS INVERSIONES SPA.</t>
  </si>
  <si>
    <t>VENTISQUERO</t>
  </si>
  <si>
    <t>LIDER</t>
  </si>
  <si>
    <t>VESTERVERG</t>
  </si>
  <si>
    <t>LONCO</t>
  </si>
  <si>
    <t>DON JULIO</t>
  </si>
  <si>
    <t>SAN JOSE</t>
  </si>
  <si>
    <t>Capello</t>
  </si>
  <si>
    <t>Pedro L</t>
  </si>
  <si>
    <t>Bucanero I</t>
  </si>
  <si>
    <t>Corsario I</t>
  </si>
  <si>
    <t>Maria Jose</t>
  </si>
  <si>
    <t>Pehuenco</t>
  </si>
  <si>
    <t>SANTA MARIA II</t>
  </si>
  <si>
    <t>OPERACIONES SANCE SPA</t>
  </si>
  <si>
    <t>INVERSIONES SANTA VICTORIA SPA</t>
  </si>
  <si>
    <t>INVERSIONES PESQUERAS SPA</t>
  </si>
  <si>
    <t>CE INVERSIONES SPA</t>
  </si>
  <si>
    <t>LM INVERSIONES SPA</t>
  </si>
  <si>
    <t>MV INVERSIONES SPA</t>
  </si>
  <si>
    <t>INVERSIONES GARO SPA</t>
  </si>
  <si>
    <t>INVERSIONES PROGRESO SPA</t>
  </si>
  <si>
    <t>PESQUERA CENTRO SUR SPA</t>
  </si>
  <si>
    <t>CHUBASCO</t>
  </si>
  <si>
    <t>CANDELARIA II</t>
  </si>
  <si>
    <t>DANIELA ANDREA I</t>
  </si>
  <si>
    <t>DON BASILIO</t>
  </si>
  <si>
    <t>DON BENITO II</t>
  </si>
  <si>
    <t>DON ATILIO</t>
  </si>
  <si>
    <t>DON JOSE EDGARDO</t>
  </si>
  <si>
    <t>DON JOSE MIGUEL</t>
  </si>
  <si>
    <t>DON MARCIAL</t>
  </si>
  <si>
    <t>DON PANCRACIO</t>
  </si>
  <si>
    <t>EL CID</t>
  </si>
  <si>
    <t>ESTRELLA III</t>
  </si>
  <si>
    <t>FORTUNA I</t>
  </si>
  <si>
    <t>FORTUNA IV</t>
  </si>
  <si>
    <t>FORTUNA V</t>
  </si>
  <si>
    <t>GUILLERMO I</t>
  </si>
  <si>
    <t>KALI</t>
  </si>
  <si>
    <t>LONQUIMAY 2</t>
  </si>
  <si>
    <t>MAIMAU</t>
  </si>
  <si>
    <t>MAR PRIMERO</t>
  </si>
  <si>
    <t>NATALY</t>
  </si>
  <si>
    <t>RAQUEL I</t>
  </si>
  <si>
    <t>SION</t>
  </si>
  <si>
    <t>SEA QUEST</t>
  </si>
  <si>
    <t>SOFIA MAGDALENA</t>
  </si>
  <si>
    <t>TOM JERRY</t>
  </si>
  <si>
    <t>VIRGO</t>
  </si>
  <si>
    <t>YULIANA ANTONELLA</t>
  </si>
  <si>
    <t>XOLOT</t>
  </si>
  <si>
    <t>2240-22</t>
  </si>
  <si>
    <t>CENTAURO</t>
  </si>
  <si>
    <t>JENNIFER I</t>
  </si>
  <si>
    <t>ATENEA II</t>
  </si>
  <si>
    <t>GAROTA IV</t>
  </si>
  <si>
    <t>DELFIN 2000</t>
  </si>
  <si>
    <t>JEPE I</t>
  </si>
  <si>
    <t>GAROTA</t>
  </si>
  <si>
    <t>MARIA SOLEDAD II</t>
  </si>
  <si>
    <t>LORENA I</t>
  </si>
  <si>
    <t>DOÑA OLGA I</t>
  </si>
  <si>
    <t>DON VICTORINO</t>
  </si>
  <si>
    <t>GAROTA II</t>
  </si>
  <si>
    <t>MARIA PABLA</t>
  </si>
  <si>
    <t>GAROTA III</t>
  </si>
  <si>
    <t>NIEBLA</t>
  </si>
  <si>
    <t>CAREN ROCIO</t>
  </si>
  <si>
    <t>ATLANTICO III</t>
  </si>
  <si>
    <t>DOÑA BERNARDA</t>
  </si>
  <si>
    <t>DON PERUCHO II</t>
  </si>
  <si>
    <t>SANTA NORMA</t>
  </si>
  <si>
    <t>GAROTA V</t>
  </si>
  <si>
    <t>FALCON</t>
  </si>
  <si>
    <t>STA VERONICA II</t>
  </si>
  <si>
    <t>DOÑA ADRIANA</t>
  </si>
  <si>
    <t>GREEN PEACE</t>
  </si>
  <si>
    <t>PA.KE.TE PIKAY</t>
  </si>
  <si>
    <t>DON MILO</t>
  </si>
  <si>
    <t>MICHELLE</t>
  </si>
  <si>
    <t>EL RENO</t>
  </si>
  <si>
    <t>VENUS</t>
  </si>
  <si>
    <t>SEBASTIAN II</t>
  </si>
  <si>
    <t>KIWI</t>
  </si>
  <si>
    <t>EL BELLACO I</t>
  </si>
  <si>
    <t>EL BELLACO</t>
  </si>
  <si>
    <t>2303-22</t>
  </si>
  <si>
    <t>RPA/RPI</t>
  </si>
  <si>
    <t xml:space="preserve"> CONTROL CUOTAS JUREL OROP-PS  2022</t>
  </si>
  <si>
    <t>2401-22</t>
  </si>
  <si>
    <t>CAPELLO</t>
  </si>
  <si>
    <t>MARIA ISABEL</t>
  </si>
  <si>
    <t>ANGELA VALENTINA</t>
  </si>
  <si>
    <t>SEÑORA NANCY</t>
  </si>
  <si>
    <t>MATEO A</t>
  </si>
  <si>
    <t>LIDIA C</t>
  </si>
  <si>
    <t>RODRIGO I</t>
  </si>
  <si>
    <t>KIPPERNES</t>
  </si>
  <si>
    <t>SIXTO ABRAHAM I</t>
  </si>
  <si>
    <t>AZARIEL</t>
  </si>
  <si>
    <t>CHANGO</t>
  </si>
  <si>
    <t>HURACAN I</t>
  </si>
  <si>
    <t>ANTARES V</t>
  </si>
  <si>
    <t>DON KAKO</t>
  </si>
  <si>
    <t>SOFIA-A</t>
  </si>
  <si>
    <t>DON JUAN C</t>
  </si>
  <si>
    <t>BIO BIO</t>
  </si>
  <si>
    <t>MATIAS NICOLAS</t>
  </si>
  <si>
    <t>JACOB-ISRAEL</t>
  </si>
  <si>
    <t>DON JORGE LUIS M</t>
  </si>
  <si>
    <t>TSUNAMI S</t>
  </si>
  <si>
    <t>MATIAS R</t>
  </si>
  <si>
    <t>GAVIOTA I</t>
  </si>
  <si>
    <t>SUSANA II</t>
  </si>
  <si>
    <t>PEDRO L</t>
  </si>
  <si>
    <t>SANDRITA I</t>
  </si>
  <si>
    <t>TIO CHITO</t>
  </si>
  <si>
    <t>SARAY ESMERALDA-M</t>
  </si>
  <si>
    <t>JOSUE SEGUNDO</t>
  </si>
  <si>
    <t>RIO JORDAN XI</t>
  </si>
  <si>
    <t>CECILIA III</t>
  </si>
  <si>
    <t>REY DAVID I</t>
  </si>
  <si>
    <t>LAGO 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</si>
</sst>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  <numFmt numFmtId="174" formatCode="0.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9"/>
      <color theme="1"/>
      <name val="Calibri"/>
      <family val="2"/>
      <scheme val="minor"/>
    </font>
    <font>
      <sz val="11"/>
      <color indexed="8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5" fillId="0" borderId="0"/>
  </cellStyleXfs>
  <cellXfs count="244">
    <xf numFmtId="0" fontId="0" fillId="0" borderId="0" xfId="0"/>
    <xf numFmtId="0" fontId="0" fillId="0" borderId="10" xfId="0" applyBorder="1" applyAlignment="1">
      <alignment horizontal="center" vertical="center"/>
    </xf>
    <xf numFmtId="0" fontId="22" fillId="0" borderId="10" xfId="42112" applyFon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0" xfId="42112" applyFont="1" applyBorder="1" applyAlignment="1">
      <alignment horizontal="left" vertical="center"/>
    </xf>
    <xf numFmtId="0" fontId="47" fillId="0" borderId="10" xfId="0" applyFont="1" applyBorder="1" applyAlignment="1">
      <alignment horizontal="center" vertical="center"/>
    </xf>
    <xf numFmtId="14" fontId="47" fillId="0" borderId="10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9" fontId="48" fillId="0" borderId="10" xfId="0" applyNumberFormat="1" applyFont="1" applyBorder="1" applyAlignment="1">
      <alignment horizontal="center"/>
    </xf>
    <xf numFmtId="10" fontId="48" fillId="0" borderId="10" xfId="1" applyNumberFormat="1" applyFont="1" applyFill="1" applyBorder="1" applyAlignment="1">
      <alignment horizontal="center"/>
    </xf>
    <xf numFmtId="0" fontId="48" fillId="0" borderId="10" xfId="0" applyFont="1" applyBorder="1" applyAlignment="1">
      <alignment horizontal="left"/>
    </xf>
    <xf numFmtId="1" fontId="48" fillId="0" borderId="10" xfId="0" applyNumberFormat="1" applyFont="1" applyBorder="1" applyAlignment="1">
      <alignment horizontal="center"/>
    </xf>
    <xf numFmtId="0" fontId="48" fillId="0" borderId="0" xfId="0" applyFont="1"/>
    <xf numFmtId="1" fontId="48" fillId="0" borderId="0" xfId="0" applyNumberFormat="1" applyFont="1" applyAlignment="1">
      <alignment horizontal="center"/>
    </xf>
    <xf numFmtId="169" fontId="48" fillId="0" borderId="23" xfId="0" applyNumberFormat="1" applyFont="1" applyBorder="1" applyAlignment="1">
      <alignment horizontal="center"/>
    </xf>
    <xf numFmtId="1" fontId="49" fillId="0" borderId="10" xfId="0" applyNumberFormat="1" applyFont="1" applyBorder="1" applyAlignment="1">
      <alignment horizontal="center"/>
    </xf>
    <xf numFmtId="10" fontId="49" fillId="0" borderId="10" xfId="1" applyNumberFormat="1" applyFont="1" applyFill="1" applyBorder="1" applyAlignment="1">
      <alignment horizontal="center"/>
    </xf>
    <xf numFmtId="168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Border="1" applyAlignment="1">
      <alignment horizontal="left" vertical="center"/>
    </xf>
    <xf numFmtId="0" fontId="49" fillId="0" borderId="10" xfId="0" applyFont="1" applyBorder="1" applyAlignment="1">
      <alignment horizontal="left" vertical="center"/>
    </xf>
    <xf numFmtId="168" fontId="49" fillId="0" borderId="10" xfId="1" applyNumberFormat="1" applyFont="1" applyFill="1" applyBorder="1" applyAlignment="1">
      <alignment horizontal="center" vertical="center"/>
    </xf>
    <xf numFmtId="2" fontId="49" fillId="0" borderId="10" xfId="0" applyNumberFormat="1" applyFont="1" applyBorder="1" applyAlignment="1">
      <alignment horizontal="center" vertical="center"/>
    </xf>
    <xf numFmtId="9" fontId="48" fillId="0" borderId="10" xfId="0" applyNumberFormat="1" applyFont="1" applyBorder="1" applyAlignment="1">
      <alignment horizontal="center" vertical="center"/>
    </xf>
    <xf numFmtId="169" fontId="48" fillId="0" borderId="10" xfId="0" applyNumberFormat="1" applyFont="1" applyBorder="1" applyAlignment="1">
      <alignment horizontal="center" vertical="center"/>
    </xf>
    <xf numFmtId="169" fontId="49" fillId="0" borderId="10" xfId="0" applyNumberFormat="1" applyFont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14" fontId="48" fillId="0" borderId="10" xfId="0" applyNumberFormat="1" applyFont="1" applyBorder="1" applyAlignment="1">
      <alignment horizontal="center" vertical="center"/>
    </xf>
    <xf numFmtId="169" fontId="49" fillId="0" borderId="10" xfId="0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/>
    <xf numFmtId="0" fontId="49" fillId="56" borderId="10" xfId="0" applyFont="1" applyFill="1" applyBorder="1" applyAlignment="1">
      <alignment horizontal="center" vertical="center"/>
    </xf>
    <xf numFmtId="0" fontId="49" fillId="56" borderId="30" xfId="0" applyFont="1" applyFill="1" applyBorder="1" applyAlignment="1">
      <alignment horizontal="center" vertical="center"/>
    </xf>
    <xf numFmtId="0" fontId="49" fillId="56" borderId="1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169" fontId="48" fillId="0" borderId="0" xfId="0" applyNumberFormat="1" applyFont="1" applyAlignment="1">
      <alignment horizontal="center" vertical="center"/>
    </xf>
    <xf numFmtId="168" fontId="48" fillId="0" borderId="0" xfId="1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10" fontId="48" fillId="0" borderId="0" xfId="1" applyNumberFormat="1" applyFont="1" applyFill="1" applyBorder="1" applyAlignment="1">
      <alignment horizontal="center" vertical="center"/>
    </xf>
    <xf numFmtId="169" fontId="48" fillId="0" borderId="0" xfId="0" applyNumberFormat="1" applyFont="1" applyAlignment="1">
      <alignment vertical="center"/>
    </xf>
    <xf numFmtId="173" fontId="48" fillId="0" borderId="0" xfId="0" applyNumberFormat="1" applyFont="1" applyAlignment="1">
      <alignment vertical="center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9" fontId="48" fillId="0" borderId="0" xfId="0" applyNumberFormat="1" applyFont="1" applyAlignment="1">
      <alignment horizontal="center" vertical="center"/>
    </xf>
    <xf numFmtId="172" fontId="48" fillId="0" borderId="10" xfId="0" applyNumberFormat="1" applyFont="1" applyBorder="1" applyAlignment="1">
      <alignment horizontal="center" vertical="center"/>
    </xf>
    <xf numFmtId="2" fontId="49" fillId="56" borderId="10" xfId="0" applyNumberFormat="1" applyFont="1" applyFill="1" applyBorder="1" applyAlignment="1">
      <alignment horizontal="center" vertical="center"/>
    </xf>
    <xf numFmtId="0" fontId="49" fillId="56" borderId="22" xfId="0" applyFont="1" applyFill="1" applyBorder="1" applyAlignment="1">
      <alignment horizontal="center" vertical="center"/>
    </xf>
    <xf numFmtId="0" fontId="49" fillId="56" borderId="26" xfId="0" applyFont="1" applyFill="1" applyBorder="1" applyAlignment="1">
      <alignment horizontal="center" vertical="center"/>
    </xf>
    <xf numFmtId="0" fontId="49" fillId="56" borderId="32" xfId="0" applyFont="1" applyFill="1" applyBorder="1" applyAlignment="1">
      <alignment horizontal="center" vertical="center"/>
    </xf>
    <xf numFmtId="2" fontId="49" fillId="58" borderId="10" xfId="0" applyNumberFormat="1" applyFont="1" applyFill="1" applyBorder="1" applyAlignment="1">
      <alignment horizontal="center" vertical="center"/>
    </xf>
    <xf numFmtId="1" fontId="48" fillId="0" borderId="10" xfId="0" applyNumberFormat="1" applyFont="1" applyBorder="1" applyAlignment="1">
      <alignment horizontal="center" vertical="center"/>
    </xf>
    <xf numFmtId="2" fontId="49" fillId="0" borderId="0" xfId="0" applyNumberFormat="1" applyFont="1" applyAlignment="1">
      <alignment horizontal="center" vertical="center"/>
    </xf>
    <xf numFmtId="169" fontId="49" fillId="0" borderId="12" xfId="0" applyNumberFormat="1" applyFont="1" applyBorder="1" applyAlignment="1">
      <alignment horizontal="center" vertical="center"/>
    </xf>
    <xf numFmtId="172" fontId="47" fillId="0" borderId="10" xfId="1" applyNumberFormat="1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172" fontId="0" fillId="0" borderId="0" xfId="1" applyNumberFormat="1" applyFont="1" applyFill="1" applyAlignment="1">
      <alignment horizontal="center" vertical="center"/>
    </xf>
    <xf numFmtId="9" fontId="48" fillId="0" borderId="0" xfId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left" vertical="center" wrapText="1"/>
    </xf>
    <xf numFmtId="169" fontId="48" fillId="0" borderId="0" xfId="0" applyNumberFormat="1" applyFont="1"/>
    <xf numFmtId="2" fontId="49" fillId="0" borderId="10" xfId="0" applyNumberFormat="1" applyFont="1" applyBorder="1" applyAlignment="1">
      <alignment horizontal="center"/>
    </xf>
    <xf numFmtId="1" fontId="48" fillId="0" borderId="0" xfId="0" applyNumberFormat="1" applyFont="1"/>
    <xf numFmtId="169" fontId="49" fillId="0" borderId="0" xfId="0" applyNumberFormat="1" applyFont="1" applyAlignment="1">
      <alignment horizontal="center" vertical="center"/>
    </xf>
    <xf numFmtId="168" fontId="49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Alignment="1">
      <alignment horizontal="center" vertical="center"/>
    </xf>
    <xf numFmtId="1" fontId="52" fillId="0" borderId="0" xfId="0" applyNumberFormat="1" applyFont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169" fontId="49" fillId="0" borderId="30" xfId="0" applyNumberFormat="1" applyFont="1" applyBorder="1" applyAlignment="1">
      <alignment horizontal="center" vertical="center"/>
    </xf>
    <xf numFmtId="4" fontId="48" fillId="0" borderId="0" xfId="0" applyNumberFormat="1" applyFont="1" applyAlignment="1">
      <alignment horizontal="left" vertical="center"/>
    </xf>
    <xf numFmtId="4" fontId="48" fillId="0" borderId="0" xfId="0" applyNumberFormat="1" applyFont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74" fontId="49" fillId="0" borderId="10" xfId="0" applyNumberFormat="1" applyFont="1" applyBorder="1" applyAlignment="1">
      <alignment horizontal="center"/>
    </xf>
    <xf numFmtId="169" fontId="51" fillId="0" borderId="10" xfId="0" applyNumberFormat="1" applyFont="1" applyBorder="1" applyAlignment="1">
      <alignment horizontal="center" vertical="center"/>
    </xf>
    <xf numFmtId="10" fontId="48" fillId="0" borderId="10" xfId="1" applyNumberFormat="1" applyFont="1" applyFill="1" applyBorder="1" applyAlignment="1">
      <alignment horizontal="center" vertical="center"/>
    </xf>
    <xf numFmtId="0" fontId="49" fillId="0" borderId="22" xfId="0" applyFont="1" applyBorder="1" applyAlignment="1">
      <alignment horizontal="left" vertical="center" wrapText="1"/>
    </xf>
    <xf numFmtId="169" fontId="48" fillId="0" borderId="22" xfId="0" applyNumberFormat="1" applyFont="1" applyBorder="1" applyAlignment="1">
      <alignment horizontal="center" vertical="center"/>
    </xf>
    <xf numFmtId="169" fontId="48" fillId="0" borderId="23" xfId="0" applyNumberFormat="1" applyFont="1" applyBorder="1" applyAlignment="1">
      <alignment horizontal="center" vertical="center"/>
    </xf>
    <xf numFmtId="169" fontId="48" fillId="0" borderId="12" xfId="0" applyNumberFormat="1" applyFont="1" applyBorder="1" applyAlignment="1">
      <alignment horizontal="center" vertical="center"/>
    </xf>
    <xf numFmtId="14" fontId="49" fillId="0" borderId="10" xfId="0" applyNumberFormat="1" applyFont="1" applyBorder="1" applyAlignment="1">
      <alignment horizontal="center" vertical="center"/>
    </xf>
    <xf numFmtId="14" fontId="49" fillId="0" borderId="0" xfId="0" applyNumberFormat="1" applyFont="1" applyAlignment="1">
      <alignment horizontal="center" vertical="center"/>
    </xf>
    <xf numFmtId="10" fontId="48" fillId="0" borderId="0" xfId="1" applyNumberFormat="1" applyFont="1" applyFill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169" fontId="48" fillId="0" borderId="25" xfId="0" applyNumberFormat="1" applyFont="1" applyBorder="1" applyAlignment="1">
      <alignment horizontal="center" vertical="center"/>
    </xf>
    <xf numFmtId="169" fontId="48" fillId="0" borderId="27" xfId="0" applyNumberFormat="1" applyFont="1" applyBorder="1" applyAlignment="1">
      <alignment horizontal="center" vertical="center"/>
    </xf>
    <xf numFmtId="10" fontId="48" fillId="0" borderId="22" xfId="1" applyNumberFormat="1" applyFont="1" applyFill="1" applyBorder="1" applyAlignment="1">
      <alignment horizontal="center" vertical="center"/>
    </xf>
    <xf numFmtId="169" fontId="48" fillId="0" borderId="29" xfId="0" applyNumberFormat="1" applyFont="1" applyBorder="1" applyAlignment="1">
      <alignment horizontal="center" vertical="center"/>
    </xf>
    <xf numFmtId="14" fontId="49" fillId="0" borderId="30" xfId="0" applyNumberFormat="1" applyFont="1" applyBorder="1" applyAlignment="1">
      <alignment horizontal="center" vertical="center"/>
    </xf>
    <xf numFmtId="168" fontId="48" fillId="0" borderId="29" xfId="1" applyNumberFormat="1" applyFont="1" applyFill="1" applyBorder="1" applyAlignment="1">
      <alignment horizontal="center" vertical="center"/>
    </xf>
    <xf numFmtId="169" fontId="48" fillId="0" borderId="30" xfId="0" applyNumberFormat="1" applyFont="1" applyBorder="1" applyAlignment="1">
      <alignment horizontal="center" vertical="center"/>
    </xf>
    <xf numFmtId="168" fontId="48" fillId="0" borderId="0" xfId="1" applyNumberFormat="1" applyFont="1" applyFill="1" applyAlignment="1">
      <alignment horizontal="center" vertical="center"/>
    </xf>
    <xf numFmtId="0" fontId="49" fillId="0" borderId="10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14" fontId="56" fillId="0" borderId="30" xfId="0" applyNumberFormat="1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9" fontId="49" fillId="0" borderId="10" xfId="1" applyFont="1" applyFill="1" applyBorder="1" applyAlignment="1">
      <alignment horizontal="center"/>
    </xf>
    <xf numFmtId="14" fontId="56" fillId="0" borderId="10" xfId="0" applyNumberFormat="1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9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/>
    </xf>
    <xf numFmtId="0" fontId="48" fillId="0" borderId="23" xfId="0" applyFont="1" applyBorder="1" applyAlignment="1">
      <alignment horizontal="center" vertical="center"/>
    </xf>
    <xf numFmtId="169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/>
    </xf>
    <xf numFmtId="0" fontId="48" fillId="0" borderId="23" xfId="0" applyFont="1" applyBorder="1" applyAlignment="1">
      <alignment horizontal="center" vertical="center"/>
    </xf>
    <xf numFmtId="169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/>
    </xf>
    <xf numFmtId="0" fontId="48" fillId="0" borderId="10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8" fillId="60" borderId="10" xfId="0" applyNumberFormat="1" applyFont="1" applyFill="1" applyBorder="1" applyAlignment="1">
      <alignment horizontal="center" vertical="center"/>
    </xf>
    <xf numFmtId="0" fontId="48" fillId="60" borderId="10" xfId="0" applyFont="1" applyFill="1" applyBorder="1" applyAlignment="1">
      <alignment horizontal="center" vertical="center"/>
    </xf>
    <xf numFmtId="0" fontId="48" fillId="61" borderId="10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0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60" fillId="0" borderId="10" xfId="0" applyFont="1" applyFill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/>
    <xf numFmtId="0" fontId="48" fillId="0" borderId="10" xfId="0" applyFont="1" applyBorder="1" applyAlignment="1">
      <alignment horizontal="center" vertical="center"/>
    </xf>
    <xf numFmtId="169" fontId="48" fillId="61" borderId="10" xfId="0" applyNumberFormat="1" applyFont="1" applyFill="1" applyBorder="1" applyAlignment="1">
      <alignment horizontal="center" vertical="center"/>
    </xf>
    <xf numFmtId="169" fontId="0" fillId="61" borderId="10" xfId="0" applyNumberFormat="1" applyFill="1" applyBorder="1" applyAlignment="1">
      <alignment horizontal="center" vertical="center"/>
    </xf>
    <xf numFmtId="0" fontId="48" fillId="61" borderId="1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2" fontId="49" fillId="58" borderId="10" xfId="0" applyNumberFormat="1" applyFont="1" applyFill="1" applyBorder="1" applyAlignment="1">
      <alignment horizontal="center" vertical="center"/>
    </xf>
    <xf numFmtId="0" fontId="49" fillId="58" borderId="10" xfId="0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wrapText="1"/>
    </xf>
    <xf numFmtId="0" fontId="49" fillId="55" borderId="25" xfId="0" applyFont="1" applyFill="1" applyBorder="1" applyAlignment="1">
      <alignment horizontal="center" wrapText="1"/>
    </xf>
    <xf numFmtId="0" fontId="49" fillId="55" borderId="26" xfId="0" applyFont="1" applyFill="1" applyBorder="1" applyAlignment="1">
      <alignment horizontal="center" wrapText="1"/>
    </xf>
    <xf numFmtId="171" fontId="48" fillId="55" borderId="11" xfId="0" applyNumberFormat="1" applyFont="1" applyFill="1" applyBorder="1" applyAlignment="1">
      <alignment horizontal="center" vertical="center" wrapText="1"/>
    </xf>
    <xf numFmtId="171" fontId="48" fillId="55" borderId="27" xfId="0" applyNumberFormat="1" applyFont="1" applyFill="1" applyBorder="1" applyAlignment="1">
      <alignment horizontal="center" vertical="center" wrapText="1"/>
    </xf>
    <xf numFmtId="171" fontId="48" fillId="55" borderId="28" xfId="0" applyNumberFormat="1" applyFont="1" applyFill="1" applyBorder="1" applyAlignment="1">
      <alignment horizontal="center" vertical="center" wrapText="1"/>
    </xf>
    <xf numFmtId="0" fontId="49" fillId="0" borderId="31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7" borderId="31" xfId="0" applyFont="1" applyFill="1" applyBorder="1" applyAlignment="1">
      <alignment horizontal="center" vertical="center"/>
    </xf>
    <xf numFmtId="0" fontId="49" fillId="57" borderId="30" xfId="0" applyFont="1" applyFill="1" applyBorder="1" applyAlignment="1">
      <alignment horizontal="center" vertical="center"/>
    </xf>
    <xf numFmtId="0" fontId="53" fillId="0" borderId="31" xfId="0" applyFont="1" applyBorder="1" applyAlignment="1">
      <alignment horizontal="center" vertical="top"/>
    </xf>
    <xf numFmtId="2" fontId="49" fillId="58" borderId="22" xfId="0" applyNumberFormat="1" applyFont="1" applyFill="1" applyBorder="1" applyAlignment="1">
      <alignment horizontal="center" vertical="center"/>
    </xf>
    <xf numFmtId="2" fontId="49" fillId="58" borderId="12" xfId="0" applyNumberFormat="1" applyFont="1" applyFill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9" fillId="57" borderId="10" xfId="0" applyFont="1" applyFill="1" applyBorder="1" applyAlignment="1">
      <alignment horizontal="center" vertical="center"/>
    </xf>
    <xf numFmtId="0" fontId="49" fillId="0" borderId="22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55" borderId="24" xfId="0" applyFont="1" applyFill="1" applyBorder="1" applyAlignment="1">
      <alignment horizontal="center" vertical="center" wrapText="1"/>
    </xf>
    <xf numFmtId="0" fontId="49" fillId="55" borderId="25" xfId="0" applyFont="1" applyFill="1" applyBorder="1" applyAlignment="1">
      <alignment horizontal="center" vertical="center" wrapText="1"/>
    </xf>
    <xf numFmtId="0" fontId="49" fillId="55" borderId="26" xfId="0" applyFont="1" applyFill="1" applyBorder="1" applyAlignment="1">
      <alignment horizontal="center" vertical="center" wrapText="1"/>
    </xf>
    <xf numFmtId="171" fontId="49" fillId="55" borderId="11" xfId="0" applyNumberFormat="1" applyFont="1" applyFill="1" applyBorder="1" applyAlignment="1">
      <alignment horizontal="center" vertical="center" wrapText="1"/>
    </xf>
    <xf numFmtId="171" fontId="49" fillId="55" borderId="27" xfId="0" applyNumberFormat="1" applyFont="1" applyFill="1" applyBorder="1" applyAlignment="1">
      <alignment horizontal="center" vertical="center" wrapText="1"/>
    </xf>
    <xf numFmtId="171" fontId="49" fillId="55" borderId="28" xfId="0" applyNumberFormat="1" applyFont="1" applyFill="1" applyBorder="1" applyAlignment="1">
      <alignment horizontal="center" vertical="center" wrapText="1"/>
    </xf>
    <xf numFmtId="169" fontId="48" fillId="0" borderId="10" xfId="0" applyNumberFormat="1" applyFont="1" applyBorder="1" applyAlignment="1">
      <alignment horizontal="center" vertical="center"/>
    </xf>
    <xf numFmtId="169" fontId="51" fillId="0" borderId="10" xfId="0" applyNumberFormat="1" applyFont="1" applyBorder="1" applyAlignment="1">
      <alignment horizontal="center" vertical="center"/>
    </xf>
    <xf numFmtId="10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1" fontId="49" fillId="0" borderId="10" xfId="0" applyNumberFormat="1" applyFont="1" applyBorder="1" applyAlignment="1">
      <alignment horizontal="center" vertical="center"/>
    </xf>
    <xf numFmtId="169" fontId="49" fillId="0" borderId="10" xfId="0" applyNumberFormat="1" applyFont="1" applyBorder="1" applyAlignment="1">
      <alignment horizontal="center" vertical="center"/>
    </xf>
    <xf numFmtId="169" fontId="52" fillId="0" borderId="10" xfId="0" applyNumberFormat="1" applyFont="1" applyBorder="1" applyAlignment="1">
      <alignment horizontal="center" vertical="center"/>
    </xf>
    <xf numFmtId="10" fontId="49" fillId="0" borderId="10" xfId="1" applyNumberFormat="1" applyFont="1" applyFill="1" applyBorder="1" applyAlignment="1">
      <alignment horizontal="center" vertical="center"/>
    </xf>
    <xf numFmtId="169" fontId="49" fillId="0" borderId="22" xfId="0" applyNumberFormat="1" applyFont="1" applyBorder="1" applyAlignment="1">
      <alignment horizontal="center" vertical="center"/>
    </xf>
    <xf numFmtId="169" fontId="49" fillId="0" borderId="12" xfId="0" applyNumberFormat="1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2" xfId="0" applyFont="1" applyBorder="1" applyAlignment="1">
      <alignment horizontal="left" vertical="center" wrapText="1"/>
    </xf>
    <xf numFmtId="0" fontId="49" fillId="0" borderId="12" xfId="0" applyFont="1" applyBorder="1" applyAlignment="1">
      <alignment horizontal="left" vertical="center" wrapText="1"/>
    </xf>
    <xf numFmtId="1" fontId="49" fillId="0" borderId="22" xfId="0" applyNumberFormat="1" applyFont="1" applyBorder="1" applyAlignment="1">
      <alignment horizontal="center" vertical="center"/>
    </xf>
    <xf numFmtId="1" fontId="49" fillId="0" borderId="12" xfId="0" applyNumberFormat="1" applyFont="1" applyBorder="1" applyAlignment="1">
      <alignment horizontal="center" vertical="center"/>
    </xf>
    <xf numFmtId="1" fontId="52" fillId="0" borderId="22" xfId="0" applyNumberFormat="1" applyFont="1" applyBorder="1" applyAlignment="1">
      <alignment horizontal="center" vertical="center"/>
    </xf>
    <xf numFmtId="1" fontId="52" fillId="0" borderId="12" xfId="0" applyNumberFormat="1" applyFont="1" applyBorder="1" applyAlignment="1">
      <alignment horizontal="center" vertical="center"/>
    </xf>
    <xf numFmtId="0" fontId="49" fillId="55" borderId="24" xfId="0" applyFont="1" applyFill="1" applyBorder="1" applyAlignment="1">
      <alignment horizontal="center" vertical="top" wrapText="1"/>
    </xf>
    <xf numFmtId="0" fontId="49" fillId="55" borderId="25" xfId="0" applyFont="1" applyFill="1" applyBorder="1" applyAlignment="1">
      <alignment horizontal="center" vertical="top" wrapText="1"/>
    </xf>
    <xf numFmtId="0" fontId="49" fillId="55" borderId="26" xfId="0" applyFont="1" applyFill="1" applyBorder="1" applyAlignment="1">
      <alignment horizontal="center" vertical="top" wrapText="1"/>
    </xf>
    <xf numFmtId="1" fontId="52" fillId="0" borderId="10" xfId="0" applyNumberFormat="1" applyFont="1" applyBorder="1" applyAlignment="1">
      <alignment horizontal="center" vertical="center"/>
    </xf>
    <xf numFmtId="169" fontId="51" fillId="0" borderId="10" xfId="0" applyNumberFormat="1" applyFont="1" applyFill="1" applyBorder="1" applyAlignment="1">
      <alignment horizontal="center" vertical="center"/>
    </xf>
    <xf numFmtId="10" fontId="49" fillId="0" borderId="22" xfId="1" applyNumberFormat="1" applyFont="1" applyFill="1" applyBorder="1" applyAlignment="1">
      <alignment horizontal="center" vertical="center"/>
    </xf>
    <xf numFmtId="10" fontId="49" fillId="0" borderId="12" xfId="1" applyNumberFormat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left" vertical="center" wrapText="1"/>
    </xf>
    <xf numFmtId="14" fontId="48" fillId="0" borderId="10" xfId="0" applyNumberFormat="1" applyFont="1" applyBorder="1" applyAlignment="1">
      <alignment horizontal="center" vertical="center"/>
    </xf>
    <xf numFmtId="1" fontId="48" fillId="0" borderId="22" xfId="0" applyNumberFormat="1" applyFont="1" applyBorder="1" applyAlignment="1">
      <alignment horizontal="center" vertical="center"/>
    </xf>
    <xf numFmtId="1" fontId="48" fillId="0" borderId="23" xfId="0" applyNumberFormat="1" applyFont="1" applyBorder="1" applyAlignment="1">
      <alignment horizontal="center" vertical="center"/>
    </xf>
    <xf numFmtId="1" fontId="48" fillId="0" borderId="12" xfId="0" applyNumberFormat="1" applyFont="1" applyBorder="1" applyAlignment="1">
      <alignment horizontal="center" vertical="center"/>
    </xf>
    <xf numFmtId="9" fontId="48" fillId="0" borderId="22" xfId="1" applyFont="1" applyBorder="1" applyAlignment="1">
      <alignment horizontal="center" vertical="center"/>
    </xf>
    <xf numFmtId="9" fontId="48" fillId="0" borderId="23" xfId="1" applyFont="1" applyBorder="1" applyAlignment="1">
      <alignment horizontal="center" vertical="center"/>
    </xf>
    <xf numFmtId="9" fontId="48" fillId="0" borderId="12" xfId="1" applyFont="1" applyBorder="1" applyAlignment="1">
      <alignment horizontal="center" vertical="center"/>
    </xf>
    <xf numFmtId="167" fontId="49" fillId="55" borderId="24" xfId="0" applyNumberFormat="1" applyFont="1" applyFill="1" applyBorder="1" applyAlignment="1">
      <alignment horizontal="center"/>
    </xf>
    <xf numFmtId="167" fontId="49" fillId="55" borderId="25" xfId="0" applyNumberFormat="1" applyFont="1" applyFill="1" applyBorder="1" applyAlignment="1">
      <alignment horizontal="center"/>
    </xf>
    <xf numFmtId="167" fontId="49" fillId="55" borderId="26" xfId="0" applyNumberFormat="1" applyFont="1" applyFill="1" applyBorder="1" applyAlignment="1">
      <alignment horizontal="center"/>
    </xf>
    <xf numFmtId="171" fontId="49" fillId="55" borderId="11" xfId="0" applyNumberFormat="1" applyFont="1" applyFill="1" applyBorder="1" applyAlignment="1">
      <alignment horizontal="center"/>
    </xf>
    <xf numFmtId="171" fontId="49" fillId="55" borderId="27" xfId="0" applyNumberFormat="1" applyFont="1" applyFill="1" applyBorder="1" applyAlignment="1">
      <alignment horizontal="center"/>
    </xf>
    <xf numFmtId="171" fontId="49" fillId="55" borderId="28" xfId="0" applyNumberFormat="1" applyFont="1" applyFill="1" applyBorder="1" applyAlignment="1">
      <alignment horizontal="center"/>
    </xf>
    <xf numFmtId="9" fontId="48" fillId="59" borderId="10" xfId="1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48" fillId="0" borderId="22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9" fontId="48" fillId="0" borderId="10" xfId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 vertical="center"/>
    </xf>
    <xf numFmtId="14" fontId="48" fillId="0" borderId="23" xfId="0" applyNumberFormat="1" applyFont="1" applyBorder="1" applyAlignment="1">
      <alignment horizontal="center" vertical="center"/>
    </xf>
    <xf numFmtId="14" fontId="48" fillId="0" borderId="12" xfId="0" applyNumberFormat="1" applyFont="1" applyBorder="1" applyAlignment="1">
      <alignment horizontal="center" vertical="center"/>
    </xf>
    <xf numFmtId="169" fontId="48" fillId="0" borderId="22" xfId="0" applyNumberFormat="1" applyFont="1" applyBorder="1" applyAlignment="1">
      <alignment horizontal="center" vertical="center"/>
    </xf>
    <xf numFmtId="169" fontId="48" fillId="0" borderId="23" xfId="0" applyNumberFormat="1" applyFont="1" applyBorder="1" applyAlignment="1">
      <alignment horizontal="center" vertical="center"/>
    </xf>
    <xf numFmtId="169" fontId="48" fillId="0" borderId="12" xfId="0" applyNumberFormat="1" applyFont="1" applyBorder="1" applyAlignment="1">
      <alignment horizontal="center" vertical="center"/>
    </xf>
    <xf numFmtId="9" fontId="48" fillId="0" borderId="22" xfId="1" applyFont="1" applyFill="1" applyBorder="1" applyAlignment="1">
      <alignment horizontal="center" vertical="center"/>
    </xf>
    <xf numFmtId="9" fontId="48" fillId="0" borderId="23" xfId="1" applyFont="1" applyFill="1" applyBorder="1" applyAlignment="1">
      <alignment horizontal="center" vertical="center"/>
    </xf>
    <xf numFmtId="9" fontId="48" fillId="0" borderId="12" xfId="1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vertical="center"/>
    </xf>
    <xf numFmtId="0" fontId="49" fillId="55" borderId="25" xfId="0" applyFont="1" applyFill="1" applyBorder="1" applyAlignment="1">
      <alignment horizontal="center" vertical="center"/>
    </xf>
    <xf numFmtId="0" fontId="49" fillId="55" borderId="26" xfId="0" applyFont="1" applyFill="1" applyBorder="1" applyAlignment="1">
      <alignment horizontal="center" vertical="center"/>
    </xf>
    <xf numFmtId="171" fontId="49" fillId="55" borderId="11" xfId="0" applyNumberFormat="1" applyFont="1" applyFill="1" applyBorder="1" applyAlignment="1">
      <alignment horizontal="center" vertical="center"/>
    </xf>
    <xf numFmtId="171" fontId="49" fillId="55" borderId="27" xfId="0" applyNumberFormat="1" applyFont="1" applyFill="1" applyBorder="1" applyAlignment="1">
      <alignment horizontal="center" vertical="center"/>
    </xf>
    <xf numFmtId="171" fontId="49" fillId="55" borderId="28" xfId="0" applyNumberFormat="1" applyFont="1" applyFill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56" borderId="29" xfId="0" applyFont="1" applyFill="1" applyBorder="1" applyAlignment="1">
      <alignment horizontal="center" vertical="center"/>
    </xf>
    <xf numFmtId="0" fontId="49" fillId="56" borderId="31" xfId="0" applyFont="1" applyFill="1" applyBorder="1" applyAlignment="1">
      <alignment horizontal="center" vertical="center"/>
    </xf>
    <xf numFmtId="0" fontId="49" fillId="56" borderId="30" xfId="0" applyFont="1" applyFill="1" applyBorder="1" applyAlignment="1">
      <alignment horizontal="center" vertical="center"/>
    </xf>
    <xf numFmtId="9" fontId="48" fillId="0" borderId="10" xfId="1" applyFont="1" applyBorder="1" applyAlignment="1">
      <alignment horizontal="center" vertical="center"/>
    </xf>
    <xf numFmtId="0" fontId="48" fillId="0" borderId="10" xfId="0" applyFont="1" applyFill="1" applyBorder="1" applyAlignment="1">
      <alignment horizont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199586"/>
      <color rgb="FFE9CDE6"/>
      <color rgb="FFD5E9F7"/>
      <color rgb="FFBDDDD2"/>
      <color rgb="FFE7FBFF"/>
      <color rgb="FFA7BCE3"/>
      <color rgb="FF3ABFC6"/>
      <color rgb="FFF4F7FA"/>
      <color rgb="FF7AF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NUL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opLeftCell="A7" zoomScaleNormal="100" workbookViewId="0">
      <selection activeCell="C6" sqref="C6:C24"/>
    </sheetView>
  </sheetViews>
  <sheetFormatPr baseColWidth="10" defaultColWidth="11.42578125" defaultRowHeight="12"/>
  <cols>
    <col min="1" max="1" width="11.140625" style="19" customWidth="1"/>
    <col min="2" max="3" width="18.140625" style="19" bestFit="1" customWidth="1"/>
    <col min="4" max="4" width="26.42578125" style="19" bestFit="1" customWidth="1"/>
    <col min="5" max="5" width="20.42578125" style="19" customWidth="1"/>
    <col min="6" max="6" width="15.5703125" style="19" customWidth="1"/>
    <col min="7" max="7" width="18.140625" style="19" customWidth="1"/>
    <col min="8" max="8" width="12.42578125" style="19" bestFit="1" customWidth="1"/>
    <col min="9" max="9" width="11.42578125" style="19"/>
    <col min="10" max="10" width="13" style="19" customWidth="1"/>
    <col min="11" max="12" width="11.42578125" style="19"/>
    <col min="13" max="13" width="95" style="19" customWidth="1"/>
    <col min="14" max="16384" width="11.42578125" style="19"/>
  </cols>
  <sheetData>
    <row r="1" spans="2:10" ht="28.5" customHeight="1"/>
    <row r="2" spans="2:10" ht="12" customHeight="1">
      <c r="B2" s="144" t="s">
        <v>179</v>
      </c>
      <c r="C2" s="145"/>
      <c r="D2" s="145"/>
      <c r="E2" s="145"/>
      <c r="F2" s="145"/>
      <c r="G2" s="145"/>
      <c r="H2" s="145"/>
      <c r="I2" s="145"/>
      <c r="J2" s="146"/>
    </row>
    <row r="3" spans="2:10" ht="14.45" customHeight="1">
      <c r="B3" s="147">
        <v>44895</v>
      </c>
      <c r="C3" s="148"/>
      <c r="D3" s="148"/>
      <c r="E3" s="148"/>
      <c r="F3" s="148"/>
      <c r="G3" s="148"/>
      <c r="H3" s="148"/>
      <c r="I3" s="148"/>
      <c r="J3" s="149"/>
    </row>
    <row r="4" spans="2:10" ht="21.75" customHeight="1">
      <c r="B4" s="158" t="s">
        <v>98</v>
      </c>
      <c r="C4" s="158"/>
      <c r="D4" s="158"/>
      <c r="E4" s="158"/>
      <c r="F4" s="158"/>
      <c r="G4" s="158"/>
      <c r="H4" s="158"/>
      <c r="I4" s="158"/>
      <c r="J4" s="158"/>
    </row>
    <row r="5" spans="2:10">
      <c r="B5" s="38" t="s">
        <v>128</v>
      </c>
      <c r="C5" s="39" t="s">
        <v>105</v>
      </c>
      <c r="D5" s="38" t="s">
        <v>106</v>
      </c>
      <c r="E5" s="40" t="s">
        <v>107</v>
      </c>
      <c r="F5" s="38" t="s">
        <v>108</v>
      </c>
      <c r="G5" s="38" t="s">
        <v>109</v>
      </c>
      <c r="H5" s="38" t="s">
        <v>110</v>
      </c>
      <c r="I5" s="38" t="s">
        <v>111</v>
      </c>
      <c r="J5" s="38" t="s">
        <v>91</v>
      </c>
    </row>
    <row r="6" spans="2:10">
      <c r="B6" s="152" t="s">
        <v>129</v>
      </c>
      <c r="C6" s="161" t="s">
        <v>112</v>
      </c>
      <c r="D6" s="17" t="s">
        <v>119</v>
      </c>
      <c r="E6" s="18">
        <f>+'CUOTA ARTESANAL'!E6</f>
        <v>2059</v>
      </c>
      <c r="F6" s="15">
        <f>'CUOTA ARTESANAL'!F6</f>
        <v>0</v>
      </c>
      <c r="G6" s="15">
        <f>'CUOTA ARTESANAL'!M6</f>
        <v>2059</v>
      </c>
      <c r="H6" s="15">
        <f>'CUOTA ARTESANAL'!N6</f>
        <v>124.175</v>
      </c>
      <c r="I6" s="15">
        <f>'CUOTA ARTESANAL'!O6</f>
        <v>1934.825</v>
      </c>
      <c r="J6" s="16">
        <f>'CUOTA ARTESANAL'!P6</f>
        <v>6.0308402136959691E-2</v>
      </c>
    </row>
    <row r="7" spans="2:10">
      <c r="B7" s="153"/>
      <c r="C7" s="161"/>
      <c r="D7" s="17" t="s">
        <v>189</v>
      </c>
      <c r="E7" s="18">
        <f>+'CUOTA ARTESANAL'!E9</f>
        <v>2059</v>
      </c>
      <c r="F7" s="15">
        <f>'CUOTA ARTESANAL'!L9</f>
        <v>0</v>
      </c>
      <c r="G7" s="15">
        <f>'CUOTA ARTESANAL'!M9</f>
        <v>2059</v>
      </c>
      <c r="H7" s="15">
        <f>'CUOTA ARTESANAL'!N9</f>
        <v>244.70099999999999</v>
      </c>
      <c r="I7" s="15">
        <f>'CUOTA ARTESANAL'!O9</f>
        <v>1814.299</v>
      </c>
      <c r="J7" s="16">
        <f>'CUOTA ARTESANAL'!P9</f>
        <v>0.11884458474987858</v>
      </c>
    </row>
    <row r="8" spans="2:10">
      <c r="B8" s="153"/>
      <c r="C8" s="161"/>
      <c r="D8" s="17" t="s">
        <v>175</v>
      </c>
      <c r="E8" s="18">
        <f>+'CUOTA ARTESANAL'!E12</f>
        <v>150</v>
      </c>
      <c r="F8" s="15">
        <f>'CUOTA ARTESANAL'!L12</f>
        <v>0</v>
      </c>
      <c r="G8" s="15">
        <f>'CUOTA ARTESANAL'!M12</f>
        <v>150</v>
      </c>
      <c r="H8" s="15">
        <f>'CUOTA ARTESANAL'!N12</f>
        <v>64.302999999999997</v>
      </c>
      <c r="I8" s="15">
        <f>'CUOTA ARTESANAL'!O12</f>
        <v>85.697000000000003</v>
      </c>
      <c r="J8" s="16">
        <f>'CUOTA ARTESANAL'!P12</f>
        <v>0.42868666666666666</v>
      </c>
    </row>
    <row r="9" spans="2:10">
      <c r="B9" s="153"/>
      <c r="C9" s="161"/>
      <c r="D9" s="17" t="s">
        <v>120</v>
      </c>
      <c r="E9" s="18">
        <f>'CUOTA ARTESANAL'!E15</f>
        <v>5356</v>
      </c>
      <c r="F9" s="15">
        <f>'CUOTA ARTESANAL'!L15</f>
        <v>2905</v>
      </c>
      <c r="G9" s="15">
        <f>'CUOTA ARTESANAL'!M15</f>
        <v>8261</v>
      </c>
      <c r="H9" s="15">
        <f>'CUOTA ARTESANAL'!N15</f>
        <v>8202.3379999999997</v>
      </c>
      <c r="I9" s="15">
        <f>'CUOTA ARTESANAL'!O15</f>
        <v>58.662000000000262</v>
      </c>
      <c r="J9" s="16">
        <f>'CUOTA ARTESANAL'!P15</f>
        <v>0.9928989226485897</v>
      </c>
    </row>
    <row r="10" spans="2:10">
      <c r="B10" s="153"/>
      <c r="C10" s="161"/>
      <c r="D10" s="17" t="s">
        <v>121</v>
      </c>
      <c r="E10" s="18">
        <f>+'CUOTA ARTESANAL'!E22</f>
        <v>12496</v>
      </c>
      <c r="F10" s="15">
        <f>SUM('CUOTA ARTESANAL'!L18:L21)</f>
        <v>393.19399999999996</v>
      </c>
      <c r="G10" s="15">
        <f>SUM('CUOTA ARTESANAL'!G18:G21)</f>
        <v>12889.194</v>
      </c>
      <c r="H10" s="15">
        <f>SUM('CUOTA ARTESANAL'!N18:N21)</f>
        <v>11239.819000000001</v>
      </c>
      <c r="I10" s="15">
        <f>'CUOTA ARTESANAL'!O21+'CUOTA ARTESANAL'!O19+'CUOTA ARTESANAL'!O18</f>
        <v>1634.6329999999989</v>
      </c>
      <c r="J10" s="16">
        <f t="shared" ref="J10:J30" si="0">+H10/G10</f>
        <v>0.87203427925749288</v>
      </c>
    </row>
    <row r="11" spans="2:10">
      <c r="B11" s="153"/>
      <c r="C11" s="161"/>
      <c r="D11" s="17" t="s">
        <v>122</v>
      </c>
      <c r="E11" s="18">
        <f>+'CUOTA ARTESANAL'!E30</f>
        <v>5883</v>
      </c>
      <c r="F11" s="15">
        <f>SUM('CUOTA ARTESANAL'!L24:L29)</f>
        <v>-5019.82</v>
      </c>
      <c r="G11" s="15">
        <f>'CUOTA ARTESANAL'!M24+'CUOTA ARTESANAL'!M25+'CUOTA ARTESANAL'!M26+'CUOTA ARTESANAL'!M27+'CUOTA ARTESANAL'!M28+'CUOTA ARTESANAL'!M29</f>
        <v>863.18000000000018</v>
      </c>
      <c r="H11" s="15">
        <f>SUM('CUOTA ARTESANAL'!N24:N29)</f>
        <v>61.218000000000004</v>
      </c>
      <c r="I11" s="15">
        <f>'CUOTA ARTESANAL'!O29+'CUOTA ARTESANAL'!O28+'CUOTA ARTESANAL'!O27+'CUOTA ARTESANAL'!O26+'CUOTA ARTESANAL'!O25+'CUOTA ARTESANAL'!O24</f>
        <v>801.96200000000022</v>
      </c>
      <c r="J11" s="16">
        <f>+H11/G11</f>
        <v>7.0921476401214101E-2</v>
      </c>
    </row>
    <row r="12" spans="2:10">
      <c r="B12" s="153"/>
      <c r="C12" s="161"/>
      <c r="D12" s="17" t="s">
        <v>74</v>
      </c>
      <c r="E12" s="18">
        <f>+'CUOTA ARTESANAL'!E32</f>
        <v>23</v>
      </c>
      <c r="F12" s="15">
        <f>'CUOTA ARTESANAL'!L32</f>
        <v>0</v>
      </c>
      <c r="G12" s="15">
        <f>'CUOTA ARTESANAL'!M32</f>
        <v>23</v>
      </c>
      <c r="H12" s="15">
        <f>'CUOTA ARTESANAL'!N32</f>
        <v>13.590999999999999</v>
      </c>
      <c r="I12" s="15">
        <f>'CUOTA ARTESANAL'!O32</f>
        <v>9.4090000000000007</v>
      </c>
      <c r="J12" s="16">
        <f>'CUOTA ARTESANAL'!P32</f>
        <v>0.59091304347826079</v>
      </c>
    </row>
    <row r="13" spans="2:10">
      <c r="B13" s="153"/>
      <c r="C13" s="161"/>
      <c r="D13" s="17" t="s">
        <v>75</v>
      </c>
      <c r="E13" s="18">
        <f>+'CUOTA ARTESANAL'!E35</f>
        <v>192</v>
      </c>
      <c r="F13" s="15">
        <f>'CUOTA ARTESANAL'!L35</f>
        <v>0</v>
      </c>
      <c r="G13" s="15">
        <f>'CUOTA ARTESANAL'!M35</f>
        <v>192</v>
      </c>
      <c r="H13" s="15">
        <f>'CUOTA ARTESANAL'!N35</f>
        <v>174.982</v>
      </c>
      <c r="I13" s="15">
        <f>'CUOTA ARTESANAL'!O35</f>
        <v>17.018000000000001</v>
      </c>
      <c r="J13" s="16">
        <f>'CUOTA ARTESANAL'!P35</f>
        <v>0.91136458333333337</v>
      </c>
    </row>
    <row r="14" spans="2:10">
      <c r="B14" s="153"/>
      <c r="C14" s="161"/>
      <c r="D14" s="17" t="s">
        <v>103</v>
      </c>
      <c r="E14" s="18">
        <f>+'CUOTA ARTESANAL'!E38</f>
        <v>12536</v>
      </c>
      <c r="F14" s="15">
        <f>'CUOTA ARTESANAL'!L38</f>
        <v>0</v>
      </c>
      <c r="G14" s="15">
        <f>'CUOTA ARTESANAL'!M38</f>
        <v>12536</v>
      </c>
      <c r="H14" s="15">
        <f>'CUOTA ARTESANAL'!N38</f>
        <v>16714.684000000001</v>
      </c>
      <c r="I14" s="15">
        <f>'CUOTA ARTESANAL'!O38</f>
        <v>-4178.6840000000011</v>
      </c>
      <c r="J14" s="16">
        <f>'CUOTA ARTESANAL'!P38</f>
        <v>1.3333347160178686</v>
      </c>
    </row>
    <row r="15" spans="2:10">
      <c r="B15" s="153"/>
      <c r="C15" s="161"/>
      <c r="D15" s="17" t="s">
        <v>76</v>
      </c>
      <c r="E15" s="18">
        <f>+'CUOTA ARTESANAL'!E41</f>
        <v>282</v>
      </c>
      <c r="F15" s="15">
        <f>'CUOTA ARTESANAL'!L41</f>
        <v>0</v>
      </c>
      <c r="G15" s="15">
        <f>'CUOTA ARTESANAL'!M41</f>
        <v>282</v>
      </c>
      <c r="H15" s="15">
        <f>'CUOTA ARTESANAL'!N41</f>
        <v>5.4930000000000003</v>
      </c>
      <c r="I15" s="15">
        <f>'CUOTA ARTESANAL'!O41</f>
        <v>276.50700000000001</v>
      </c>
      <c r="J15" s="16">
        <f>'CUOTA ARTESANAL'!P41</f>
        <v>1.947872340425532E-2</v>
      </c>
    </row>
    <row r="16" spans="2:10">
      <c r="B16" s="153"/>
      <c r="C16" s="161"/>
      <c r="D16" s="17" t="s">
        <v>77</v>
      </c>
      <c r="E16" s="18">
        <f>+'CUOTA ARTESANAL'!E44</f>
        <v>1466</v>
      </c>
      <c r="F16" s="15">
        <f>'CUOTA ARTESANAL'!L44</f>
        <v>0</v>
      </c>
      <c r="G16" s="15">
        <f>'CUOTA ARTESANAL'!M44</f>
        <v>1466</v>
      </c>
      <c r="H16" s="15">
        <f>'CUOTA ARTESANAL'!N44</f>
        <v>1481.2149999999999</v>
      </c>
      <c r="I16" s="15">
        <f>'CUOTA ARTESANAL'!O44</f>
        <v>-15.214999999999918</v>
      </c>
      <c r="J16" s="16">
        <f>'CUOTA ARTESANAL'!P44</f>
        <v>1.0103785811732606</v>
      </c>
    </row>
    <row r="17" spans="2:10">
      <c r="B17" s="153"/>
      <c r="C17" s="161"/>
      <c r="D17" s="17" t="s">
        <v>123</v>
      </c>
      <c r="E17" s="18">
        <f>+'CUOTA ARTESANAL'!E55</f>
        <v>9808.0010000000002</v>
      </c>
      <c r="F17" s="15">
        <f>SUM('CUOTA ARTESANAL'!L47:L54)</f>
        <v>-9246.5259999999998</v>
      </c>
      <c r="G17" s="15">
        <f>'CUOTA ARTESANAL'!M54+'CUOTA ARTESANAL'!M53+'CUOTA ARTESANAL'!M52+'CUOTA ARTESANAL'!M51+'CUOTA ARTESANAL'!M50+'CUOTA ARTESANAL'!M49+'CUOTA ARTESANAL'!M48+'CUOTA ARTESANAL'!M47</f>
        <v>561.4749999999998</v>
      </c>
      <c r="H17" s="15">
        <f>SUM('CUOTA ARTESANAL'!N47:N54)</f>
        <v>391.50799999999998</v>
      </c>
      <c r="I17" s="15">
        <f>'CUOTA ARTESANAL'!O47+'CUOTA ARTESANAL'!O48+'CUOTA ARTESANAL'!O49+'CUOTA ARTESANAL'!O50+'CUOTA ARTESANAL'!O51+'CUOTA ARTESANAL'!O52+'CUOTA ARTESANAL'!O53+'CUOTA ARTESANAL'!O54</f>
        <v>169.96699999999976</v>
      </c>
      <c r="J17" s="16">
        <f t="shared" si="0"/>
        <v>0.69728483013491271</v>
      </c>
    </row>
    <row r="18" spans="2:10">
      <c r="B18" s="153"/>
      <c r="C18" s="161"/>
      <c r="D18" s="17" t="s">
        <v>153</v>
      </c>
      <c r="E18" s="18">
        <f>+'CUOTA ARTESANAL'!E57</f>
        <v>327</v>
      </c>
      <c r="F18" s="15">
        <f>'CUOTA ARTESANAL'!L57</f>
        <v>0</v>
      </c>
      <c r="G18" s="15">
        <f>'CUOTA ARTESANAL'!M57</f>
        <v>327</v>
      </c>
      <c r="H18" s="15">
        <f>'CUOTA ARTESANAL'!N57</f>
        <v>15.108000000000001</v>
      </c>
      <c r="I18" s="15">
        <f>'CUOTA ARTESANAL'!I57</f>
        <v>311.892</v>
      </c>
      <c r="J18" s="16">
        <f>'CUOTA ARTESANAL'!P57</f>
        <v>4.620183486238532E-2</v>
      </c>
    </row>
    <row r="19" spans="2:10">
      <c r="B19" s="153"/>
      <c r="C19" s="161"/>
      <c r="D19" s="17" t="s">
        <v>114</v>
      </c>
      <c r="E19" s="18">
        <f>'CUOTA ARTESANAL'!E60</f>
        <v>232</v>
      </c>
      <c r="F19" s="15">
        <f>'CUOTA ARTESANAL'!L60</f>
        <v>0</v>
      </c>
      <c r="G19" s="15">
        <f>'CUOTA ARTESANAL'!M60</f>
        <v>232</v>
      </c>
      <c r="H19" s="15">
        <f>'CUOTA ARTESANAL'!N60</f>
        <v>20.364000000000001</v>
      </c>
      <c r="I19" s="15">
        <f>'CUOTA ARTESANAL'!I60</f>
        <v>211.636</v>
      </c>
      <c r="J19" s="15">
        <f>'CUOTA ARTESANAL'!P60</f>
        <v>8.7775862068965524E-2</v>
      </c>
    </row>
    <row r="20" spans="2:10">
      <c r="B20" s="153"/>
      <c r="C20" s="161"/>
      <c r="D20" s="17" t="s">
        <v>115</v>
      </c>
      <c r="E20" s="18">
        <v>5810</v>
      </c>
      <c r="F20" s="15">
        <f>-1913.194-2905</f>
        <v>-4818.1939999999995</v>
      </c>
      <c r="G20" s="15">
        <f t="shared" ref="G20:G24" si="1">+E20+F20</f>
        <v>991.80600000000049</v>
      </c>
      <c r="H20" s="15"/>
      <c r="I20" s="15">
        <f t="shared" ref="I20:I29" si="2">+G20-H20</f>
        <v>991.80600000000049</v>
      </c>
      <c r="J20" s="16">
        <f t="shared" si="0"/>
        <v>0</v>
      </c>
    </row>
    <row r="21" spans="2:10">
      <c r="B21" s="153"/>
      <c r="C21" s="161"/>
      <c r="D21" s="17" t="s">
        <v>116</v>
      </c>
      <c r="E21" s="18">
        <f>D45</f>
        <v>150</v>
      </c>
      <c r="F21" s="15">
        <v>0</v>
      </c>
      <c r="G21" s="15">
        <f t="shared" si="1"/>
        <v>150</v>
      </c>
      <c r="H21" s="15">
        <f>G45</f>
        <v>0</v>
      </c>
      <c r="I21" s="15">
        <f>H45</f>
        <v>150</v>
      </c>
      <c r="J21" s="16">
        <f>I45</f>
        <v>0</v>
      </c>
    </row>
    <row r="22" spans="2:10">
      <c r="B22" s="153"/>
      <c r="C22" s="161"/>
      <c r="D22" s="17" t="s">
        <v>117</v>
      </c>
      <c r="E22" s="18">
        <f>'CONSUMO HUMANO'!D7</f>
        <v>5810</v>
      </c>
      <c r="F22" s="15">
        <v>0</v>
      </c>
      <c r="G22" s="15">
        <f t="shared" si="1"/>
        <v>5810</v>
      </c>
      <c r="H22" s="15">
        <f>'CONSUMO HUMANO'!E7</f>
        <v>5452.5569999999998</v>
      </c>
      <c r="I22" s="15">
        <f>'CONSUMO HUMANO'!F7</f>
        <v>357.44300000000021</v>
      </c>
      <c r="J22" s="16">
        <f>'CONSUMO HUMANO'!G7</f>
        <v>0.93847796901893288</v>
      </c>
    </row>
    <row r="23" spans="2:10">
      <c r="B23" s="153"/>
      <c r="C23" s="161"/>
      <c r="D23" s="17" t="s">
        <v>118</v>
      </c>
      <c r="E23" s="18">
        <f>D38</f>
        <v>20</v>
      </c>
      <c r="F23" s="15">
        <v>0</v>
      </c>
      <c r="G23" s="15">
        <f>+E23+F23</f>
        <v>20</v>
      </c>
      <c r="H23" s="15">
        <f>G38</f>
        <v>0</v>
      </c>
      <c r="I23" s="15">
        <f>H38</f>
        <v>19.451999999999998</v>
      </c>
      <c r="J23" s="16">
        <f>I38</f>
        <v>0</v>
      </c>
    </row>
    <row r="24" spans="2:10">
      <c r="B24" s="153"/>
      <c r="C24" s="161"/>
      <c r="D24" s="17" t="s">
        <v>102</v>
      </c>
      <c r="E24" s="18">
        <v>0</v>
      </c>
      <c r="F24" s="18">
        <f>'CESIONES INDIVIDUALES'!E17</f>
        <v>1008</v>
      </c>
      <c r="G24" s="15">
        <f t="shared" si="1"/>
        <v>1008</v>
      </c>
      <c r="H24" s="15">
        <f>'CESIONES INDIVIDUALES'!F17</f>
        <v>497.87</v>
      </c>
      <c r="I24" s="15">
        <f>'CESIONES INDIVIDUALES'!G17</f>
        <v>510.13</v>
      </c>
      <c r="J24" s="16">
        <f>'CESIONES INDIVIDUALES'!H17</f>
        <v>0.49391865079365077</v>
      </c>
    </row>
    <row r="25" spans="2:10">
      <c r="B25" s="153"/>
      <c r="C25" s="161" t="s">
        <v>113</v>
      </c>
      <c r="D25" s="17" t="s">
        <v>124</v>
      </c>
      <c r="E25" s="18">
        <f>'CUOTA INDUSTRIAL'!L26</f>
        <v>81090</v>
      </c>
      <c r="F25" s="15">
        <f>'CUOTA INDUSTRIAL'!M26</f>
        <v>-15765.519000000002</v>
      </c>
      <c r="G25" s="15">
        <f>'CUOTA INDUSTRIAL'!N26</f>
        <v>65324.481</v>
      </c>
      <c r="H25" s="15">
        <f>SUM('CUOTA INDUSTRIAL'!I26:I27)</f>
        <v>60001.288</v>
      </c>
      <c r="I25" s="15">
        <f>'CUOTA INDUSTRIAL'!P26</f>
        <v>5323.1929999999993</v>
      </c>
      <c r="J25" s="16">
        <f t="shared" si="0"/>
        <v>0.91851151484846849</v>
      </c>
    </row>
    <row r="26" spans="2:10">
      <c r="B26" s="153"/>
      <c r="C26" s="161"/>
      <c r="D26" s="17" t="s">
        <v>126</v>
      </c>
      <c r="E26" s="18">
        <f>'CUOTA INDUSTRIAL'!L61</f>
        <v>17113.001711300003</v>
      </c>
      <c r="F26" s="15">
        <f>'CUOTA INDUSTRIAL'!M61</f>
        <v>-16965.397000000001</v>
      </c>
      <c r="G26" s="15">
        <f>'CUOTA INDUSTRIAL'!N61</f>
        <v>147.60471130000224</v>
      </c>
      <c r="H26" s="15">
        <f>SUM('CUOTA INDUSTRIAL'!I61:I62)</f>
        <v>0</v>
      </c>
      <c r="I26" s="15">
        <f>'CUOTA INDUSTRIAL'!P61</f>
        <v>147.60471130000224</v>
      </c>
      <c r="J26" s="16">
        <f t="shared" si="0"/>
        <v>0</v>
      </c>
    </row>
    <row r="27" spans="2:10">
      <c r="B27" s="153"/>
      <c r="C27" s="161"/>
      <c r="D27" s="17" t="s">
        <v>125</v>
      </c>
      <c r="E27" s="18">
        <f>'CUOTA INDUSTRIAL'!L114</f>
        <v>367092.03670920001</v>
      </c>
      <c r="F27" s="15">
        <f>'CUOTA INDUSTRIAL'!M114</f>
        <v>97828.564000000013</v>
      </c>
      <c r="G27" s="15">
        <f>'CUOTA INDUSTRIAL'!N114</f>
        <v>464920.60070920002</v>
      </c>
      <c r="H27" s="15">
        <f>SUM('CUOTA INDUSTRIAL'!I114:I115)</f>
        <v>455140.56300000002</v>
      </c>
      <c r="I27" s="15">
        <f>'CUOTA INDUSTRIAL'!P114</f>
        <v>9780.0377091999981</v>
      </c>
      <c r="J27" s="16">
        <f t="shared" si="0"/>
        <v>0.97896406893073507</v>
      </c>
    </row>
    <row r="28" spans="2:10">
      <c r="B28" s="153"/>
      <c r="C28" s="161"/>
      <c r="D28" s="17" t="s">
        <v>127</v>
      </c>
      <c r="E28" s="18">
        <f>'CUOTA INDUSTRIAL'!L161</f>
        <v>51119.994888000008</v>
      </c>
      <c r="F28" s="15">
        <f>'CUOTA INDUSTRIAL'!M161</f>
        <v>-50319.301999999996</v>
      </c>
      <c r="G28" s="15">
        <f>'CUOTA INDUSTRIAL'!N161</f>
        <v>800.69288800001232</v>
      </c>
      <c r="H28" s="15">
        <f>SUM('CUOTA INDUSTRIAL'!I161:I162)</f>
        <v>1.7999999999999999E-2</v>
      </c>
      <c r="I28" s="15">
        <f>'CUOTA INDUSTRIAL'!P161</f>
        <v>800.67488800001229</v>
      </c>
      <c r="J28" s="16">
        <f t="shared" si="0"/>
        <v>2.2480529388690814E-5</v>
      </c>
    </row>
    <row r="29" spans="2:10" ht="12" hidden="1" customHeight="1">
      <c r="B29" s="153"/>
      <c r="E29" s="20">
        <f>SUM(E6:E28)</f>
        <v>581074.03430849989</v>
      </c>
      <c r="F29" s="19">
        <f>SUM(F6:F28)</f>
        <v>0</v>
      </c>
      <c r="I29" s="21">
        <f t="shared" si="2"/>
        <v>0</v>
      </c>
      <c r="J29" s="16" t="e">
        <f t="shared" si="0"/>
        <v>#DIV/0!</v>
      </c>
    </row>
    <row r="30" spans="2:10">
      <c r="B30" s="154"/>
      <c r="C30" s="150" t="s">
        <v>97</v>
      </c>
      <c r="D30" s="151"/>
      <c r="E30" s="71">
        <f>E6+E7+E8+E9+E10+E11+E12+E13+E14+E15+E16+E17+E18+E19+E20+E21+E22+E24+E25+E26+E27+E28</f>
        <v>581054.03430849989</v>
      </c>
      <c r="F30" s="35">
        <f>+F6+F7+F8+F9+F10+F11+F12+F13+F14+F15+F16+F17+F18+F19+F25+F26+F27+F28+F24+F20</f>
        <v>1.8189894035458565E-11</v>
      </c>
      <c r="G30" s="22">
        <f>+E30+F30</f>
        <v>581054.03430849989</v>
      </c>
      <c r="H30" s="83">
        <f>SUM(H6:H28)</f>
        <v>559845.79500000004</v>
      </c>
      <c r="I30" s="22">
        <f>+G30-H30</f>
        <v>21208.239308499848</v>
      </c>
      <c r="J30" s="23">
        <f t="shared" si="0"/>
        <v>0.96350040089861988</v>
      </c>
    </row>
    <row r="31" spans="2:10">
      <c r="D31" s="70" t="s">
        <v>180</v>
      </c>
      <c r="E31" s="36"/>
      <c r="F31" s="20"/>
      <c r="G31" s="36"/>
      <c r="H31" s="36"/>
      <c r="I31" s="36"/>
      <c r="J31" s="36"/>
    </row>
    <row r="32" spans="2:10">
      <c r="E32" s="70"/>
      <c r="F32" s="72"/>
    </row>
    <row r="33" spans="1:9">
      <c r="C33" s="37"/>
    </row>
    <row r="35" spans="1:9">
      <c r="C35" s="155" t="s">
        <v>173</v>
      </c>
      <c r="D35" s="156"/>
      <c r="E35" s="156"/>
      <c r="F35" s="156"/>
      <c r="G35" s="156"/>
      <c r="H35" s="156"/>
      <c r="I35" s="157"/>
    </row>
    <row r="36" spans="1:9">
      <c r="C36" s="143" t="s">
        <v>128</v>
      </c>
      <c r="D36" s="143" t="s">
        <v>107</v>
      </c>
      <c r="E36" s="142" t="s">
        <v>110</v>
      </c>
      <c r="F36" s="142"/>
      <c r="G36" s="159" t="s">
        <v>167</v>
      </c>
      <c r="H36" s="142" t="s">
        <v>111</v>
      </c>
      <c r="I36" s="143" t="s">
        <v>91</v>
      </c>
    </row>
    <row r="37" spans="1:9">
      <c r="A37" s="70"/>
      <c r="C37" s="143"/>
      <c r="D37" s="143"/>
      <c r="E37" s="61" t="s">
        <v>35</v>
      </c>
      <c r="F37" s="61" t="s">
        <v>37</v>
      </c>
      <c r="G37" s="160"/>
      <c r="H37" s="142"/>
      <c r="I37" s="143"/>
    </row>
    <row r="38" spans="1:9">
      <c r="C38" s="33" t="s">
        <v>169</v>
      </c>
      <c r="D38" s="33">
        <v>20</v>
      </c>
      <c r="E38" s="127">
        <v>0.54800000000000004</v>
      </c>
      <c r="F38" s="28"/>
      <c r="G38" s="64"/>
      <c r="H38" s="33">
        <f>D38-E38</f>
        <v>19.451999999999998</v>
      </c>
      <c r="I38" s="29">
        <f>G38/D38</f>
        <v>0</v>
      </c>
    </row>
    <row r="39" spans="1:9">
      <c r="C39" s="41"/>
      <c r="D39" s="41"/>
      <c r="E39" s="41"/>
      <c r="F39" s="63"/>
      <c r="G39" s="63"/>
      <c r="H39" s="41"/>
      <c r="I39" s="55"/>
    </row>
    <row r="40" spans="1:9">
      <c r="C40" s="41"/>
      <c r="D40" s="41"/>
      <c r="E40" s="41"/>
      <c r="F40" s="63"/>
      <c r="G40" s="63"/>
      <c r="H40" s="41"/>
      <c r="I40" s="55"/>
    </row>
    <row r="42" spans="1:9">
      <c r="C42" s="162" t="s">
        <v>104</v>
      </c>
      <c r="D42" s="162"/>
      <c r="E42" s="162"/>
      <c r="F42" s="162"/>
      <c r="G42" s="162"/>
      <c r="H42" s="162"/>
      <c r="I42" s="162"/>
    </row>
    <row r="43" spans="1:9">
      <c r="C43" s="143" t="s">
        <v>159</v>
      </c>
      <c r="D43" s="143" t="s">
        <v>107</v>
      </c>
      <c r="E43" s="142" t="s">
        <v>110</v>
      </c>
      <c r="F43" s="142"/>
      <c r="G43" s="159" t="s">
        <v>167</v>
      </c>
      <c r="H43" s="142" t="s">
        <v>111</v>
      </c>
      <c r="I43" s="143" t="s">
        <v>91</v>
      </c>
    </row>
    <row r="44" spans="1:9">
      <c r="C44" s="143"/>
      <c r="D44" s="143"/>
      <c r="E44" s="61" t="s">
        <v>35</v>
      </c>
      <c r="F44" s="61" t="s">
        <v>37</v>
      </c>
      <c r="G44" s="160"/>
      <c r="H44" s="142"/>
      <c r="I44" s="143"/>
    </row>
    <row r="45" spans="1:9">
      <c r="C45" s="33" t="s">
        <v>57</v>
      </c>
      <c r="D45" s="33">
        <v>150</v>
      </c>
      <c r="E45" s="33"/>
      <c r="F45" s="28"/>
      <c r="G45" s="31"/>
      <c r="H45" s="62">
        <f>D45-G45</f>
        <v>150</v>
      </c>
      <c r="I45" s="29">
        <f>G45/D45</f>
        <v>0</v>
      </c>
    </row>
    <row r="50" spans="3:4">
      <c r="C50" s="70"/>
      <c r="D50" s="70"/>
    </row>
    <row r="51" spans="3:4">
      <c r="C51" s="70">
        <f>0.0051087*367092</f>
        <v>1875.3629003999999</v>
      </c>
    </row>
    <row r="52" spans="3:4">
      <c r="C52" s="70"/>
    </row>
  </sheetData>
  <mergeCells count="21">
    <mergeCell ref="C42:I42"/>
    <mergeCell ref="C43:C44"/>
    <mergeCell ref="D43:D44"/>
    <mergeCell ref="E43:F43"/>
    <mergeCell ref="H43:H44"/>
    <mergeCell ref="I43:I44"/>
    <mergeCell ref="G43:G44"/>
    <mergeCell ref="H36:H37"/>
    <mergeCell ref="I36:I37"/>
    <mergeCell ref="B2:J2"/>
    <mergeCell ref="B3:J3"/>
    <mergeCell ref="C30:D30"/>
    <mergeCell ref="B6:B30"/>
    <mergeCell ref="C35:I35"/>
    <mergeCell ref="B4:J4"/>
    <mergeCell ref="G36:G37"/>
    <mergeCell ref="C25:C28"/>
    <mergeCell ref="C6:C24"/>
    <mergeCell ref="E36:F36"/>
    <mergeCell ref="C36:C37"/>
    <mergeCell ref="D36:D37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64"/>
  <sheetViews>
    <sheetView showGridLines="0" topLeftCell="D1" zoomScale="90" zoomScaleNormal="90" workbookViewId="0">
      <selection activeCell="H18" sqref="H18"/>
    </sheetView>
  </sheetViews>
  <sheetFormatPr baseColWidth="10" defaultColWidth="11.42578125" defaultRowHeight="12"/>
  <cols>
    <col min="1" max="1" width="11.42578125" style="41"/>
    <col min="2" max="2" width="36" style="41" bestFit="1" customWidth="1"/>
    <col min="3" max="3" width="43.28515625" style="41" bestFit="1" customWidth="1"/>
    <col min="4" max="4" width="11.42578125" style="41" customWidth="1"/>
    <col min="5" max="5" width="9.140625" style="41" bestFit="1" customWidth="1"/>
    <col min="6" max="6" width="15.5703125" style="41" bestFit="1" customWidth="1"/>
    <col min="7" max="7" width="18" style="41" bestFit="1" customWidth="1"/>
    <col min="8" max="8" width="11.42578125" style="41" bestFit="1" customWidth="1"/>
    <col min="9" max="9" width="10" style="41" bestFit="1" customWidth="1"/>
    <col min="10" max="10" width="14.140625" style="41" bestFit="1" customWidth="1"/>
    <col min="11" max="11" width="20.140625" style="41" bestFit="1" customWidth="1"/>
    <col min="12" max="12" width="18" style="41" customWidth="1"/>
    <col min="13" max="13" width="18.5703125" style="41" customWidth="1"/>
    <col min="14" max="14" width="13.85546875" style="41" customWidth="1"/>
    <col min="15" max="15" width="11.42578125" style="41" customWidth="1"/>
    <col min="16" max="16" width="18.42578125" style="41" customWidth="1"/>
    <col min="17" max="17" width="16" style="41" bestFit="1" customWidth="1"/>
    <col min="18" max="18" width="36.85546875" style="41" customWidth="1"/>
    <col min="19" max="16384" width="11.42578125" style="41"/>
  </cols>
  <sheetData>
    <row r="2" spans="2:17" ht="26.25" customHeight="1">
      <c r="B2" s="168" t="s">
        <v>187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</row>
    <row r="3" spans="2:17" ht="24" customHeight="1">
      <c r="B3" s="171">
        <f>RESUMEN!B3</f>
        <v>44895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</row>
    <row r="4" spans="2:17" ht="22.5" customHeight="1"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2:17" ht="36">
      <c r="B5" s="40" t="s">
        <v>64</v>
      </c>
      <c r="C5" s="40" t="s">
        <v>130</v>
      </c>
      <c r="D5" s="40" t="s">
        <v>131</v>
      </c>
      <c r="E5" s="40" t="s">
        <v>107</v>
      </c>
      <c r="F5" s="40" t="s">
        <v>108</v>
      </c>
      <c r="G5" s="40" t="s">
        <v>109</v>
      </c>
      <c r="H5" s="40" t="s">
        <v>110</v>
      </c>
      <c r="I5" s="40" t="s">
        <v>111</v>
      </c>
      <c r="J5" s="40" t="s">
        <v>91</v>
      </c>
      <c r="K5" s="40" t="s">
        <v>107</v>
      </c>
      <c r="L5" s="40" t="s">
        <v>108</v>
      </c>
      <c r="M5" s="40" t="s">
        <v>109</v>
      </c>
      <c r="N5" s="40" t="s">
        <v>110</v>
      </c>
      <c r="O5" s="40" t="s">
        <v>111</v>
      </c>
      <c r="P5" s="40" t="s">
        <v>91</v>
      </c>
      <c r="Q5" s="40" t="s">
        <v>132</v>
      </c>
    </row>
    <row r="6" spans="2:17">
      <c r="B6" s="102" t="s">
        <v>133</v>
      </c>
      <c r="C6" s="69" t="s">
        <v>144</v>
      </c>
      <c r="D6" s="93" t="s">
        <v>31</v>
      </c>
      <c r="E6" s="30">
        <v>2059</v>
      </c>
      <c r="F6" s="30"/>
      <c r="G6" s="30">
        <f>E6+F6</f>
        <v>2059</v>
      </c>
      <c r="H6" s="136">
        <v>124.175</v>
      </c>
      <c r="I6" s="30">
        <f>G6-H6</f>
        <v>1934.825</v>
      </c>
      <c r="J6" s="24">
        <f>H6/G6</f>
        <v>6.0308402136959691E-2</v>
      </c>
      <c r="K6" s="30">
        <f>E6</f>
        <v>2059</v>
      </c>
      <c r="L6" s="30">
        <f>F6</f>
        <v>0</v>
      </c>
      <c r="M6" s="30">
        <f>K6+L6</f>
        <v>2059</v>
      </c>
      <c r="N6" s="30">
        <f>H6</f>
        <v>124.175</v>
      </c>
      <c r="O6" s="30">
        <f>M6-N6</f>
        <v>1934.825</v>
      </c>
      <c r="P6" s="85">
        <f>N6/M6</f>
        <v>6.0308402136959691E-2</v>
      </c>
      <c r="Q6" s="90" t="s">
        <v>82</v>
      </c>
    </row>
    <row r="7" spans="2:17" ht="15" customHeight="1">
      <c r="B7" s="44"/>
      <c r="C7" s="103"/>
      <c r="D7" s="47"/>
      <c r="E7" s="42"/>
      <c r="F7" s="42"/>
      <c r="G7" s="42"/>
      <c r="H7" s="42"/>
      <c r="I7" s="42"/>
      <c r="J7" s="43"/>
      <c r="K7" s="42"/>
      <c r="L7" s="42"/>
      <c r="M7" s="42"/>
      <c r="N7" s="42"/>
      <c r="O7" s="42"/>
      <c r="P7" s="49"/>
      <c r="Q7" s="91"/>
    </row>
    <row r="8" spans="2:17" ht="15.95" customHeight="1">
      <c r="B8" s="44"/>
      <c r="C8" s="103"/>
      <c r="D8" s="47"/>
      <c r="E8" s="42"/>
      <c r="F8" s="42"/>
      <c r="G8" s="42"/>
      <c r="H8" s="42"/>
      <c r="I8" s="42"/>
      <c r="J8" s="43"/>
      <c r="K8" s="42">
        <f t="shared" ref="K8:K54" si="0">E8</f>
        <v>0</v>
      </c>
      <c r="L8" s="42">
        <f t="shared" ref="L8:L54" si="1">F8</f>
        <v>0</v>
      </c>
      <c r="M8" s="42"/>
      <c r="N8" s="42"/>
      <c r="O8" s="42"/>
      <c r="P8" s="92"/>
      <c r="Q8" s="47"/>
    </row>
    <row r="9" spans="2:17">
      <c r="B9" s="102" t="s">
        <v>134</v>
      </c>
      <c r="C9" s="69" t="s">
        <v>145</v>
      </c>
      <c r="D9" s="93" t="s">
        <v>31</v>
      </c>
      <c r="E9" s="30">
        <v>2059</v>
      </c>
      <c r="F9" s="30"/>
      <c r="G9" s="30">
        <f>E9+F9</f>
        <v>2059</v>
      </c>
      <c r="H9" s="136">
        <v>244.70099999999999</v>
      </c>
      <c r="I9" s="30">
        <f>G9-H9</f>
        <v>1814.299</v>
      </c>
      <c r="J9" s="24">
        <f>H9/G9</f>
        <v>0.11884458474987858</v>
      </c>
      <c r="K9" s="30">
        <f t="shared" si="0"/>
        <v>2059</v>
      </c>
      <c r="L9" s="30">
        <f t="shared" si="1"/>
        <v>0</v>
      </c>
      <c r="M9" s="30">
        <f>K9+L9</f>
        <v>2059</v>
      </c>
      <c r="N9" s="30">
        <f>H9</f>
        <v>244.70099999999999</v>
      </c>
      <c r="O9" s="30">
        <f>M9-N9</f>
        <v>1814.299</v>
      </c>
      <c r="P9" s="85">
        <f>N9/M9</f>
        <v>0.11884458474987858</v>
      </c>
      <c r="Q9" s="93" t="s">
        <v>82</v>
      </c>
    </row>
    <row r="10" spans="2:17">
      <c r="B10" s="44"/>
      <c r="C10" s="103"/>
      <c r="D10" s="47"/>
      <c r="E10" s="42"/>
      <c r="F10" s="42"/>
      <c r="G10" s="42"/>
      <c r="H10" s="42"/>
      <c r="I10" s="42"/>
      <c r="J10" s="43"/>
      <c r="K10" s="42"/>
      <c r="L10" s="42"/>
      <c r="M10" s="42"/>
      <c r="N10" s="42"/>
      <c r="O10" s="42"/>
      <c r="P10" s="49"/>
      <c r="Q10" s="47"/>
    </row>
    <row r="11" spans="2:17" ht="15.95" customHeight="1">
      <c r="B11" s="44"/>
      <c r="C11" s="103"/>
      <c r="D11" s="47"/>
      <c r="E11" s="42"/>
      <c r="F11" s="42"/>
      <c r="G11" s="42"/>
      <c r="H11" s="42"/>
      <c r="I11" s="42" t="s">
        <v>180</v>
      </c>
      <c r="J11" s="43"/>
      <c r="K11" s="42">
        <f t="shared" si="0"/>
        <v>0</v>
      </c>
      <c r="L11" s="42">
        <f t="shared" si="1"/>
        <v>0</v>
      </c>
      <c r="M11" s="42"/>
      <c r="N11" s="42"/>
      <c r="O11" s="42"/>
      <c r="P11" s="92"/>
      <c r="Q11" s="47"/>
    </row>
    <row r="12" spans="2:17">
      <c r="B12" s="102" t="s">
        <v>30</v>
      </c>
      <c r="C12" s="69" t="s">
        <v>146</v>
      </c>
      <c r="D12" s="93" t="s">
        <v>31</v>
      </c>
      <c r="E12" s="30">
        <v>150</v>
      </c>
      <c r="F12" s="30"/>
      <c r="G12" s="30">
        <f>E12+F12</f>
        <v>150</v>
      </c>
      <c r="H12" s="136">
        <v>64.302999999999997</v>
      </c>
      <c r="I12" s="30">
        <f>G12-H12</f>
        <v>85.697000000000003</v>
      </c>
      <c r="J12" s="24">
        <f>H12/G12</f>
        <v>0.42868666666666666</v>
      </c>
      <c r="K12" s="30">
        <f t="shared" si="0"/>
        <v>150</v>
      </c>
      <c r="L12" s="30">
        <f t="shared" si="1"/>
        <v>0</v>
      </c>
      <c r="M12" s="30">
        <f>K12+L12</f>
        <v>150</v>
      </c>
      <c r="N12" s="30">
        <f>H12</f>
        <v>64.302999999999997</v>
      </c>
      <c r="O12" s="30">
        <f>M12-N12</f>
        <v>85.697000000000003</v>
      </c>
      <c r="P12" s="85">
        <f>N12/M12</f>
        <v>0.42868666666666666</v>
      </c>
      <c r="Q12" s="93" t="s">
        <v>82</v>
      </c>
    </row>
    <row r="13" spans="2:17">
      <c r="B13" s="44"/>
      <c r="C13" s="103"/>
      <c r="D13" s="47"/>
      <c r="E13" s="42"/>
      <c r="F13" s="42"/>
      <c r="G13" s="42"/>
      <c r="H13" s="42"/>
      <c r="I13" s="42"/>
      <c r="J13" s="43"/>
      <c r="K13" s="94"/>
      <c r="L13" s="94"/>
      <c r="M13" s="94"/>
      <c r="N13" s="42"/>
      <c r="O13" s="42"/>
      <c r="P13" s="49"/>
      <c r="Q13" s="47"/>
    </row>
    <row r="14" spans="2:17" ht="15.75" customHeight="1">
      <c r="B14" s="44"/>
      <c r="C14" s="103"/>
      <c r="D14" s="47"/>
      <c r="E14" s="42"/>
      <c r="F14" s="42"/>
      <c r="G14" s="42"/>
      <c r="H14" s="42"/>
      <c r="I14" s="42"/>
      <c r="J14" s="43"/>
      <c r="K14" s="95"/>
      <c r="L14" s="95"/>
      <c r="M14" s="95"/>
      <c r="N14" s="42"/>
      <c r="O14" s="42"/>
      <c r="P14" s="92"/>
      <c r="Q14" s="47"/>
    </row>
    <row r="15" spans="2:17">
      <c r="B15" s="102" t="s">
        <v>135</v>
      </c>
      <c r="C15" s="69" t="s">
        <v>147</v>
      </c>
      <c r="D15" s="93" t="s">
        <v>31</v>
      </c>
      <c r="E15" s="30">
        <v>5356</v>
      </c>
      <c r="F15" s="30">
        <f>2905</f>
        <v>2905</v>
      </c>
      <c r="G15" s="30">
        <f>E15+F15</f>
        <v>8261</v>
      </c>
      <c r="H15" s="136">
        <v>8202.3379999999997</v>
      </c>
      <c r="I15" s="30">
        <f>G15-H15</f>
        <v>58.662000000000262</v>
      </c>
      <c r="J15" s="24">
        <f>H15/G15</f>
        <v>0.9928989226485897</v>
      </c>
      <c r="K15" s="30">
        <f t="shared" si="0"/>
        <v>5356</v>
      </c>
      <c r="L15" s="30">
        <f t="shared" si="1"/>
        <v>2905</v>
      </c>
      <c r="M15" s="30">
        <f>K15+L15</f>
        <v>8261</v>
      </c>
      <c r="N15" s="30">
        <f>H15</f>
        <v>8202.3379999999997</v>
      </c>
      <c r="O15" s="30">
        <f>M15-N15</f>
        <v>58.662000000000262</v>
      </c>
      <c r="P15" s="85">
        <f>N15/M15</f>
        <v>0.9928989226485897</v>
      </c>
      <c r="Q15" s="90" t="s">
        <v>82</v>
      </c>
    </row>
    <row r="16" spans="2:17">
      <c r="B16" s="44"/>
      <c r="C16" s="103"/>
      <c r="D16" s="47"/>
      <c r="E16" s="42"/>
      <c r="F16" s="42"/>
      <c r="G16" s="42"/>
      <c r="H16" s="42"/>
      <c r="I16" s="42"/>
      <c r="J16" s="43"/>
      <c r="K16" s="42"/>
      <c r="L16" s="42"/>
      <c r="M16" s="42"/>
      <c r="N16" s="42"/>
      <c r="O16" s="42"/>
      <c r="P16" s="49"/>
      <c r="Q16" s="91"/>
    </row>
    <row r="17" spans="2:17" ht="15.75" customHeight="1">
      <c r="B17" s="44"/>
      <c r="C17" s="103"/>
      <c r="D17" s="47"/>
      <c r="E17" s="42" t="s">
        <v>180</v>
      </c>
      <c r="F17" s="42"/>
      <c r="G17" s="42"/>
      <c r="H17" s="42"/>
      <c r="I17" s="42"/>
      <c r="J17" s="43"/>
      <c r="K17" s="42"/>
      <c r="L17" s="42"/>
      <c r="M17" s="42"/>
      <c r="N17" s="42"/>
      <c r="O17" s="42"/>
      <c r="P17" s="92"/>
      <c r="Q17" s="47"/>
    </row>
    <row r="18" spans="2:17">
      <c r="B18" s="163" t="s">
        <v>136</v>
      </c>
      <c r="C18" s="86" t="s">
        <v>18</v>
      </c>
      <c r="D18" s="93" t="s">
        <v>31</v>
      </c>
      <c r="E18" s="30">
        <v>1520.355</v>
      </c>
      <c r="F18" s="30">
        <f>-1400</f>
        <v>-1400</v>
      </c>
      <c r="G18" s="30">
        <f>E18+F18</f>
        <v>120.35500000000002</v>
      </c>
      <c r="H18" s="136">
        <v>118.423</v>
      </c>
      <c r="I18" s="30">
        <f t="shared" ref="I18:I54" si="2">G18-H18</f>
        <v>1.9320000000000164</v>
      </c>
      <c r="J18" s="24">
        <f t="shared" ref="J18:J21" si="3">H18/G18</f>
        <v>0.98394748867932358</v>
      </c>
      <c r="K18" s="30">
        <f t="shared" si="0"/>
        <v>1520.355</v>
      </c>
      <c r="L18" s="30">
        <f t="shared" si="1"/>
        <v>-1400</v>
      </c>
      <c r="M18" s="87">
        <f>K18+L18</f>
        <v>120.35500000000002</v>
      </c>
      <c r="N18" s="87">
        <f>H18</f>
        <v>118.423</v>
      </c>
      <c r="O18" s="87">
        <f>M18-N18</f>
        <v>1.9320000000000164</v>
      </c>
      <c r="P18" s="96">
        <f>N18/M18</f>
        <v>0.98394748867932358</v>
      </c>
      <c r="Q18" s="90" t="s">
        <v>82</v>
      </c>
    </row>
    <row r="19" spans="2:17">
      <c r="B19" s="164"/>
      <c r="C19" s="86" t="s">
        <v>19</v>
      </c>
      <c r="D19" s="93" t="s">
        <v>31</v>
      </c>
      <c r="E19" s="30">
        <v>8229.6959999999999</v>
      </c>
      <c r="F19" s="30">
        <v>1913.194</v>
      </c>
      <c r="G19" s="30">
        <f>E19+F19</f>
        <v>10142.89</v>
      </c>
      <c r="H19" s="136">
        <v>9635.8790000000008</v>
      </c>
      <c r="I19" s="30">
        <f t="shared" si="2"/>
        <v>507.0109999999986</v>
      </c>
      <c r="J19" s="24">
        <f>H19/G19</f>
        <v>0.95001316192919394</v>
      </c>
      <c r="K19" s="30">
        <f t="shared" si="0"/>
        <v>8229.6959999999999</v>
      </c>
      <c r="L19" s="30">
        <f t="shared" si="1"/>
        <v>1913.194</v>
      </c>
      <c r="M19" s="87">
        <f>K19+L19</f>
        <v>10142.89</v>
      </c>
      <c r="N19" s="87">
        <f t="shared" ref="N19:N54" si="4">H19</f>
        <v>9635.8790000000008</v>
      </c>
      <c r="O19" s="87">
        <f>M19-N19</f>
        <v>507.0109999999986</v>
      </c>
      <c r="P19" s="96">
        <f>N19/M19</f>
        <v>0.95001316192919394</v>
      </c>
      <c r="Q19" s="109" t="s">
        <v>82</v>
      </c>
    </row>
    <row r="20" spans="2:17">
      <c r="B20" s="164"/>
      <c r="C20" s="86" t="s">
        <v>195</v>
      </c>
      <c r="D20" s="93" t="s">
        <v>31</v>
      </c>
      <c r="E20" s="30">
        <v>137.602</v>
      </c>
      <c r="F20" s="30">
        <f>-120</f>
        <v>-120</v>
      </c>
      <c r="G20" s="30">
        <f>E20+F20</f>
        <v>17.602000000000004</v>
      </c>
      <c r="H20" s="136">
        <v>2.86</v>
      </c>
      <c r="I20" s="30">
        <f t="shared" ref="I20" si="5">G20-H20</f>
        <v>14.742000000000004</v>
      </c>
      <c r="J20" s="24">
        <f>H20/G20</f>
        <v>0.16248153618906938</v>
      </c>
      <c r="K20" s="30">
        <f t="shared" ref="K20" si="6">E20</f>
        <v>137.602</v>
      </c>
      <c r="L20" s="30">
        <f t="shared" ref="L20" si="7">F20</f>
        <v>-120</v>
      </c>
      <c r="M20" s="87">
        <f>K20+L20</f>
        <v>17.602000000000004</v>
      </c>
      <c r="N20" s="87">
        <f t="shared" ref="N20" si="8">H20</f>
        <v>2.86</v>
      </c>
      <c r="O20" s="87">
        <f>M20-N20</f>
        <v>14.742000000000004</v>
      </c>
      <c r="P20" s="96">
        <f>N20/M20</f>
        <v>0.16248153618906938</v>
      </c>
      <c r="Q20" s="105"/>
    </row>
    <row r="21" spans="2:17">
      <c r="B21" s="165"/>
      <c r="C21" s="69" t="s">
        <v>20</v>
      </c>
      <c r="D21" s="93" t="s">
        <v>31</v>
      </c>
      <c r="E21" s="30">
        <v>2608.3470000000002</v>
      </c>
      <c r="F21" s="30"/>
      <c r="G21" s="30">
        <f>E21+F21</f>
        <v>2608.3470000000002</v>
      </c>
      <c r="H21" s="136">
        <v>1482.6569999999999</v>
      </c>
      <c r="I21" s="30">
        <f t="shared" si="2"/>
        <v>1125.6900000000003</v>
      </c>
      <c r="J21" s="24">
        <f t="shared" si="3"/>
        <v>0.5684278203781935</v>
      </c>
      <c r="K21" s="30">
        <f t="shared" si="0"/>
        <v>2608.3470000000002</v>
      </c>
      <c r="L21" s="97">
        <f t="shared" si="1"/>
        <v>0</v>
      </c>
      <c r="M21" s="30">
        <f>K21+L21</f>
        <v>2608.3470000000002</v>
      </c>
      <c r="N21" s="87">
        <f t="shared" si="4"/>
        <v>1482.6569999999999</v>
      </c>
      <c r="O21" s="30">
        <f>M21-N21</f>
        <v>1125.6900000000003</v>
      </c>
      <c r="P21" s="85">
        <f>N21/M21</f>
        <v>0.5684278203781935</v>
      </c>
      <c r="Q21" s="98" t="s">
        <v>82</v>
      </c>
    </row>
    <row r="22" spans="2:17">
      <c r="B22" s="44"/>
      <c r="C22" s="103"/>
      <c r="D22" s="47"/>
      <c r="E22" s="30">
        <f>SUM(E18:E21)</f>
        <v>12496</v>
      </c>
      <c r="F22" s="42"/>
      <c r="G22" s="42"/>
      <c r="H22" s="42"/>
      <c r="I22" s="42"/>
      <c r="J22" s="43"/>
      <c r="K22" s="42"/>
      <c r="L22" s="42"/>
      <c r="M22" s="42"/>
      <c r="N22" s="94"/>
      <c r="O22" s="42"/>
      <c r="P22" s="49"/>
      <c r="Q22" s="91"/>
    </row>
    <row r="23" spans="2:17" ht="15.75" customHeight="1">
      <c r="B23" s="44"/>
      <c r="C23" s="103"/>
      <c r="D23" s="47"/>
      <c r="E23" s="42" t="s">
        <v>180</v>
      </c>
      <c r="F23" s="42"/>
      <c r="G23" s="42"/>
      <c r="H23" s="42"/>
      <c r="I23" s="42"/>
      <c r="J23" s="43"/>
      <c r="K23" s="42" t="str">
        <f t="shared" si="0"/>
        <v xml:space="preserve"> </v>
      </c>
      <c r="L23" s="42">
        <f t="shared" si="1"/>
        <v>0</v>
      </c>
      <c r="M23" s="42"/>
      <c r="N23" s="95"/>
      <c r="O23" s="42"/>
      <c r="P23" s="92"/>
      <c r="Q23" s="47"/>
    </row>
    <row r="24" spans="2:17">
      <c r="B24" s="163" t="s">
        <v>137</v>
      </c>
      <c r="C24" s="86" t="s">
        <v>21</v>
      </c>
      <c r="D24" s="93" t="s">
        <v>31</v>
      </c>
      <c r="E24" s="84">
        <v>4789.4610000000002</v>
      </c>
      <c r="F24" s="30">
        <f>-385-3465-770-168</f>
        <v>-4788</v>
      </c>
      <c r="G24" s="30">
        <f>E24+F24</f>
        <v>1.4610000000002401</v>
      </c>
      <c r="H24" s="30">
        <v>0</v>
      </c>
      <c r="I24" s="30">
        <f t="shared" si="2"/>
        <v>1.4610000000002401</v>
      </c>
      <c r="J24" s="24">
        <f>H24/G24</f>
        <v>0</v>
      </c>
      <c r="K24" s="30">
        <f t="shared" si="0"/>
        <v>4789.4610000000002</v>
      </c>
      <c r="L24" s="30">
        <f t="shared" si="1"/>
        <v>-4788</v>
      </c>
      <c r="M24" s="87">
        <f t="shared" ref="M24:M29" si="9">K24+L24</f>
        <v>1.4610000000002401</v>
      </c>
      <c r="N24" s="89">
        <f t="shared" si="4"/>
        <v>0</v>
      </c>
      <c r="O24" s="87">
        <f t="shared" ref="O24:O29" si="10">M24-N24</f>
        <v>1.4610000000002401</v>
      </c>
      <c r="P24" s="96">
        <f t="shared" ref="P24:P29" si="11">N24/M24</f>
        <v>0</v>
      </c>
      <c r="Q24" s="90" t="s">
        <v>82</v>
      </c>
    </row>
    <row r="25" spans="2:17">
      <c r="B25" s="164"/>
      <c r="C25" s="86" t="s">
        <v>89</v>
      </c>
      <c r="D25" s="93" t="s">
        <v>31</v>
      </c>
      <c r="E25" s="30">
        <v>81.819999999999993</v>
      </c>
      <c r="F25" s="30">
        <f>-81.82</f>
        <v>-81.819999999999993</v>
      </c>
      <c r="G25" s="30">
        <f t="shared" ref="G25:G29" si="12">E25+F25</f>
        <v>0</v>
      </c>
      <c r="H25" s="30">
        <v>0</v>
      </c>
      <c r="I25" s="30">
        <f t="shared" si="2"/>
        <v>0</v>
      </c>
      <c r="J25" s="24">
        <v>0</v>
      </c>
      <c r="K25" s="30">
        <f t="shared" si="0"/>
        <v>81.819999999999993</v>
      </c>
      <c r="L25" s="30">
        <f t="shared" si="1"/>
        <v>-81.819999999999993</v>
      </c>
      <c r="M25" s="87">
        <f t="shared" si="9"/>
        <v>0</v>
      </c>
      <c r="N25" s="30">
        <f t="shared" si="4"/>
        <v>0</v>
      </c>
      <c r="O25" s="87">
        <f t="shared" si="10"/>
        <v>0</v>
      </c>
      <c r="P25" s="96" t="e">
        <f t="shared" si="11"/>
        <v>#DIV/0!</v>
      </c>
      <c r="Q25" s="90" t="s">
        <v>82</v>
      </c>
    </row>
    <row r="26" spans="2:17">
      <c r="B26" s="164"/>
      <c r="C26" s="86" t="s">
        <v>172</v>
      </c>
      <c r="D26" s="93" t="s">
        <v>31</v>
      </c>
      <c r="E26" s="30">
        <v>2.431</v>
      </c>
      <c r="F26" s="30"/>
      <c r="G26" s="30">
        <f t="shared" si="12"/>
        <v>2.431</v>
      </c>
      <c r="H26" s="30">
        <v>0</v>
      </c>
      <c r="I26" s="30">
        <f t="shared" si="2"/>
        <v>2.431</v>
      </c>
      <c r="J26" s="24">
        <f>H26/G26</f>
        <v>0</v>
      </c>
      <c r="K26" s="30">
        <f t="shared" si="0"/>
        <v>2.431</v>
      </c>
      <c r="L26" s="30">
        <f t="shared" si="1"/>
        <v>0</v>
      </c>
      <c r="M26" s="87">
        <f t="shared" si="9"/>
        <v>2.431</v>
      </c>
      <c r="N26" s="30">
        <f t="shared" si="4"/>
        <v>0</v>
      </c>
      <c r="O26" s="87">
        <f t="shared" si="10"/>
        <v>2.431</v>
      </c>
      <c r="P26" s="96">
        <f t="shared" si="11"/>
        <v>0</v>
      </c>
      <c r="Q26" s="90" t="s">
        <v>82</v>
      </c>
    </row>
    <row r="27" spans="2:17">
      <c r="B27" s="164"/>
      <c r="C27" s="86" t="s">
        <v>88</v>
      </c>
      <c r="D27" s="93" t="s">
        <v>31</v>
      </c>
      <c r="E27" s="30">
        <v>166.88399999999999</v>
      </c>
      <c r="F27" s="30">
        <f>-150</f>
        <v>-150</v>
      </c>
      <c r="G27" s="30">
        <f t="shared" si="12"/>
        <v>16.883999999999986</v>
      </c>
      <c r="H27" s="136">
        <v>6.78</v>
      </c>
      <c r="I27" s="30">
        <f t="shared" si="2"/>
        <v>10.103999999999985</v>
      </c>
      <c r="J27" s="24">
        <f t="shared" ref="J27:J29" si="13">H27/G27</f>
        <v>0.40156361051883477</v>
      </c>
      <c r="K27" s="30">
        <f t="shared" si="0"/>
        <v>166.88399999999999</v>
      </c>
      <c r="L27" s="30">
        <f t="shared" si="1"/>
        <v>-150</v>
      </c>
      <c r="M27" s="87">
        <f t="shared" si="9"/>
        <v>16.883999999999986</v>
      </c>
      <c r="N27" s="30">
        <f t="shared" si="4"/>
        <v>6.78</v>
      </c>
      <c r="O27" s="87">
        <f t="shared" si="10"/>
        <v>10.103999999999985</v>
      </c>
      <c r="P27" s="96">
        <f t="shared" si="11"/>
        <v>0.40156361051883477</v>
      </c>
      <c r="Q27" s="93" t="s">
        <v>82</v>
      </c>
    </row>
    <row r="28" spans="2:17" ht="12" customHeight="1">
      <c r="B28" s="164"/>
      <c r="C28" s="86" t="s">
        <v>22</v>
      </c>
      <c r="D28" s="93" t="s">
        <v>31</v>
      </c>
      <c r="E28" s="30">
        <v>127.926</v>
      </c>
      <c r="F28" s="30"/>
      <c r="G28" s="30">
        <f t="shared" si="12"/>
        <v>127.926</v>
      </c>
      <c r="H28" s="30">
        <v>0</v>
      </c>
      <c r="I28" s="30">
        <f t="shared" si="2"/>
        <v>127.926</v>
      </c>
      <c r="J28" s="24">
        <f t="shared" si="13"/>
        <v>0</v>
      </c>
      <c r="K28" s="30">
        <f t="shared" si="0"/>
        <v>127.926</v>
      </c>
      <c r="L28" s="30">
        <f t="shared" si="1"/>
        <v>0</v>
      </c>
      <c r="M28" s="87">
        <f t="shared" si="9"/>
        <v>127.926</v>
      </c>
      <c r="N28" s="30">
        <f t="shared" si="4"/>
        <v>0</v>
      </c>
      <c r="O28" s="87">
        <f t="shared" si="10"/>
        <v>127.926</v>
      </c>
      <c r="P28" s="96">
        <f t="shared" si="11"/>
        <v>0</v>
      </c>
      <c r="Q28" s="93" t="s">
        <v>82</v>
      </c>
    </row>
    <row r="29" spans="2:17">
      <c r="B29" s="165"/>
      <c r="C29" s="26" t="s">
        <v>20</v>
      </c>
      <c r="D29" s="93" t="s">
        <v>31</v>
      </c>
      <c r="E29" s="30">
        <v>714.47799999999995</v>
      </c>
      <c r="F29" s="30"/>
      <c r="G29" s="30">
        <f t="shared" si="12"/>
        <v>714.47799999999995</v>
      </c>
      <c r="H29" s="136">
        <v>54.438000000000002</v>
      </c>
      <c r="I29" s="30">
        <f t="shared" si="2"/>
        <v>660.04</v>
      </c>
      <c r="J29" s="24">
        <f t="shared" si="13"/>
        <v>7.6192688928140559E-2</v>
      </c>
      <c r="K29" s="30">
        <f t="shared" si="0"/>
        <v>714.47799999999995</v>
      </c>
      <c r="L29" s="30">
        <f t="shared" si="1"/>
        <v>0</v>
      </c>
      <c r="M29" s="30">
        <f t="shared" si="9"/>
        <v>714.47799999999995</v>
      </c>
      <c r="N29" s="87">
        <f t="shared" si="4"/>
        <v>54.438000000000002</v>
      </c>
      <c r="O29" s="30">
        <f t="shared" si="10"/>
        <v>660.04</v>
      </c>
      <c r="P29" s="85">
        <f t="shared" si="11"/>
        <v>7.6192688928140559E-2</v>
      </c>
      <c r="Q29" s="93" t="s">
        <v>82</v>
      </c>
    </row>
    <row r="30" spans="2:17">
      <c r="B30" s="44"/>
      <c r="C30" s="104"/>
      <c r="D30" s="47"/>
      <c r="E30" s="30">
        <f>SUM(E24:E29)</f>
        <v>5883</v>
      </c>
      <c r="F30" s="42"/>
      <c r="G30" s="42"/>
      <c r="H30" s="42"/>
      <c r="I30" s="42"/>
      <c r="J30" s="43"/>
      <c r="K30" s="42"/>
      <c r="L30" s="42"/>
      <c r="M30" s="42"/>
      <c r="N30" s="94"/>
      <c r="O30" s="42"/>
      <c r="P30" s="49"/>
      <c r="Q30" s="47"/>
    </row>
    <row r="31" spans="2:17" ht="15.75" customHeight="1">
      <c r="B31" s="44"/>
      <c r="C31" s="104"/>
      <c r="D31" s="47"/>
      <c r="E31" s="42"/>
      <c r="F31" s="42"/>
      <c r="G31" s="42"/>
      <c r="H31" s="42"/>
      <c r="I31" s="42"/>
      <c r="J31" s="43"/>
      <c r="K31" s="42"/>
      <c r="L31" s="42"/>
      <c r="M31" s="42"/>
      <c r="N31" s="95"/>
      <c r="O31" s="42"/>
      <c r="P31" s="92"/>
      <c r="Q31" s="47"/>
    </row>
    <row r="32" spans="2:17">
      <c r="B32" s="102" t="s">
        <v>138</v>
      </c>
      <c r="C32" s="26" t="s">
        <v>148</v>
      </c>
      <c r="D32" s="93" t="s">
        <v>31</v>
      </c>
      <c r="E32" s="30">
        <v>23</v>
      </c>
      <c r="F32" s="30"/>
      <c r="G32" s="30">
        <f>E32+F32</f>
        <v>23</v>
      </c>
      <c r="H32" s="136">
        <v>13.590999999999999</v>
      </c>
      <c r="I32" s="30">
        <f t="shared" si="2"/>
        <v>9.4090000000000007</v>
      </c>
      <c r="J32" s="24">
        <f>H32/G32</f>
        <v>0.59091304347826079</v>
      </c>
      <c r="K32" s="30">
        <f t="shared" si="0"/>
        <v>23</v>
      </c>
      <c r="L32" s="30">
        <f t="shared" si="1"/>
        <v>0</v>
      </c>
      <c r="M32" s="30">
        <f>K32+L32</f>
        <v>23</v>
      </c>
      <c r="N32" s="88">
        <f t="shared" si="4"/>
        <v>13.590999999999999</v>
      </c>
      <c r="O32" s="30">
        <f>M32-N32</f>
        <v>9.4090000000000007</v>
      </c>
      <c r="P32" s="85">
        <f>N32/M32</f>
        <v>0.59091304347826079</v>
      </c>
      <c r="Q32" s="90" t="s">
        <v>82</v>
      </c>
    </row>
    <row r="33" spans="2:17">
      <c r="B33" s="44"/>
      <c r="C33" s="104"/>
      <c r="D33" s="47"/>
      <c r="E33" s="42"/>
      <c r="F33" s="42"/>
      <c r="G33" s="42"/>
      <c r="H33" s="42"/>
      <c r="I33" s="42"/>
      <c r="J33" s="43"/>
      <c r="K33" s="42"/>
      <c r="L33" s="42"/>
      <c r="M33" s="42"/>
      <c r="N33" s="94"/>
      <c r="O33" s="42"/>
      <c r="P33" s="49"/>
      <c r="Q33" s="91"/>
    </row>
    <row r="34" spans="2:17" ht="15.75" customHeight="1">
      <c r="B34" s="44"/>
      <c r="C34" s="104"/>
      <c r="D34" s="47"/>
      <c r="E34" s="42"/>
      <c r="F34" s="42"/>
      <c r="G34" s="42"/>
      <c r="H34" s="42"/>
      <c r="I34" s="42"/>
      <c r="J34" s="43"/>
      <c r="K34" s="42"/>
      <c r="L34" s="42"/>
      <c r="M34" s="42"/>
      <c r="N34" s="95"/>
      <c r="O34" s="42"/>
      <c r="P34" s="92"/>
      <c r="Q34" s="47"/>
    </row>
    <row r="35" spans="2:17">
      <c r="B35" s="102" t="s">
        <v>139</v>
      </c>
      <c r="C35" s="26" t="s">
        <v>149</v>
      </c>
      <c r="D35" s="93" t="s">
        <v>31</v>
      </c>
      <c r="E35" s="30">
        <v>192</v>
      </c>
      <c r="F35" s="30"/>
      <c r="G35" s="30">
        <f>E35+F35</f>
        <v>192</v>
      </c>
      <c r="H35" s="136">
        <v>174.982</v>
      </c>
      <c r="I35" s="30">
        <f t="shared" si="2"/>
        <v>17.018000000000001</v>
      </c>
      <c r="J35" s="24">
        <f>H35/G35</f>
        <v>0.91136458333333337</v>
      </c>
      <c r="K35" s="30">
        <f t="shared" si="0"/>
        <v>192</v>
      </c>
      <c r="L35" s="30">
        <f t="shared" si="1"/>
        <v>0</v>
      </c>
      <c r="M35" s="30">
        <f>K35+L35</f>
        <v>192</v>
      </c>
      <c r="N35" s="88">
        <f t="shared" si="4"/>
        <v>174.982</v>
      </c>
      <c r="O35" s="30">
        <f>M35-N35</f>
        <v>17.018000000000001</v>
      </c>
      <c r="P35" s="85">
        <f>N35/M35</f>
        <v>0.91136458333333337</v>
      </c>
      <c r="Q35" s="90" t="s">
        <v>82</v>
      </c>
    </row>
    <row r="36" spans="2:17">
      <c r="B36" s="44"/>
      <c r="C36" s="104"/>
      <c r="D36" s="47"/>
      <c r="E36" s="42"/>
      <c r="F36" s="42"/>
      <c r="G36" s="42"/>
      <c r="H36" s="42"/>
      <c r="I36" s="42"/>
      <c r="J36" s="43"/>
      <c r="K36" s="42"/>
      <c r="L36" s="42"/>
      <c r="M36" s="42"/>
      <c r="N36" s="94"/>
      <c r="O36" s="42"/>
      <c r="P36" s="49"/>
      <c r="Q36" s="91"/>
    </row>
    <row r="37" spans="2:17" ht="15.75" customHeight="1">
      <c r="B37" s="44"/>
      <c r="C37" s="104"/>
      <c r="D37" s="47"/>
      <c r="E37" s="42"/>
      <c r="F37" s="42"/>
      <c r="G37" s="42"/>
      <c r="H37" s="42"/>
      <c r="I37" s="42"/>
      <c r="J37" s="43"/>
      <c r="K37" s="42"/>
      <c r="L37" s="42"/>
      <c r="M37" s="42"/>
      <c r="N37" s="95"/>
      <c r="O37" s="42"/>
      <c r="P37" s="92"/>
      <c r="Q37" s="47"/>
    </row>
    <row r="38" spans="2:17" ht="12" customHeight="1">
      <c r="B38" s="102" t="s">
        <v>140</v>
      </c>
      <c r="C38" s="26" t="s">
        <v>150</v>
      </c>
      <c r="D38" s="93" t="s">
        <v>31</v>
      </c>
      <c r="E38" s="30">
        <v>12536</v>
      </c>
      <c r="F38" s="30"/>
      <c r="G38" s="30">
        <f>E38+F38</f>
        <v>12536</v>
      </c>
      <c r="H38" s="136">
        <v>16714.684000000001</v>
      </c>
      <c r="I38" s="30">
        <f>G38-H38</f>
        <v>-4178.6840000000011</v>
      </c>
      <c r="J38" s="99">
        <f>H38/G38</f>
        <v>1.3333347160178686</v>
      </c>
      <c r="K38" s="30">
        <f t="shared" si="0"/>
        <v>12536</v>
      </c>
      <c r="L38" s="30">
        <f>F38</f>
        <v>0</v>
      </c>
      <c r="M38" s="100">
        <f>K38+L38</f>
        <v>12536</v>
      </c>
      <c r="N38" s="88">
        <f t="shared" si="4"/>
        <v>16714.684000000001</v>
      </c>
      <c r="O38" s="30">
        <f>M38-N38</f>
        <v>-4178.6840000000011</v>
      </c>
      <c r="P38" s="85">
        <f>N38/M38</f>
        <v>1.3333347160178686</v>
      </c>
      <c r="Q38" s="90">
        <v>44570</v>
      </c>
    </row>
    <row r="39" spans="2:17" ht="12" customHeight="1">
      <c r="B39" s="44"/>
      <c r="C39" s="104"/>
      <c r="D39" s="47"/>
      <c r="E39" s="42"/>
      <c r="F39" s="42"/>
      <c r="G39" s="42"/>
      <c r="H39" s="42"/>
      <c r="I39" s="42"/>
      <c r="J39" s="43"/>
      <c r="K39" s="42"/>
      <c r="L39" s="42"/>
      <c r="M39" s="42"/>
      <c r="N39" s="94"/>
      <c r="O39" s="42"/>
      <c r="P39" s="49"/>
      <c r="Q39" s="91"/>
    </row>
    <row r="40" spans="2:17" ht="15.75" customHeight="1">
      <c r="B40" s="44"/>
      <c r="C40" s="104"/>
      <c r="D40" s="47"/>
      <c r="E40" s="42"/>
      <c r="F40" s="42"/>
      <c r="G40" s="42"/>
      <c r="H40" s="42"/>
      <c r="I40" s="42"/>
      <c r="J40" s="43"/>
      <c r="K40" s="42">
        <f t="shared" si="0"/>
        <v>0</v>
      </c>
      <c r="L40" s="42">
        <f t="shared" si="1"/>
        <v>0</v>
      </c>
      <c r="M40" s="42"/>
      <c r="N40" s="95"/>
      <c r="O40" s="42"/>
      <c r="P40" s="92"/>
      <c r="Q40" s="47"/>
    </row>
    <row r="41" spans="2:17">
      <c r="B41" s="102" t="s">
        <v>141</v>
      </c>
      <c r="C41" s="26" t="s">
        <v>151</v>
      </c>
      <c r="D41" s="93" t="s">
        <v>31</v>
      </c>
      <c r="E41" s="30">
        <v>282</v>
      </c>
      <c r="F41" s="30"/>
      <c r="G41" s="30">
        <f>E41+F41</f>
        <v>282</v>
      </c>
      <c r="H41" s="136">
        <v>5.4930000000000003</v>
      </c>
      <c r="I41" s="30">
        <f t="shared" si="2"/>
        <v>276.50700000000001</v>
      </c>
      <c r="J41" s="24">
        <f>H41/G41</f>
        <v>1.947872340425532E-2</v>
      </c>
      <c r="K41" s="30">
        <f t="shared" si="0"/>
        <v>282</v>
      </c>
      <c r="L41" s="30">
        <f t="shared" si="1"/>
        <v>0</v>
      </c>
      <c r="M41" s="30">
        <f>K41+L41</f>
        <v>282</v>
      </c>
      <c r="N41" s="88">
        <f t="shared" si="4"/>
        <v>5.4930000000000003</v>
      </c>
      <c r="O41" s="30">
        <f>M41-N41</f>
        <v>276.50700000000001</v>
      </c>
      <c r="P41" s="85">
        <f>N41/M41</f>
        <v>1.947872340425532E-2</v>
      </c>
      <c r="Q41" s="90" t="s">
        <v>82</v>
      </c>
    </row>
    <row r="42" spans="2:17">
      <c r="B42" s="44"/>
      <c r="C42" s="104"/>
      <c r="D42" s="47"/>
      <c r="E42" s="42"/>
      <c r="F42" s="42"/>
      <c r="G42" s="42"/>
      <c r="H42" s="42"/>
      <c r="I42" s="42"/>
      <c r="J42" s="43"/>
      <c r="K42" s="42"/>
      <c r="L42" s="42"/>
      <c r="M42" s="42"/>
      <c r="N42" s="94"/>
      <c r="O42" s="42"/>
      <c r="P42" s="49"/>
      <c r="Q42" s="91"/>
    </row>
    <row r="43" spans="2:17" ht="15.75" customHeight="1">
      <c r="B43" s="44"/>
      <c r="C43" s="104"/>
      <c r="D43" s="47"/>
      <c r="E43" s="42"/>
      <c r="F43" s="42"/>
      <c r="G43" s="42"/>
      <c r="H43" s="42"/>
      <c r="I43" s="42"/>
      <c r="J43" s="43"/>
      <c r="K43" s="42"/>
      <c r="L43" s="42"/>
      <c r="M43" s="42"/>
      <c r="N43" s="95"/>
      <c r="O43" s="42"/>
      <c r="P43" s="92"/>
      <c r="Q43" s="47"/>
    </row>
    <row r="44" spans="2:17">
      <c r="B44" s="102" t="s">
        <v>142</v>
      </c>
      <c r="C44" s="26" t="s">
        <v>152</v>
      </c>
      <c r="D44" s="93" t="s">
        <v>31</v>
      </c>
      <c r="E44" s="30">
        <v>1466</v>
      </c>
      <c r="F44" s="30"/>
      <c r="G44" s="30">
        <f>E44+F44</f>
        <v>1466</v>
      </c>
      <c r="H44" s="136">
        <v>1481.2149999999999</v>
      </c>
      <c r="I44" s="30">
        <f t="shared" si="2"/>
        <v>-15.214999999999918</v>
      </c>
      <c r="J44" s="24">
        <f>H44/G44</f>
        <v>1.0103785811732606</v>
      </c>
      <c r="K44" s="30">
        <f t="shared" si="0"/>
        <v>1466</v>
      </c>
      <c r="L44" s="30">
        <f t="shared" si="1"/>
        <v>0</v>
      </c>
      <c r="M44" s="30">
        <f>K44+L44</f>
        <v>1466</v>
      </c>
      <c r="N44" s="88">
        <f t="shared" si="4"/>
        <v>1481.2149999999999</v>
      </c>
      <c r="O44" s="30">
        <f>M44-N44</f>
        <v>-15.214999999999918</v>
      </c>
      <c r="P44" s="85">
        <f>N44/M44</f>
        <v>1.0103785811732606</v>
      </c>
      <c r="Q44" s="90">
        <v>44654</v>
      </c>
    </row>
    <row r="45" spans="2:17">
      <c r="B45" s="44"/>
      <c r="C45" s="104"/>
      <c r="D45" s="47"/>
      <c r="E45" s="42"/>
      <c r="F45" s="42"/>
      <c r="G45" s="42"/>
      <c r="H45" s="42"/>
      <c r="I45" s="42"/>
      <c r="J45" s="43"/>
      <c r="K45" s="42"/>
      <c r="L45" s="42"/>
      <c r="M45" s="42"/>
      <c r="N45" s="94"/>
      <c r="O45" s="42"/>
      <c r="P45" s="49"/>
      <c r="Q45" s="91"/>
    </row>
    <row r="46" spans="2:17" ht="15.75" customHeight="1">
      <c r="B46" s="44"/>
      <c r="C46" s="104"/>
      <c r="D46" s="47"/>
      <c r="E46" s="42"/>
      <c r="F46" s="42"/>
      <c r="G46" s="42"/>
      <c r="H46" s="42"/>
      <c r="I46" s="42"/>
      <c r="J46" s="43"/>
      <c r="K46" s="42"/>
      <c r="L46" s="42"/>
      <c r="M46" s="42"/>
      <c r="N46" s="95"/>
      <c r="O46" s="42"/>
      <c r="P46" s="92"/>
      <c r="Q46" s="47"/>
    </row>
    <row r="47" spans="2:17">
      <c r="B47" s="163" t="s">
        <v>143</v>
      </c>
      <c r="C47" s="86" t="s">
        <v>25</v>
      </c>
      <c r="D47" s="93" t="s">
        <v>31</v>
      </c>
      <c r="E47" s="30">
        <v>150.12899999999999</v>
      </c>
      <c r="F47" s="30">
        <f>-150</f>
        <v>-150</v>
      </c>
      <c r="G47" s="30">
        <f t="shared" ref="G47:G54" si="14">E47+F47</f>
        <v>0.12899999999999068</v>
      </c>
      <c r="H47" s="30"/>
      <c r="I47" s="30">
        <f t="shared" ref="I47:I49" si="15">G47-H47</f>
        <v>0.12899999999999068</v>
      </c>
      <c r="J47" s="24">
        <f>H47/G47</f>
        <v>0</v>
      </c>
      <c r="K47" s="30">
        <f t="shared" si="0"/>
        <v>150.12899999999999</v>
      </c>
      <c r="L47" s="30">
        <f t="shared" si="1"/>
        <v>-150</v>
      </c>
      <c r="M47" s="30">
        <f t="shared" ref="M47:M54" si="16">K47+L47</f>
        <v>0.12899999999999068</v>
      </c>
      <c r="N47" s="89">
        <f t="shared" si="4"/>
        <v>0</v>
      </c>
      <c r="O47" s="87">
        <f t="shared" ref="O47:O54" si="17">M47-N47</f>
        <v>0.12899999999999068</v>
      </c>
      <c r="P47" s="96">
        <f>N47/M47</f>
        <v>0</v>
      </c>
      <c r="Q47" s="90">
        <v>44637</v>
      </c>
    </row>
    <row r="48" spans="2:17">
      <c r="B48" s="164"/>
      <c r="C48" s="86" t="s">
        <v>26</v>
      </c>
      <c r="D48" s="93" t="s">
        <v>31</v>
      </c>
      <c r="E48" s="30">
        <v>709.26599999999996</v>
      </c>
      <c r="F48" s="30">
        <f>-709.266</f>
        <v>-709.26599999999996</v>
      </c>
      <c r="G48" s="30">
        <f t="shared" si="14"/>
        <v>0</v>
      </c>
      <c r="H48" s="30"/>
      <c r="I48" s="30">
        <f t="shared" si="15"/>
        <v>0</v>
      </c>
      <c r="J48" s="24" t="e">
        <f t="shared" ref="J48:J54" si="18">H48/G48</f>
        <v>#DIV/0!</v>
      </c>
      <c r="K48" s="30">
        <f t="shared" si="0"/>
        <v>709.26599999999996</v>
      </c>
      <c r="L48" s="30">
        <f t="shared" si="1"/>
        <v>-709.26599999999996</v>
      </c>
      <c r="M48" s="87">
        <f t="shared" si="16"/>
        <v>0</v>
      </c>
      <c r="N48" s="30">
        <f t="shared" si="4"/>
        <v>0</v>
      </c>
      <c r="O48" s="87">
        <f t="shared" si="17"/>
        <v>0</v>
      </c>
      <c r="P48" s="96" t="e">
        <f>N48/M48</f>
        <v>#DIV/0!</v>
      </c>
      <c r="Q48" s="90">
        <v>44637</v>
      </c>
    </row>
    <row r="49" spans="2:17">
      <c r="B49" s="164"/>
      <c r="C49" s="86" t="s">
        <v>27</v>
      </c>
      <c r="D49" s="93" t="s">
        <v>31</v>
      </c>
      <c r="E49" s="30">
        <v>4329.8779999999997</v>
      </c>
      <c r="F49" s="30">
        <v>-4140</v>
      </c>
      <c r="G49" s="30">
        <f t="shared" si="14"/>
        <v>189.8779999999997</v>
      </c>
      <c r="H49" s="30"/>
      <c r="I49" s="30">
        <f t="shared" si="15"/>
        <v>189.8779999999997</v>
      </c>
      <c r="J49" s="24">
        <f t="shared" si="18"/>
        <v>0</v>
      </c>
      <c r="K49" s="30">
        <f t="shared" si="0"/>
        <v>4329.8779999999997</v>
      </c>
      <c r="L49" s="30">
        <f t="shared" si="1"/>
        <v>-4140</v>
      </c>
      <c r="M49" s="87">
        <f t="shared" si="16"/>
        <v>189.8779999999997</v>
      </c>
      <c r="N49" s="30">
        <f t="shared" si="4"/>
        <v>0</v>
      </c>
      <c r="O49" s="87">
        <f t="shared" si="17"/>
        <v>189.8779999999997</v>
      </c>
      <c r="P49" s="96">
        <f>N49/M49</f>
        <v>0</v>
      </c>
      <c r="Q49" s="90" t="s">
        <v>82</v>
      </c>
    </row>
    <row r="50" spans="2:17">
      <c r="B50" s="164"/>
      <c r="C50" s="86" t="s">
        <v>28</v>
      </c>
      <c r="D50" s="93" t="s">
        <v>31</v>
      </c>
      <c r="E50" s="30">
        <v>723.53899999999999</v>
      </c>
      <c r="F50" s="30">
        <f>-720</f>
        <v>-720</v>
      </c>
      <c r="G50" s="30">
        <f t="shared" si="14"/>
        <v>3.5389999999999873</v>
      </c>
      <c r="H50" s="30"/>
      <c r="I50" s="30">
        <f t="shared" si="2"/>
        <v>3.5389999999999873</v>
      </c>
      <c r="J50" s="24">
        <f>H50/G50</f>
        <v>0</v>
      </c>
      <c r="K50" s="30">
        <f t="shared" si="0"/>
        <v>723.53899999999999</v>
      </c>
      <c r="L50" s="30">
        <f t="shared" si="1"/>
        <v>-720</v>
      </c>
      <c r="M50" s="87">
        <f t="shared" si="16"/>
        <v>3.5389999999999873</v>
      </c>
      <c r="N50" s="30">
        <f t="shared" si="4"/>
        <v>0</v>
      </c>
      <c r="O50" s="87">
        <f t="shared" si="17"/>
        <v>3.5389999999999873</v>
      </c>
      <c r="P50" s="96">
        <f>((N50+L50)/K50)*-1</f>
        <v>0.99510876400581039</v>
      </c>
      <c r="Q50" s="90" t="s">
        <v>82</v>
      </c>
    </row>
    <row r="51" spans="2:17">
      <c r="B51" s="164"/>
      <c r="C51" s="86" t="s">
        <v>29</v>
      </c>
      <c r="D51" s="93" t="s">
        <v>31</v>
      </c>
      <c r="E51" s="30">
        <v>2294.152</v>
      </c>
      <c r="F51" s="30">
        <v>-2294</v>
      </c>
      <c r="G51" s="30">
        <f t="shared" si="14"/>
        <v>0.15200000000004366</v>
      </c>
      <c r="H51" s="30"/>
      <c r="I51" s="30">
        <f t="shared" si="2"/>
        <v>0.15200000000004366</v>
      </c>
      <c r="J51" s="24">
        <f t="shared" si="18"/>
        <v>0</v>
      </c>
      <c r="K51" s="30">
        <f t="shared" si="0"/>
        <v>2294.152</v>
      </c>
      <c r="L51" s="30">
        <f t="shared" si="1"/>
        <v>-2294</v>
      </c>
      <c r="M51" s="87">
        <f t="shared" si="16"/>
        <v>0.15200000000004366</v>
      </c>
      <c r="N51" s="30">
        <f t="shared" si="4"/>
        <v>0</v>
      </c>
      <c r="O51" s="87">
        <f t="shared" si="17"/>
        <v>0.15200000000004366</v>
      </c>
      <c r="P51" s="96">
        <f>N51/M51</f>
        <v>0</v>
      </c>
      <c r="Q51" s="90">
        <v>44586</v>
      </c>
    </row>
    <row r="52" spans="2:17">
      <c r="B52" s="164"/>
      <c r="C52" s="86" t="s">
        <v>99</v>
      </c>
      <c r="D52" s="93" t="s">
        <v>31</v>
      </c>
      <c r="E52" s="30">
        <v>1090.26</v>
      </c>
      <c r="F52" s="30">
        <f>-1090.26</f>
        <v>-1090.26</v>
      </c>
      <c r="G52" s="30">
        <f t="shared" si="14"/>
        <v>0</v>
      </c>
      <c r="H52" s="30"/>
      <c r="I52" s="30">
        <f t="shared" si="2"/>
        <v>0</v>
      </c>
      <c r="J52" s="24" t="e">
        <f>H52/G52</f>
        <v>#DIV/0!</v>
      </c>
      <c r="K52" s="30">
        <f t="shared" si="0"/>
        <v>1090.26</v>
      </c>
      <c r="L52" s="30">
        <f t="shared" si="1"/>
        <v>-1090.26</v>
      </c>
      <c r="M52" s="87">
        <f t="shared" si="16"/>
        <v>0</v>
      </c>
      <c r="N52" s="30">
        <f t="shared" si="4"/>
        <v>0</v>
      </c>
      <c r="O52" s="87">
        <f t="shared" si="17"/>
        <v>0</v>
      </c>
      <c r="P52" s="96" t="e">
        <f>N52/M52</f>
        <v>#DIV/0!</v>
      </c>
      <c r="Q52" s="90">
        <v>44596</v>
      </c>
    </row>
    <row r="53" spans="2:17">
      <c r="B53" s="164"/>
      <c r="C53" s="86" t="s">
        <v>90</v>
      </c>
      <c r="D53" s="93" t="s">
        <v>31</v>
      </c>
      <c r="E53" s="30">
        <v>146.27000000000001</v>
      </c>
      <c r="F53" s="30">
        <v>-143</v>
      </c>
      <c r="G53" s="30">
        <f t="shared" si="14"/>
        <v>3.2700000000000102</v>
      </c>
      <c r="H53" s="30"/>
      <c r="I53" s="30">
        <f t="shared" si="2"/>
        <v>3.2700000000000102</v>
      </c>
      <c r="J53" s="24">
        <f t="shared" si="18"/>
        <v>0</v>
      </c>
      <c r="K53" s="30">
        <f t="shared" si="0"/>
        <v>146.27000000000001</v>
      </c>
      <c r="L53" s="30">
        <f t="shared" si="1"/>
        <v>-143</v>
      </c>
      <c r="M53" s="87">
        <f t="shared" si="16"/>
        <v>3.2700000000000102</v>
      </c>
      <c r="N53" s="30">
        <f t="shared" si="4"/>
        <v>0</v>
      </c>
      <c r="O53" s="87">
        <f t="shared" si="17"/>
        <v>3.2700000000000102</v>
      </c>
      <c r="P53" s="96">
        <f>N53/M53</f>
        <v>0</v>
      </c>
      <c r="Q53" s="93" t="s">
        <v>82</v>
      </c>
    </row>
    <row r="54" spans="2:17" ht="15">
      <c r="B54" s="165"/>
      <c r="C54" s="69" t="s">
        <v>20</v>
      </c>
      <c r="D54" s="93" t="s">
        <v>31</v>
      </c>
      <c r="E54" s="30">
        <v>364.50700000000001</v>
      </c>
      <c r="F54" s="30"/>
      <c r="G54" s="30">
        <f t="shared" si="14"/>
        <v>364.50700000000001</v>
      </c>
      <c r="H54" s="137">
        <v>391.50799999999998</v>
      </c>
      <c r="I54" s="30">
        <f t="shared" si="2"/>
        <v>-27.000999999999976</v>
      </c>
      <c r="J54" s="24">
        <f t="shared" si="18"/>
        <v>1.0740753949855557</v>
      </c>
      <c r="K54" s="30">
        <f t="shared" si="0"/>
        <v>364.50700000000001</v>
      </c>
      <c r="L54" s="30">
        <f t="shared" si="1"/>
        <v>0</v>
      </c>
      <c r="M54" s="30">
        <f t="shared" si="16"/>
        <v>364.50700000000001</v>
      </c>
      <c r="N54" s="30">
        <f t="shared" si="4"/>
        <v>391.50799999999998</v>
      </c>
      <c r="O54" s="30">
        <f t="shared" si="17"/>
        <v>-27.000999999999976</v>
      </c>
      <c r="P54" s="85">
        <f>N54/M54</f>
        <v>1.0740753949855557</v>
      </c>
      <c r="Q54" s="90">
        <v>44873</v>
      </c>
    </row>
    <row r="55" spans="2:17">
      <c r="B55" s="44"/>
      <c r="C55" s="103"/>
      <c r="D55" s="47"/>
      <c r="E55" s="30">
        <f>SUM(E47:E54)</f>
        <v>9808.0010000000002</v>
      </c>
      <c r="F55" s="42"/>
      <c r="G55" s="42"/>
      <c r="H55" s="42"/>
      <c r="I55" s="42"/>
      <c r="J55" s="43"/>
      <c r="K55" s="42"/>
      <c r="L55" s="42"/>
      <c r="M55" s="42"/>
      <c r="N55" s="42"/>
      <c r="O55" s="42"/>
      <c r="P55" s="49"/>
      <c r="Q55" s="47"/>
    </row>
    <row r="56" spans="2:17" ht="15.75" customHeight="1">
      <c r="B56" s="47"/>
      <c r="C56" s="104"/>
      <c r="D56" s="47"/>
      <c r="E56" s="42"/>
      <c r="F56" s="42"/>
      <c r="G56" s="42"/>
      <c r="H56" s="42"/>
      <c r="I56" s="42"/>
      <c r="J56" s="43"/>
      <c r="K56" s="42"/>
      <c r="L56" s="42"/>
      <c r="M56" s="42"/>
      <c r="N56" s="42"/>
      <c r="O56" s="42"/>
      <c r="P56" s="92"/>
    </row>
    <row r="57" spans="2:17">
      <c r="B57" s="93" t="s">
        <v>32</v>
      </c>
      <c r="C57" s="26" t="s">
        <v>153</v>
      </c>
      <c r="D57" s="93" t="s">
        <v>31</v>
      </c>
      <c r="E57" s="30">
        <v>327</v>
      </c>
      <c r="F57" s="30"/>
      <c r="G57" s="30">
        <f>E57+F57</f>
        <v>327</v>
      </c>
      <c r="H57" s="136">
        <f>1.846+13.262</f>
        <v>15.108000000000001</v>
      </c>
      <c r="I57" s="30">
        <f>G57-H57</f>
        <v>311.892</v>
      </c>
      <c r="J57" s="24">
        <f>H57/G57</f>
        <v>4.620183486238532E-2</v>
      </c>
      <c r="K57" s="30">
        <f>E57</f>
        <v>327</v>
      </c>
      <c r="L57" s="30">
        <f>F57</f>
        <v>0</v>
      </c>
      <c r="M57" s="30">
        <f>K57+L57</f>
        <v>327</v>
      </c>
      <c r="N57" s="30">
        <f>H57</f>
        <v>15.108000000000001</v>
      </c>
      <c r="O57" s="30">
        <f>M57-N57</f>
        <v>311.892</v>
      </c>
      <c r="P57" s="85">
        <f>N57/M57</f>
        <v>4.620183486238532E-2</v>
      </c>
      <c r="Q57" s="33" t="s">
        <v>82</v>
      </c>
    </row>
    <row r="58" spans="2:17">
      <c r="B58" s="47"/>
      <c r="C58" s="104"/>
      <c r="D58" s="47"/>
      <c r="E58" s="42"/>
      <c r="F58" s="42"/>
      <c r="G58" s="42"/>
      <c r="H58" s="42"/>
      <c r="I58" s="42"/>
      <c r="J58" s="43"/>
      <c r="K58" s="42"/>
      <c r="L58" s="42"/>
      <c r="M58" s="42"/>
      <c r="N58" s="42"/>
      <c r="O58" s="42"/>
      <c r="P58" s="49"/>
    </row>
    <row r="59" spans="2:17">
      <c r="B59" s="47"/>
      <c r="C59" s="104"/>
      <c r="D59" s="47"/>
      <c r="E59" s="42"/>
      <c r="F59" s="42"/>
      <c r="G59" s="42"/>
      <c r="H59" s="42"/>
      <c r="I59" s="42"/>
      <c r="J59" s="101"/>
      <c r="K59" s="42"/>
      <c r="L59" s="42">
        <f>SUM(L57)</f>
        <v>0</v>
      </c>
      <c r="M59" s="42"/>
      <c r="N59" s="42"/>
      <c r="O59" s="42"/>
      <c r="P59" s="92"/>
    </row>
    <row r="60" spans="2:17">
      <c r="B60" s="93" t="s">
        <v>33</v>
      </c>
      <c r="C60" s="26" t="s">
        <v>154</v>
      </c>
      <c r="D60" s="93" t="s">
        <v>31</v>
      </c>
      <c r="E60" s="30">
        <v>232</v>
      </c>
      <c r="F60" s="30"/>
      <c r="G60" s="30">
        <f>E60+F60</f>
        <v>232</v>
      </c>
      <c r="H60" s="136">
        <v>20.364000000000001</v>
      </c>
      <c r="I60" s="30">
        <f>G60-H60</f>
        <v>211.636</v>
      </c>
      <c r="J60" s="24">
        <f>H60/G60</f>
        <v>8.7775862068965524E-2</v>
      </c>
      <c r="K60" s="30">
        <f>E60</f>
        <v>232</v>
      </c>
      <c r="L60" s="30">
        <f>F60</f>
        <v>0</v>
      </c>
      <c r="M60" s="30">
        <f>K60+L60</f>
        <v>232</v>
      </c>
      <c r="N60" s="30">
        <f>H60</f>
        <v>20.364000000000001</v>
      </c>
      <c r="O60" s="30">
        <f>M60-N60</f>
        <v>211.636</v>
      </c>
      <c r="P60" s="85">
        <f>N60/M60</f>
        <v>8.7775862068965524E-2</v>
      </c>
      <c r="Q60" s="33" t="s">
        <v>82</v>
      </c>
    </row>
    <row r="62" spans="2:17" ht="15" customHeight="1"/>
    <row r="64" spans="2:17">
      <c r="F64" s="42"/>
    </row>
  </sheetData>
  <mergeCells count="6">
    <mergeCell ref="B47:B54"/>
    <mergeCell ref="B4:Q4"/>
    <mergeCell ref="B2:Q2"/>
    <mergeCell ref="B3:Q3"/>
    <mergeCell ref="B24:B29"/>
    <mergeCell ref="B18:B21"/>
  </mergeCells>
  <conditionalFormatting sqref="I57:I58 I60 I47:I55 I44:I45 I41:I42 I38:I39 I35:I36 I32:I33 I24:I30 I12:I13 I15:I16 I9:I10 I6:I7 I18:I22">
    <cfRule type="cellIs" dxfId="2" priority="14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G40 G29 M8 M59 G43 M11 M17 M23 M31 M40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73"/>
  <sheetViews>
    <sheetView showGridLines="0" topLeftCell="B1" zoomScaleNormal="100" workbookViewId="0">
      <pane ySplit="5" topLeftCell="A6" activePane="bottomLeft" state="frozen"/>
      <selection pane="bottomLeft" activeCell="I87" sqref="I87"/>
    </sheetView>
  </sheetViews>
  <sheetFormatPr baseColWidth="10" defaultColWidth="11.42578125" defaultRowHeight="12"/>
  <cols>
    <col min="1" max="1" width="6" style="45" customWidth="1"/>
    <col min="2" max="2" width="9.7109375" style="45" bestFit="1" customWidth="1"/>
    <col min="3" max="3" width="35.85546875" style="45" bestFit="1" customWidth="1"/>
    <col min="4" max="4" width="10.42578125" style="46" customWidth="1"/>
    <col min="5" max="5" width="10.42578125" style="46" hidden="1" customWidth="1"/>
    <col min="6" max="6" width="18" style="41" bestFit="1" customWidth="1"/>
    <col min="7" max="7" width="14.85546875" style="41" bestFit="1" customWidth="1"/>
    <col min="8" max="8" width="17" style="41" bestFit="1" customWidth="1"/>
    <col min="9" max="9" width="12.42578125" style="41" bestFit="1" customWidth="1"/>
    <col min="10" max="10" width="9.7109375" style="41" bestFit="1" customWidth="1"/>
    <col min="11" max="11" width="11.28515625" style="41" bestFit="1" customWidth="1"/>
    <col min="12" max="12" width="18" style="41" bestFit="1" customWidth="1"/>
    <col min="13" max="13" width="14.85546875" style="41" bestFit="1" customWidth="1"/>
    <col min="14" max="14" width="17" style="41" bestFit="1" customWidth="1"/>
    <col min="15" max="15" width="11.7109375" style="41" bestFit="1" customWidth="1"/>
    <col min="16" max="16" width="9.7109375" style="41" bestFit="1" customWidth="1"/>
    <col min="17" max="17" width="11.28515625" style="41" bestFit="1" customWidth="1"/>
    <col min="18" max="16384" width="11.42578125" style="45"/>
  </cols>
  <sheetData>
    <row r="1" spans="2:17">
      <c r="G1" s="45"/>
      <c r="H1" s="45"/>
      <c r="K1" s="45"/>
      <c r="L1" s="45"/>
      <c r="M1" s="45"/>
      <c r="N1" s="45"/>
      <c r="O1" s="45"/>
      <c r="P1" s="45"/>
      <c r="Q1" s="45"/>
    </row>
    <row r="2" spans="2:17" s="36" customFormat="1" ht="19.899999999999999" customHeight="1">
      <c r="B2" s="194" t="s">
        <v>188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6"/>
    </row>
    <row r="3" spans="2:17" ht="15" customHeight="1">
      <c r="B3" s="171">
        <f>+RESUMEN!B3</f>
        <v>44895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</row>
    <row r="4" spans="2:17" ht="17.45" customHeight="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2:17" ht="24">
      <c r="B5" s="40" t="s">
        <v>128</v>
      </c>
      <c r="C5" s="40" t="s">
        <v>155</v>
      </c>
      <c r="D5" s="40" t="s">
        <v>131</v>
      </c>
      <c r="E5" s="40" t="s">
        <v>181</v>
      </c>
      <c r="F5" s="40" t="s">
        <v>107</v>
      </c>
      <c r="G5" s="40" t="s">
        <v>108</v>
      </c>
      <c r="H5" s="40" t="s">
        <v>109</v>
      </c>
      <c r="I5" s="40" t="s">
        <v>110</v>
      </c>
      <c r="J5" s="40" t="s">
        <v>111</v>
      </c>
      <c r="K5" s="40" t="s">
        <v>91</v>
      </c>
      <c r="L5" s="40" t="s">
        <v>107</v>
      </c>
      <c r="M5" s="40" t="s">
        <v>108</v>
      </c>
      <c r="N5" s="40" t="s">
        <v>109</v>
      </c>
      <c r="O5" s="40" t="s">
        <v>110</v>
      </c>
      <c r="P5" s="40" t="s">
        <v>111</v>
      </c>
      <c r="Q5" s="40" t="s">
        <v>91</v>
      </c>
    </row>
    <row r="6" spans="2:17">
      <c r="B6" s="178" t="s">
        <v>156</v>
      </c>
      <c r="C6" s="177" t="s">
        <v>3</v>
      </c>
      <c r="D6" s="25" t="s">
        <v>0</v>
      </c>
      <c r="E6" s="152">
        <v>0.70144490000000004</v>
      </c>
      <c r="F6" s="30">
        <f>E6*$D$28</f>
        <v>55742.423313200001</v>
      </c>
      <c r="G6" s="33"/>
      <c r="H6" s="30">
        <f>SUM(F6:G6)</f>
        <v>55742.423313200001</v>
      </c>
      <c r="I6" s="123">
        <v>42520.22</v>
      </c>
      <c r="J6" s="30">
        <f>H6-I6</f>
        <v>13222.2033132</v>
      </c>
      <c r="K6" s="24">
        <f>I6/H6</f>
        <v>0.76279819700502804</v>
      </c>
      <c r="L6" s="174">
        <f>F6+F7</f>
        <v>56880.166941000003</v>
      </c>
      <c r="M6" s="174">
        <f>G6+G7</f>
        <v>0</v>
      </c>
      <c r="N6" s="174">
        <f>L6+M6</f>
        <v>56880.166941000003</v>
      </c>
      <c r="O6" s="174">
        <f>I6+I7</f>
        <v>53203.957999999999</v>
      </c>
      <c r="P6" s="175">
        <f>N6-O6</f>
        <v>3676.2089410000044</v>
      </c>
      <c r="Q6" s="176">
        <f>O6/N6</f>
        <v>0.93536923081092183</v>
      </c>
    </row>
    <row r="7" spans="2:17">
      <c r="B7" s="187"/>
      <c r="C7" s="177"/>
      <c r="D7" s="25" t="s">
        <v>1</v>
      </c>
      <c r="E7" s="154"/>
      <c r="F7" s="30">
        <f>E6*$D$29</f>
        <v>1137.7436278</v>
      </c>
      <c r="G7" s="33"/>
      <c r="H7" s="30">
        <f>SUM(F7:G7)+J6</f>
        <v>14359.946941</v>
      </c>
      <c r="I7" s="127">
        <v>10683.737999999999</v>
      </c>
      <c r="J7" s="30">
        <f>H7-I7</f>
        <v>3676.2089410000008</v>
      </c>
      <c r="K7" s="24">
        <f t="shared" ref="K7:K19" si="0">I7/H7</f>
        <v>0.74399564593767253</v>
      </c>
      <c r="L7" s="174"/>
      <c r="M7" s="174"/>
      <c r="N7" s="174"/>
      <c r="O7" s="174"/>
      <c r="P7" s="175"/>
      <c r="Q7" s="176"/>
    </row>
    <row r="8" spans="2:17">
      <c r="B8" s="187"/>
      <c r="C8" s="177" t="s">
        <v>11</v>
      </c>
      <c r="D8" s="25" t="s">
        <v>0</v>
      </c>
      <c r="E8" s="152">
        <v>4.65E-2</v>
      </c>
      <c r="F8" s="30">
        <f>E8*$D$28</f>
        <v>3695.2620000000002</v>
      </c>
      <c r="G8" s="30">
        <f>-3770.685+3627.967-3627.967</f>
        <v>-3770.6849999999999</v>
      </c>
      <c r="H8" s="30">
        <f t="shared" ref="H8:H20" si="1">SUM(F8:G8)</f>
        <v>-75.422999999999774</v>
      </c>
      <c r="I8" s="123"/>
      <c r="J8" s="30">
        <f t="shared" ref="J8:J19" si="2">H8-I8</f>
        <v>-75.422999999999774</v>
      </c>
      <c r="K8" s="24">
        <f t="shared" si="0"/>
        <v>0</v>
      </c>
      <c r="L8" s="174">
        <f>F8+F9</f>
        <v>3770.6850000000004</v>
      </c>
      <c r="M8" s="174">
        <f>G8+G9</f>
        <v>-3770.6849999999999</v>
      </c>
      <c r="N8" s="174">
        <f>L8+M8</f>
        <v>0</v>
      </c>
      <c r="O8" s="174">
        <f>I8+I9</f>
        <v>0</v>
      </c>
      <c r="P8" s="175">
        <f>N8-O8</f>
        <v>0</v>
      </c>
      <c r="Q8" s="176">
        <v>0</v>
      </c>
    </row>
    <row r="9" spans="2:17">
      <c r="B9" s="187"/>
      <c r="C9" s="177"/>
      <c r="D9" s="25" t="s">
        <v>1</v>
      </c>
      <c r="E9" s="154"/>
      <c r="F9" s="30">
        <f>E8*$D$29</f>
        <v>75.423000000000002</v>
      </c>
      <c r="G9" s="33"/>
      <c r="H9" s="30">
        <f>SUM(F9:G9)+J8</f>
        <v>2.2737367544323206E-13</v>
      </c>
      <c r="I9" s="123"/>
      <c r="J9" s="30">
        <f t="shared" si="2"/>
        <v>2.2737367544323206E-13</v>
      </c>
      <c r="K9" s="24">
        <f t="shared" si="0"/>
        <v>0</v>
      </c>
      <c r="L9" s="174"/>
      <c r="M9" s="174"/>
      <c r="N9" s="174"/>
      <c r="O9" s="174"/>
      <c r="P9" s="175"/>
      <c r="Q9" s="176"/>
    </row>
    <row r="10" spans="2:17">
      <c r="B10" s="187"/>
      <c r="C10" s="177" t="s">
        <v>174</v>
      </c>
      <c r="D10" s="25" t="s">
        <v>0</v>
      </c>
      <c r="E10" s="152">
        <v>0.1485551</v>
      </c>
      <c r="F10" s="30">
        <f>E10*$D$28</f>
        <v>11805.3766868</v>
      </c>
      <c r="G10" s="33">
        <f>-3627.967</f>
        <v>-3627.9670000000001</v>
      </c>
      <c r="H10" s="30">
        <f t="shared" si="1"/>
        <v>8177.4096867999997</v>
      </c>
      <c r="I10" s="123">
        <v>5176.5230000000001</v>
      </c>
      <c r="J10" s="30">
        <f t="shared" si="2"/>
        <v>3000.8866867999996</v>
      </c>
      <c r="K10" s="24">
        <f t="shared" si="0"/>
        <v>0.63302722968080705</v>
      </c>
      <c r="L10" s="174">
        <f>F10+F11</f>
        <v>12046.333059000001</v>
      </c>
      <c r="M10" s="174">
        <f>G10+G11</f>
        <v>-3627.9670000000001</v>
      </c>
      <c r="N10" s="174">
        <f>L10+M10</f>
        <v>8418.366059</v>
      </c>
      <c r="O10" s="174">
        <f>I10+I11</f>
        <v>6797.33</v>
      </c>
      <c r="P10" s="175">
        <f>N10-O10</f>
        <v>1621.036059</v>
      </c>
      <c r="Q10" s="176">
        <f t="shared" ref="Q10" si="3">O10/N10</f>
        <v>0.80744053565276308</v>
      </c>
    </row>
    <row r="11" spans="2:17">
      <c r="B11" s="187"/>
      <c r="C11" s="177"/>
      <c r="D11" s="25" t="s">
        <v>1</v>
      </c>
      <c r="E11" s="154"/>
      <c r="F11" s="30">
        <f>E10*$D$29</f>
        <v>240.9563722</v>
      </c>
      <c r="G11" s="33"/>
      <c r="H11" s="30">
        <f>SUM(F11:G11)+J10</f>
        <v>3241.8430589999994</v>
      </c>
      <c r="I11" s="127">
        <v>1620.807</v>
      </c>
      <c r="J11" s="30">
        <f t="shared" si="2"/>
        <v>1621.0360589999993</v>
      </c>
      <c r="K11" s="24">
        <f t="shared" si="0"/>
        <v>0.49996467148535101</v>
      </c>
      <c r="L11" s="174"/>
      <c r="M11" s="174"/>
      <c r="N11" s="174"/>
      <c r="O11" s="174"/>
      <c r="P11" s="175"/>
      <c r="Q11" s="176"/>
    </row>
    <row r="12" spans="2:17">
      <c r="B12" s="187"/>
      <c r="C12" s="177" t="s">
        <v>4</v>
      </c>
      <c r="D12" s="25" t="s">
        <v>0</v>
      </c>
      <c r="E12" s="152">
        <f>(0.00225*6)+0.00375+0.0045+0.0045+0.0045+0.0045+0.006</f>
        <v>4.1249999999999995E-2</v>
      </c>
      <c r="F12" s="30">
        <f>E12*$D$28</f>
        <v>3278.0549999999994</v>
      </c>
      <c r="G12" s="30">
        <f>364.905+364.905+364.905+364.905+486.54-1946.16-3344.963</f>
        <v>-3344.9630000000006</v>
      </c>
      <c r="H12" s="30">
        <f t="shared" si="1"/>
        <v>-66.908000000001266</v>
      </c>
      <c r="I12" s="123"/>
      <c r="J12" s="30">
        <f t="shared" si="2"/>
        <v>-66.908000000001266</v>
      </c>
      <c r="K12" s="24">
        <f t="shared" si="0"/>
        <v>0</v>
      </c>
      <c r="L12" s="174">
        <f>F12+F13</f>
        <v>3344.9624999999992</v>
      </c>
      <c r="M12" s="174">
        <f>G12+G13</f>
        <v>-3344.9630000000006</v>
      </c>
      <c r="N12" s="174">
        <f>L12+M12</f>
        <v>-5.0000000146610546E-4</v>
      </c>
      <c r="O12" s="174">
        <f>I12+I13</f>
        <v>0</v>
      </c>
      <c r="P12" s="175">
        <f>N12-O12</f>
        <v>-5.0000000146610546E-4</v>
      </c>
      <c r="Q12" s="176">
        <f t="shared" ref="Q12" si="4">O12/N12</f>
        <v>0</v>
      </c>
    </row>
    <row r="13" spans="2:17">
      <c r="B13" s="187"/>
      <c r="C13" s="177"/>
      <c r="D13" s="25" t="s">
        <v>1</v>
      </c>
      <c r="E13" s="154"/>
      <c r="F13" s="30">
        <f>E12*$D$29</f>
        <v>66.907499999999999</v>
      </c>
      <c r="G13" s="33"/>
      <c r="H13" s="30">
        <f>SUM(F13:G13)+J12</f>
        <v>-5.0000000126715349E-4</v>
      </c>
      <c r="I13" s="123"/>
      <c r="J13" s="30">
        <f t="shared" si="2"/>
        <v>-5.0000000126715349E-4</v>
      </c>
      <c r="K13" s="24">
        <f t="shared" si="0"/>
        <v>0</v>
      </c>
      <c r="L13" s="174"/>
      <c r="M13" s="174"/>
      <c r="N13" s="174"/>
      <c r="O13" s="174"/>
      <c r="P13" s="175"/>
      <c r="Q13" s="176"/>
    </row>
    <row r="14" spans="2:17">
      <c r="B14" s="187"/>
      <c r="C14" s="177" t="s">
        <v>170</v>
      </c>
      <c r="D14" s="25" t="s">
        <v>0</v>
      </c>
      <c r="E14" s="152">
        <v>9.75E-3</v>
      </c>
      <c r="F14" s="30">
        <f>E14*$D$28</f>
        <v>774.81299999999999</v>
      </c>
      <c r="G14" s="33">
        <f>-790.628</f>
        <v>-790.62800000000004</v>
      </c>
      <c r="H14" s="30">
        <f t="shared" si="1"/>
        <v>-15.815000000000055</v>
      </c>
      <c r="I14" s="33"/>
      <c r="J14" s="30">
        <f t="shared" si="2"/>
        <v>-15.815000000000055</v>
      </c>
      <c r="K14" s="24">
        <f t="shared" si="0"/>
        <v>0</v>
      </c>
      <c r="L14" s="174">
        <f>F14+F15</f>
        <v>790.62749999999994</v>
      </c>
      <c r="M14" s="174">
        <f>G14+G15</f>
        <v>-790.62800000000004</v>
      </c>
      <c r="N14" s="174">
        <f>L14+M14</f>
        <v>-5.0000000010186341E-4</v>
      </c>
      <c r="O14" s="174">
        <f>I14+I15</f>
        <v>0</v>
      </c>
      <c r="P14" s="175">
        <f>N14-O14</f>
        <v>-5.0000000010186341E-4</v>
      </c>
      <c r="Q14" s="176">
        <f t="shared" ref="Q14" si="5">O14/N14</f>
        <v>0</v>
      </c>
    </row>
    <row r="15" spans="2:17">
      <c r="B15" s="187"/>
      <c r="C15" s="177"/>
      <c r="D15" s="25" t="s">
        <v>1</v>
      </c>
      <c r="E15" s="154"/>
      <c r="F15" s="30">
        <f>E14*$D$29</f>
        <v>15.814500000000001</v>
      </c>
      <c r="G15" s="33"/>
      <c r="H15" s="30">
        <f>SUM(F15:G15)+J14</f>
        <v>-5.0000000005390177E-4</v>
      </c>
      <c r="I15" s="33"/>
      <c r="J15" s="30">
        <f t="shared" si="2"/>
        <v>-5.0000000005390177E-4</v>
      </c>
      <c r="K15" s="24">
        <f t="shared" si="0"/>
        <v>0</v>
      </c>
      <c r="L15" s="174"/>
      <c r="M15" s="174"/>
      <c r="N15" s="174"/>
      <c r="O15" s="174"/>
      <c r="P15" s="175"/>
      <c r="Q15" s="176"/>
    </row>
    <row r="16" spans="2:17">
      <c r="B16" s="187"/>
      <c r="C16" s="177" t="s">
        <v>171</v>
      </c>
      <c r="D16" s="25" t="s">
        <v>0</v>
      </c>
      <c r="E16" s="152">
        <v>2.818E-2</v>
      </c>
      <c r="F16" s="30">
        <f t="shared" ref="F16" si="6">E16*$D$28</f>
        <v>2239.4082400000002</v>
      </c>
      <c r="G16" s="30">
        <f>-2285.116</f>
        <v>-2285.116</v>
      </c>
      <c r="H16" s="30">
        <f t="shared" si="1"/>
        <v>-45.70775999999978</v>
      </c>
      <c r="I16" s="33"/>
      <c r="J16" s="30">
        <f t="shared" si="2"/>
        <v>-45.70775999999978</v>
      </c>
      <c r="K16" s="24">
        <f t="shared" si="0"/>
        <v>0</v>
      </c>
      <c r="L16" s="174">
        <f>F16+F17</f>
        <v>2285.1162000000004</v>
      </c>
      <c r="M16" s="174">
        <f>G16+G17</f>
        <v>-2285.116</v>
      </c>
      <c r="N16" s="174">
        <f>L16+M16</f>
        <v>2.0000000040454324E-4</v>
      </c>
      <c r="O16" s="174">
        <f>I16+I17</f>
        <v>0</v>
      </c>
      <c r="P16" s="175">
        <f>N16-O16</f>
        <v>2.0000000040454324E-4</v>
      </c>
      <c r="Q16" s="176">
        <f t="shared" ref="Q16" si="7">O16/N16</f>
        <v>0</v>
      </c>
    </row>
    <row r="17" spans="2:17">
      <c r="B17" s="187"/>
      <c r="C17" s="177"/>
      <c r="D17" s="25" t="s">
        <v>1</v>
      </c>
      <c r="E17" s="154"/>
      <c r="F17" s="30">
        <f>E16*$D$29</f>
        <v>45.70796</v>
      </c>
      <c r="G17" s="33"/>
      <c r="H17" s="30">
        <f>SUM(F17:G17)+J16</f>
        <v>2.0000000021980213E-4</v>
      </c>
      <c r="I17" s="33"/>
      <c r="J17" s="30">
        <f t="shared" si="2"/>
        <v>2.0000000021980213E-4</v>
      </c>
      <c r="K17" s="24">
        <f t="shared" si="0"/>
        <v>0</v>
      </c>
      <c r="L17" s="174"/>
      <c r="M17" s="174"/>
      <c r="N17" s="174"/>
      <c r="O17" s="174"/>
      <c r="P17" s="175"/>
      <c r="Q17" s="176"/>
    </row>
    <row r="18" spans="2:17">
      <c r="B18" s="187"/>
      <c r="C18" s="177" t="s">
        <v>93</v>
      </c>
      <c r="D18" s="25" t="s">
        <v>0</v>
      </c>
      <c r="E18" s="152">
        <v>2.4E-2</v>
      </c>
      <c r="F18" s="30">
        <f t="shared" ref="F18" si="8">E18*$D$28</f>
        <v>1907.232</v>
      </c>
      <c r="G18" s="30">
        <f>-364.905-364.905-364.905-364.905-486.54</f>
        <v>-1946.1599999999999</v>
      </c>
      <c r="H18" s="30">
        <f t="shared" si="1"/>
        <v>-38.927999999999884</v>
      </c>
      <c r="I18" s="33"/>
      <c r="J18" s="30">
        <f t="shared" si="2"/>
        <v>-38.927999999999884</v>
      </c>
      <c r="K18" s="24">
        <f t="shared" si="0"/>
        <v>0</v>
      </c>
      <c r="L18" s="174">
        <f>F18+F19</f>
        <v>1946.1599999999999</v>
      </c>
      <c r="M18" s="174">
        <f>G18+G19</f>
        <v>-1946.1599999999999</v>
      </c>
      <c r="N18" s="174">
        <f>L18+M18</f>
        <v>0</v>
      </c>
      <c r="O18" s="174">
        <f>I18+I19</f>
        <v>0</v>
      </c>
      <c r="P18" s="175">
        <f>N18-O18</f>
        <v>0</v>
      </c>
      <c r="Q18" s="176">
        <v>0</v>
      </c>
    </row>
    <row r="19" spans="2:17">
      <c r="B19" s="187"/>
      <c r="C19" s="177"/>
      <c r="D19" s="25" t="s">
        <v>1</v>
      </c>
      <c r="E19" s="154"/>
      <c r="F19" s="30">
        <f>E18*$D$29</f>
        <v>38.927999999999997</v>
      </c>
      <c r="G19" s="33"/>
      <c r="H19" s="30">
        <f>SUM(F19:G19)+J18</f>
        <v>1.1368683772161603E-13</v>
      </c>
      <c r="I19" s="33"/>
      <c r="J19" s="30">
        <f t="shared" si="2"/>
        <v>1.1368683772161603E-13</v>
      </c>
      <c r="K19" s="24">
        <f t="shared" si="0"/>
        <v>0</v>
      </c>
      <c r="L19" s="174"/>
      <c r="M19" s="174"/>
      <c r="N19" s="174"/>
      <c r="O19" s="174"/>
      <c r="P19" s="175"/>
      <c r="Q19" s="176"/>
    </row>
    <row r="20" spans="2:17">
      <c r="B20" s="187"/>
      <c r="C20" s="177" t="s">
        <v>178</v>
      </c>
      <c r="D20" s="25" t="s">
        <v>0</v>
      </c>
      <c r="E20" s="152">
        <v>3.2000000000000003E-4</v>
      </c>
      <c r="F20" s="30">
        <f t="shared" ref="F20" si="9">E20*$D$28</f>
        <v>25.429760000000002</v>
      </c>
      <c r="G20" s="30">
        <f>-4.055-21.894</f>
        <v>-25.948999999999998</v>
      </c>
      <c r="H20" s="30">
        <f t="shared" si="1"/>
        <v>-0.51923999999999637</v>
      </c>
      <c r="I20" s="33"/>
      <c r="J20" s="30">
        <f t="shared" ref="J20:J21" si="10">H20-I20</f>
        <v>-0.51923999999999637</v>
      </c>
      <c r="K20" s="24">
        <f t="shared" ref="K20:K21" si="11">I20/H20</f>
        <v>0</v>
      </c>
      <c r="L20" s="174">
        <f>F20+F21</f>
        <v>25.948800000000002</v>
      </c>
      <c r="M20" s="174">
        <f>G20+G21</f>
        <v>-25.948999999999998</v>
      </c>
      <c r="N20" s="174">
        <f>L20+M20</f>
        <v>-1.9999999999598117E-4</v>
      </c>
      <c r="O20" s="174">
        <f>I20+I21</f>
        <v>0</v>
      </c>
      <c r="P20" s="175">
        <f>N20-O20</f>
        <v>-1.9999999999598117E-4</v>
      </c>
      <c r="Q20" s="176">
        <f>O20/N20</f>
        <v>0</v>
      </c>
    </row>
    <row r="21" spans="2:17">
      <c r="B21" s="187"/>
      <c r="C21" s="177"/>
      <c r="D21" s="25" t="s">
        <v>1</v>
      </c>
      <c r="E21" s="154"/>
      <c r="F21" s="30">
        <f>E20*$D$29</f>
        <v>0.51904000000000006</v>
      </c>
      <c r="G21" s="33"/>
      <c r="H21" s="30">
        <f>SUM(F21:G21)+J20</f>
        <v>-1.9999999999631424E-4</v>
      </c>
      <c r="I21" s="33"/>
      <c r="J21" s="30">
        <f t="shared" si="10"/>
        <v>-1.9999999999631424E-4</v>
      </c>
      <c r="K21" s="24">
        <f t="shared" si="11"/>
        <v>0</v>
      </c>
      <c r="L21" s="174"/>
      <c r="M21" s="174"/>
      <c r="N21" s="174"/>
      <c r="O21" s="174"/>
      <c r="P21" s="175"/>
      <c r="Q21" s="176"/>
    </row>
    <row r="22" spans="2:17">
      <c r="B22" s="187"/>
      <c r="C22" s="177" t="s">
        <v>205</v>
      </c>
      <c r="D22" s="25" t="s">
        <v>0</v>
      </c>
      <c r="E22" s="106"/>
      <c r="F22" s="30">
        <v>0</v>
      </c>
      <c r="G22" s="33">
        <f>4.055</f>
        <v>4.0549999999999997</v>
      </c>
      <c r="H22" s="30">
        <f t="shared" ref="H22" si="12">SUM(F22:G22)</f>
        <v>4.0549999999999997</v>
      </c>
      <c r="I22" s="33"/>
      <c r="J22" s="30">
        <f t="shared" ref="J22:J23" si="13">H22-I22</f>
        <v>4.0549999999999997</v>
      </c>
      <c r="K22" s="24">
        <f t="shared" ref="K22:K23" si="14">I22/H22</f>
        <v>0</v>
      </c>
      <c r="L22" s="174">
        <f>F22+F23</f>
        <v>0</v>
      </c>
      <c r="M22" s="174">
        <f>G22+G23</f>
        <v>4.0549999999999997</v>
      </c>
      <c r="N22" s="174">
        <f>L22+M22</f>
        <v>4.0549999999999997</v>
      </c>
      <c r="O22" s="174">
        <f>I22+I23</f>
        <v>0</v>
      </c>
      <c r="P22" s="175">
        <f>N22-O22</f>
        <v>4.0549999999999997</v>
      </c>
      <c r="Q22" s="176">
        <f>O22/N22</f>
        <v>0</v>
      </c>
    </row>
    <row r="23" spans="2:17">
      <c r="B23" s="187"/>
      <c r="C23" s="177"/>
      <c r="D23" s="25" t="s">
        <v>1</v>
      </c>
      <c r="E23" s="106"/>
      <c r="F23" s="30">
        <v>0</v>
      </c>
      <c r="G23" s="33"/>
      <c r="H23" s="30">
        <f>SUM(F23:G23)+J22</f>
        <v>4.0549999999999997</v>
      </c>
      <c r="I23" s="33"/>
      <c r="J23" s="30">
        <f t="shared" si="13"/>
        <v>4.0549999999999997</v>
      </c>
      <c r="K23" s="24">
        <f t="shared" si="14"/>
        <v>0</v>
      </c>
      <c r="L23" s="174"/>
      <c r="M23" s="174"/>
      <c r="N23" s="174"/>
      <c r="O23" s="174"/>
      <c r="P23" s="175"/>
      <c r="Q23" s="176"/>
    </row>
    <row r="24" spans="2:17">
      <c r="B24" s="187"/>
      <c r="C24" s="177" t="s">
        <v>206</v>
      </c>
      <c r="D24" s="25" t="s">
        <v>0</v>
      </c>
      <c r="E24" s="106"/>
      <c r="F24" s="30">
        <v>0</v>
      </c>
      <c r="G24" s="33">
        <f>21.894</f>
        <v>21.893999999999998</v>
      </c>
      <c r="H24" s="30">
        <f t="shared" ref="H24" si="15">SUM(F24:G24)</f>
        <v>21.893999999999998</v>
      </c>
      <c r="I24" s="33"/>
      <c r="J24" s="30">
        <f t="shared" ref="J24:J25" si="16">H24-I24</f>
        <v>21.893999999999998</v>
      </c>
      <c r="K24" s="24">
        <f t="shared" ref="K24:K25" si="17">I24/H24</f>
        <v>0</v>
      </c>
      <c r="L24" s="174">
        <f>F24+F25</f>
        <v>0</v>
      </c>
      <c r="M24" s="174">
        <f>G24+G25</f>
        <v>21.893999999999998</v>
      </c>
      <c r="N24" s="174">
        <f>L24+M24</f>
        <v>21.893999999999998</v>
      </c>
      <c r="O24" s="174">
        <f>I24+I25</f>
        <v>0</v>
      </c>
      <c r="P24" s="175">
        <f>N24-O24</f>
        <v>21.893999999999998</v>
      </c>
      <c r="Q24" s="176">
        <f>O24/N24</f>
        <v>0</v>
      </c>
    </row>
    <row r="25" spans="2:17">
      <c r="B25" s="187"/>
      <c r="C25" s="177"/>
      <c r="D25" s="25" t="s">
        <v>1</v>
      </c>
      <c r="E25" s="106"/>
      <c r="F25" s="30">
        <v>0</v>
      </c>
      <c r="G25" s="33"/>
      <c r="H25" s="30">
        <f>SUM(F25:G25)+J24</f>
        <v>21.893999999999998</v>
      </c>
      <c r="I25" s="33"/>
      <c r="J25" s="30">
        <f t="shared" si="16"/>
        <v>21.893999999999998</v>
      </c>
      <c r="K25" s="24">
        <f t="shared" si="17"/>
        <v>0</v>
      </c>
      <c r="L25" s="174"/>
      <c r="M25" s="174"/>
      <c r="N25" s="174"/>
      <c r="O25" s="174"/>
      <c r="P25" s="175"/>
      <c r="Q25" s="176"/>
    </row>
    <row r="26" spans="2:17">
      <c r="B26" s="187"/>
      <c r="C26" s="188" t="s">
        <v>97</v>
      </c>
      <c r="D26" s="26" t="s">
        <v>0</v>
      </c>
      <c r="E26" s="178">
        <f>E6+E8+E10+E12+E16+E14+E18+E20</f>
        <v>1.0000000000000002</v>
      </c>
      <c r="F26" s="31">
        <f>F6+F8+F10+F12+F14+F16+F18+F20</f>
        <v>79468</v>
      </c>
      <c r="G26" s="31">
        <f>G6+G8+G10+G12+G14+G16+G18+G20+G22+G24</f>
        <v>-15765.519000000002</v>
      </c>
      <c r="H26" s="31">
        <f>F26+G26</f>
        <v>63702.481</v>
      </c>
      <c r="I26" s="31">
        <f>I6+I8+I10+I12+I14+I16+I18+I20</f>
        <v>47696.743000000002</v>
      </c>
      <c r="J26" s="31">
        <f>H26-I26</f>
        <v>16005.737999999998</v>
      </c>
      <c r="K26" s="27">
        <f>I26/H26</f>
        <v>0.74874231350581155</v>
      </c>
      <c r="L26" s="182">
        <f>F26+F27</f>
        <v>81090</v>
      </c>
      <c r="M26" s="185">
        <f>G26+G27</f>
        <v>-15765.519000000002</v>
      </c>
      <c r="N26" s="182">
        <f>L26+M26</f>
        <v>65324.481</v>
      </c>
      <c r="O26" s="182">
        <f>I26+I27</f>
        <v>60001.288</v>
      </c>
      <c r="P26" s="183">
        <f>N26-O26</f>
        <v>5323.1929999999993</v>
      </c>
      <c r="Q26" s="184">
        <f>O26/N26</f>
        <v>0.91851151484846849</v>
      </c>
    </row>
    <row r="27" spans="2:17">
      <c r="B27" s="179"/>
      <c r="C27" s="189"/>
      <c r="D27" s="26" t="s">
        <v>1</v>
      </c>
      <c r="E27" s="179"/>
      <c r="F27" s="31">
        <f>F7+F9+F11+F13+F15+F17+F19+F21</f>
        <v>1621.9999999999998</v>
      </c>
      <c r="G27" s="31">
        <f>G7+G9+G11+G13+G15+G17+G19+G21+G23+G25</f>
        <v>0</v>
      </c>
      <c r="H27" s="31">
        <f>+J26+F27+G27</f>
        <v>17627.737999999998</v>
      </c>
      <c r="I27" s="31">
        <f>I7+I9+I11+I13+I15+I17+I19+I21</f>
        <v>12304.545</v>
      </c>
      <c r="J27" s="31">
        <f>H27-I27</f>
        <v>5323.1929999999975</v>
      </c>
      <c r="K27" s="27">
        <f>I27/H27</f>
        <v>0.6980217768156074</v>
      </c>
      <c r="L27" s="182"/>
      <c r="M27" s="186"/>
      <c r="N27" s="182"/>
      <c r="O27" s="182"/>
      <c r="P27" s="183"/>
      <c r="Q27" s="184"/>
    </row>
    <row r="28" spans="2:17" ht="15" customHeight="1">
      <c r="B28" s="47"/>
      <c r="C28" s="69" t="s">
        <v>182</v>
      </c>
      <c r="D28" s="33">
        <v>79468</v>
      </c>
      <c r="E28" s="41" t="s">
        <v>180</v>
      </c>
      <c r="F28" s="42"/>
      <c r="H28" s="42"/>
      <c r="J28" s="42"/>
      <c r="K28" s="43"/>
      <c r="L28" s="42"/>
      <c r="M28" s="42"/>
      <c r="N28" s="42"/>
      <c r="O28" s="42"/>
      <c r="P28" s="48"/>
      <c r="Q28" s="49"/>
    </row>
    <row r="29" spans="2:17" ht="15" customHeight="1">
      <c r="C29" s="26" t="s">
        <v>183</v>
      </c>
      <c r="D29" s="33">
        <v>1622</v>
      </c>
      <c r="E29" s="45"/>
      <c r="F29" s="50"/>
      <c r="G29" s="50"/>
      <c r="H29" s="45"/>
      <c r="I29" s="45"/>
      <c r="J29" s="45"/>
      <c r="K29" s="45"/>
      <c r="L29" s="45"/>
      <c r="M29" s="50"/>
      <c r="N29" s="45"/>
      <c r="O29" s="45"/>
      <c r="P29" s="45"/>
      <c r="Q29" s="45"/>
    </row>
    <row r="31" spans="2:17">
      <c r="B31" s="178" t="s">
        <v>157</v>
      </c>
      <c r="C31" s="177" t="s">
        <v>12</v>
      </c>
      <c r="D31" s="25" t="s">
        <v>0</v>
      </c>
      <c r="E31" s="178">
        <v>8.3848300000000001E-2</v>
      </c>
      <c r="F31" s="30">
        <f>E31*$D$63</f>
        <v>1406.2198393000001</v>
      </c>
      <c r="G31" s="33">
        <f>-1433</f>
        <v>-1433</v>
      </c>
      <c r="H31" s="30">
        <f>F31+G31</f>
        <v>-26.780160699999897</v>
      </c>
      <c r="I31" s="33"/>
      <c r="J31" s="30">
        <f>H31-I31</f>
        <v>-26.780160699999897</v>
      </c>
      <c r="K31" s="24">
        <f t="shared" ref="K31:K62" si="18">I31/H31</f>
        <v>0</v>
      </c>
      <c r="L31" s="174">
        <f>F31+F32</f>
        <v>1434.8959579000002</v>
      </c>
      <c r="M31" s="174">
        <f>G31+G32</f>
        <v>-1433</v>
      </c>
      <c r="N31" s="174">
        <f>L31+M31</f>
        <v>1.8959579000002122</v>
      </c>
      <c r="O31" s="174">
        <f t="shared" ref="O31:O51" si="19">I31+I32</f>
        <v>0</v>
      </c>
      <c r="P31" s="175">
        <f>N31-O31</f>
        <v>1.8959579000002122</v>
      </c>
      <c r="Q31" s="176">
        <f>O31/N31</f>
        <v>0</v>
      </c>
    </row>
    <row r="32" spans="2:17">
      <c r="B32" s="187"/>
      <c r="C32" s="177"/>
      <c r="D32" s="25" t="s">
        <v>1</v>
      </c>
      <c r="E32" s="179"/>
      <c r="F32" s="30">
        <f>E31*$D$64</f>
        <v>28.676118599999999</v>
      </c>
      <c r="G32" s="33"/>
      <c r="H32" s="30">
        <f>F32+G32+J31</f>
        <v>1.8959579000001021</v>
      </c>
      <c r="I32" s="33"/>
      <c r="J32" s="30">
        <f>H32-I32</f>
        <v>1.8959579000001021</v>
      </c>
      <c r="K32" s="24">
        <f t="shared" si="18"/>
        <v>0</v>
      </c>
      <c r="L32" s="174"/>
      <c r="M32" s="174"/>
      <c r="N32" s="174"/>
      <c r="O32" s="174"/>
      <c r="P32" s="175"/>
      <c r="Q32" s="176"/>
    </row>
    <row r="33" spans="2:17">
      <c r="B33" s="187"/>
      <c r="C33" s="177" t="s">
        <v>2</v>
      </c>
      <c r="D33" s="25" t="s">
        <v>0</v>
      </c>
      <c r="E33" s="178">
        <v>2.586E-4</v>
      </c>
      <c r="F33" s="30">
        <f t="shared" ref="F33" si="20">E33*$D$63</f>
        <v>4.3369805999999995</v>
      </c>
      <c r="G33" s="33"/>
      <c r="H33" s="30">
        <f>F33+G33</f>
        <v>4.3369805999999995</v>
      </c>
      <c r="I33" s="33"/>
      <c r="J33" s="30">
        <f t="shared" ref="J33:J62" si="21">H33-I33</f>
        <v>4.3369805999999995</v>
      </c>
      <c r="K33" s="24">
        <f t="shared" si="18"/>
        <v>0</v>
      </c>
      <c r="L33" s="174">
        <f>F33+F34</f>
        <v>4.4254217999999996</v>
      </c>
      <c r="M33" s="174">
        <f>G33+G34</f>
        <v>0</v>
      </c>
      <c r="N33" s="174">
        <f>L33+M33</f>
        <v>4.4254217999999996</v>
      </c>
      <c r="O33" s="174">
        <f t="shared" si="19"/>
        <v>0</v>
      </c>
      <c r="P33" s="175">
        <f>N33-O33</f>
        <v>4.4254217999999996</v>
      </c>
      <c r="Q33" s="176">
        <f t="shared" ref="Q33" si="22">O33/N33</f>
        <v>0</v>
      </c>
    </row>
    <row r="34" spans="2:17">
      <c r="B34" s="187"/>
      <c r="C34" s="177"/>
      <c r="D34" s="25" t="s">
        <v>1</v>
      </c>
      <c r="E34" s="179"/>
      <c r="F34" s="30">
        <f t="shared" ref="F34" si="23">E33*$D$64</f>
        <v>8.8441199999999998E-2</v>
      </c>
      <c r="G34" s="33"/>
      <c r="H34" s="30">
        <f>F34+G34+J33</f>
        <v>4.4254217999999996</v>
      </c>
      <c r="I34" s="33"/>
      <c r="J34" s="30">
        <f t="shared" si="21"/>
        <v>4.4254217999999996</v>
      </c>
      <c r="K34" s="24">
        <f t="shared" si="18"/>
        <v>0</v>
      </c>
      <c r="L34" s="174"/>
      <c r="M34" s="174"/>
      <c r="N34" s="174"/>
      <c r="O34" s="174"/>
      <c r="P34" s="175"/>
      <c r="Q34" s="176"/>
    </row>
    <row r="35" spans="2:17">
      <c r="B35" s="187"/>
      <c r="C35" s="177" t="s">
        <v>5</v>
      </c>
      <c r="D35" s="25" t="s">
        <v>0</v>
      </c>
      <c r="E35" s="178">
        <v>3.7678999999999998E-3</v>
      </c>
      <c r="F35" s="30">
        <f t="shared" ref="F35" si="24">E35*$D$63</f>
        <v>63.1914509</v>
      </c>
      <c r="G35" s="33"/>
      <c r="H35" s="30">
        <f>F35+G35</f>
        <v>63.1914509</v>
      </c>
      <c r="I35" s="33"/>
      <c r="J35" s="30">
        <f t="shared" si="21"/>
        <v>63.1914509</v>
      </c>
      <c r="K35" s="24">
        <f t="shared" si="18"/>
        <v>0</v>
      </c>
      <c r="L35" s="174">
        <f>F35+F36</f>
        <v>64.480072699999994</v>
      </c>
      <c r="M35" s="174">
        <f>G35+G36</f>
        <v>0</v>
      </c>
      <c r="N35" s="174">
        <f>L35+M35</f>
        <v>64.480072699999994</v>
      </c>
      <c r="O35" s="174">
        <f t="shared" si="19"/>
        <v>0</v>
      </c>
      <c r="P35" s="175">
        <f>N35-O35</f>
        <v>64.480072699999994</v>
      </c>
      <c r="Q35" s="176">
        <f t="shared" ref="Q35" si="25">O35/N35</f>
        <v>0</v>
      </c>
    </row>
    <row r="36" spans="2:17">
      <c r="B36" s="187"/>
      <c r="C36" s="177"/>
      <c r="D36" s="25" t="s">
        <v>1</v>
      </c>
      <c r="E36" s="179"/>
      <c r="F36" s="30">
        <f t="shared" ref="F36" si="26">E35*$D$64</f>
        <v>1.2886218</v>
      </c>
      <c r="G36" s="33"/>
      <c r="H36" s="30">
        <f>F36+G36+J35</f>
        <v>64.480072699999994</v>
      </c>
      <c r="I36" s="33"/>
      <c r="J36" s="30">
        <f t="shared" si="21"/>
        <v>64.480072699999994</v>
      </c>
      <c r="K36" s="24">
        <f t="shared" si="18"/>
        <v>0</v>
      </c>
      <c r="L36" s="174"/>
      <c r="M36" s="174"/>
      <c r="N36" s="174"/>
      <c r="O36" s="174"/>
      <c r="P36" s="175"/>
      <c r="Q36" s="176"/>
    </row>
    <row r="37" spans="2:17">
      <c r="B37" s="187"/>
      <c r="C37" s="177" t="s">
        <v>6</v>
      </c>
      <c r="D37" s="25" t="s">
        <v>0</v>
      </c>
      <c r="E37" s="178">
        <v>0.22824359999999999</v>
      </c>
      <c r="F37" s="30">
        <f t="shared" ref="F37" si="27">E37*$D$63</f>
        <v>3827.8734156</v>
      </c>
      <c r="G37" s="33">
        <f>-3000-800</f>
        <v>-3800</v>
      </c>
      <c r="H37" s="30">
        <f>F37+G37</f>
        <v>27.873415600000044</v>
      </c>
      <c r="I37" s="33"/>
      <c r="J37" s="30">
        <f t="shared" si="21"/>
        <v>27.873415600000044</v>
      </c>
      <c r="K37" s="24">
        <f t="shared" si="18"/>
        <v>0</v>
      </c>
      <c r="L37" s="174">
        <f>F37+F38</f>
        <v>3905.9327268000002</v>
      </c>
      <c r="M37" s="174">
        <f>G37+G38</f>
        <v>-3870</v>
      </c>
      <c r="N37" s="174">
        <f>L37+M37</f>
        <v>35.932726800000182</v>
      </c>
      <c r="O37" s="174">
        <f t="shared" si="19"/>
        <v>0</v>
      </c>
      <c r="P37" s="175">
        <f>N37-O37</f>
        <v>35.932726800000182</v>
      </c>
      <c r="Q37" s="176">
        <f t="shared" ref="Q37" si="28">O37/N37</f>
        <v>0</v>
      </c>
    </row>
    <row r="38" spans="2:17">
      <c r="B38" s="187"/>
      <c r="C38" s="177"/>
      <c r="D38" s="25" t="s">
        <v>1</v>
      </c>
      <c r="E38" s="179"/>
      <c r="F38" s="30">
        <f t="shared" ref="F38" si="29">E37*$D$64</f>
        <v>78.059311199999996</v>
      </c>
      <c r="G38" s="33">
        <f>-70</f>
        <v>-70</v>
      </c>
      <c r="H38" s="30">
        <f>F38+G38+J37</f>
        <v>35.93272680000004</v>
      </c>
      <c r="I38" s="33"/>
      <c r="J38" s="30">
        <f t="shared" si="21"/>
        <v>35.93272680000004</v>
      </c>
      <c r="K38" s="24">
        <f t="shared" si="18"/>
        <v>0</v>
      </c>
      <c r="L38" s="174"/>
      <c r="M38" s="174"/>
      <c r="N38" s="174"/>
      <c r="O38" s="174"/>
      <c r="P38" s="175"/>
      <c r="Q38" s="176"/>
    </row>
    <row r="39" spans="2:17">
      <c r="B39" s="187"/>
      <c r="C39" s="177" t="s">
        <v>174</v>
      </c>
      <c r="D39" s="25" t="s">
        <v>0</v>
      </c>
      <c r="E39" s="178">
        <v>1.4909E-2</v>
      </c>
      <c r="F39" s="30">
        <f t="shared" ref="F39" si="30">E39*$D$63</f>
        <v>250.038839</v>
      </c>
      <c r="G39" s="33">
        <f>-255.138</f>
        <v>-255.13800000000001</v>
      </c>
      <c r="H39" s="30">
        <f>F39+G39</f>
        <v>-5.0991610000000094</v>
      </c>
      <c r="I39" s="33"/>
      <c r="J39" s="30">
        <f t="shared" si="21"/>
        <v>-5.0991610000000094</v>
      </c>
      <c r="K39" s="24">
        <f t="shared" si="18"/>
        <v>0</v>
      </c>
      <c r="L39" s="174">
        <f>F39+F40</f>
        <v>255.13771700000001</v>
      </c>
      <c r="M39" s="174">
        <f>G39+G40</f>
        <v>-255.13800000000001</v>
      </c>
      <c r="N39" s="174">
        <f>L39+M39</f>
        <v>-2.8299999999603642E-4</v>
      </c>
      <c r="O39" s="174">
        <f t="shared" si="19"/>
        <v>0</v>
      </c>
      <c r="P39" s="175">
        <f>N39-O39</f>
        <v>-2.8299999999603642E-4</v>
      </c>
      <c r="Q39" s="176">
        <f t="shared" ref="Q39" si="31">O39/N39</f>
        <v>0</v>
      </c>
    </row>
    <row r="40" spans="2:17">
      <c r="B40" s="187"/>
      <c r="C40" s="177"/>
      <c r="D40" s="25" t="s">
        <v>1</v>
      </c>
      <c r="E40" s="179"/>
      <c r="F40" s="30">
        <f t="shared" ref="F40" si="32">E39*$D$64</f>
        <v>5.098878</v>
      </c>
      <c r="G40" s="33"/>
      <c r="H40" s="30">
        <f>F40+G40+J39</f>
        <v>-2.830000000093591E-4</v>
      </c>
      <c r="I40" s="33"/>
      <c r="J40" s="30">
        <f t="shared" si="21"/>
        <v>-2.830000000093591E-4</v>
      </c>
      <c r="K40" s="24">
        <f t="shared" si="18"/>
        <v>0</v>
      </c>
      <c r="L40" s="174"/>
      <c r="M40" s="174"/>
      <c r="N40" s="174"/>
      <c r="O40" s="174"/>
      <c r="P40" s="175"/>
      <c r="Q40" s="176"/>
    </row>
    <row r="41" spans="2:17">
      <c r="B41" s="187"/>
      <c r="C41" s="177" t="s">
        <v>7</v>
      </c>
      <c r="D41" s="25" t="s">
        <v>0</v>
      </c>
      <c r="E41" s="178">
        <v>4.77898E-2</v>
      </c>
      <c r="F41" s="30">
        <f t="shared" ref="F41" si="33">E41*$D$63</f>
        <v>801.4827358</v>
      </c>
      <c r="G41" s="30">
        <f>-817</f>
        <v>-817</v>
      </c>
      <c r="H41" s="30">
        <f>F41+G41</f>
        <v>-15.5172642</v>
      </c>
      <c r="I41" s="33"/>
      <c r="J41" s="30">
        <f t="shared" si="21"/>
        <v>-15.5172642</v>
      </c>
      <c r="K41" s="24">
        <f t="shared" si="18"/>
        <v>0</v>
      </c>
      <c r="L41" s="174">
        <f>F41+F42</f>
        <v>817.82684740000002</v>
      </c>
      <c r="M41" s="174">
        <f>G41+G42</f>
        <v>-817</v>
      </c>
      <c r="N41" s="174">
        <f>L41+M41</f>
        <v>0.82684740000001966</v>
      </c>
      <c r="O41" s="174">
        <f t="shared" si="19"/>
        <v>0</v>
      </c>
      <c r="P41" s="175">
        <f>N41-O41</f>
        <v>0.82684740000001966</v>
      </c>
      <c r="Q41" s="176">
        <f t="shared" ref="Q41" si="34">O41/N41</f>
        <v>0</v>
      </c>
    </row>
    <row r="42" spans="2:17">
      <c r="B42" s="187"/>
      <c r="C42" s="177"/>
      <c r="D42" s="25" t="s">
        <v>1</v>
      </c>
      <c r="E42" s="179"/>
      <c r="F42" s="30">
        <f t="shared" ref="F42" si="35">E41*$D$64</f>
        <v>16.344111600000002</v>
      </c>
      <c r="G42" s="33"/>
      <c r="H42" s="30">
        <f>F42+G42+J41</f>
        <v>0.8268474000000019</v>
      </c>
      <c r="I42" s="33"/>
      <c r="J42" s="30">
        <f t="shared" si="21"/>
        <v>0.8268474000000019</v>
      </c>
      <c r="K42" s="24">
        <f t="shared" si="18"/>
        <v>0</v>
      </c>
      <c r="L42" s="174"/>
      <c r="M42" s="174"/>
      <c r="N42" s="174"/>
      <c r="O42" s="174"/>
      <c r="P42" s="175"/>
      <c r="Q42" s="176"/>
    </row>
    <row r="43" spans="2:17">
      <c r="B43" s="187"/>
      <c r="C43" s="177" t="s">
        <v>67</v>
      </c>
      <c r="D43" s="25" t="s">
        <v>0</v>
      </c>
      <c r="E43" s="178">
        <v>4.1207800000000003E-2</v>
      </c>
      <c r="F43" s="30">
        <f t="shared" ref="F43" si="36">E43*$D$63</f>
        <v>691.09601380000004</v>
      </c>
      <c r="G43" s="33">
        <f>-300-395</f>
        <v>-695</v>
      </c>
      <c r="H43" s="30">
        <f>F43+G43</f>
        <v>-3.903986199999963</v>
      </c>
      <c r="I43" s="33"/>
      <c r="J43" s="30">
        <f t="shared" si="21"/>
        <v>-3.903986199999963</v>
      </c>
      <c r="K43" s="24">
        <f t="shared" si="18"/>
        <v>0</v>
      </c>
      <c r="L43" s="174">
        <f>F43+F44</f>
        <v>705.18908140000008</v>
      </c>
      <c r="M43" s="174">
        <f>G43+G44</f>
        <v>-695</v>
      </c>
      <c r="N43" s="174">
        <f>L43+M43</f>
        <v>10.189081400000077</v>
      </c>
      <c r="O43" s="174">
        <f t="shared" si="19"/>
        <v>0</v>
      </c>
      <c r="P43" s="175">
        <f>N43-O43</f>
        <v>10.189081400000077</v>
      </c>
      <c r="Q43" s="176">
        <f t="shared" ref="Q43" si="37">O43/N43</f>
        <v>0</v>
      </c>
    </row>
    <row r="44" spans="2:17">
      <c r="B44" s="187"/>
      <c r="C44" s="177"/>
      <c r="D44" s="25" t="s">
        <v>1</v>
      </c>
      <c r="E44" s="179"/>
      <c r="F44" s="30">
        <f t="shared" ref="F44" si="38">E43*$D$64</f>
        <v>14.093067600000001</v>
      </c>
      <c r="G44" s="33"/>
      <c r="H44" s="30">
        <f>F44+G44+J43</f>
        <v>10.189081400000038</v>
      </c>
      <c r="I44" s="33"/>
      <c r="J44" s="30">
        <f t="shared" si="21"/>
        <v>10.189081400000038</v>
      </c>
      <c r="K44" s="24">
        <f t="shared" si="18"/>
        <v>0</v>
      </c>
      <c r="L44" s="174"/>
      <c r="M44" s="174"/>
      <c r="N44" s="174"/>
      <c r="O44" s="174"/>
      <c r="P44" s="175"/>
      <c r="Q44" s="176"/>
    </row>
    <row r="45" spans="2:17">
      <c r="B45" s="187"/>
      <c r="C45" s="177" t="s">
        <v>8</v>
      </c>
      <c r="D45" s="25" t="s">
        <v>0</v>
      </c>
      <c r="E45" s="178">
        <v>9.5560000000000003E-4</v>
      </c>
      <c r="F45" s="30">
        <f t="shared" ref="F45" si="39">E45*$D$63</f>
        <v>16.0263676</v>
      </c>
      <c r="G45" s="33"/>
      <c r="H45" s="30">
        <f>F45+G45</f>
        <v>16.0263676</v>
      </c>
      <c r="I45" s="33"/>
      <c r="J45" s="30">
        <f t="shared" si="21"/>
        <v>16.0263676</v>
      </c>
      <c r="K45" s="24">
        <f t="shared" si="18"/>
        <v>0</v>
      </c>
      <c r="L45" s="174">
        <f>F45+F46</f>
        <v>16.353182799999999</v>
      </c>
      <c r="M45" s="174">
        <f>G45+G46</f>
        <v>0</v>
      </c>
      <c r="N45" s="174">
        <f>L45+M45</f>
        <v>16.353182799999999</v>
      </c>
      <c r="O45" s="174">
        <f t="shared" si="19"/>
        <v>0</v>
      </c>
      <c r="P45" s="175">
        <f>N45-O45</f>
        <v>16.353182799999999</v>
      </c>
      <c r="Q45" s="176">
        <f t="shared" ref="Q45" si="40">O45/N45</f>
        <v>0</v>
      </c>
    </row>
    <row r="46" spans="2:17">
      <c r="B46" s="187"/>
      <c r="C46" s="177"/>
      <c r="D46" s="25" t="s">
        <v>1</v>
      </c>
      <c r="E46" s="179"/>
      <c r="F46" s="30">
        <f t="shared" ref="F46" si="41">E45*$D$64</f>
        <v>0.32681520000000003</v>
      </c>
      <c r="G46" s="33"/>
      <c r="H46" s="30">
        <f>F46+G46+J45</f>
        <v>16.353182799999999</v>
      </c>
      <c r="I46" s="33"/>
      <c r="J46" s="30">
        <f t="shared" si="21"/>
        <v>16.353182799999999</v>
      </c>
      <c r="K46" s="24">
        <f t="shared" si="18"/>
        <v>0</v>
      </c>
      <c r="L46" s="174"/>
      <c r="M46" s="174"/>
      <c r="N46" s="174"/>
      <c r="O46" s="174"/>
      <c r="P46" s="175"/>
      <c r="Q46" s="176"/>
    </row>
    <row r="47" spans="2:17">
      <c r="B47" s="187"/>
      <c r="C47" s="177" t="s">
        <v>9</v>
      </c>
      <c r="D47" s="25" t="s">
        <v>0</v>
      </c>
      <c r="E47" s="178">
        <v>7.0410000000000004E-3</v>
      </c>
      <c r="F47" s="30">
        <f t="shared" ref="F47" si="42">E47*$D$63</f>
        <v>118.08461100000001</v>
      </c>
      <c r="G47" s="125">
        <f>-7.187-113.134+7.187-0.17113</f>
        <v>-113.30513000000001</v>
      </c>
      <c r="H47" s="30">
        <f>F47+G47</f>
        <v>4.7794810000000041</v>
      </c>
      <c r="I47" s="33"/>
      <c r="J47" s="30">
        <f t="shared" si="21"/>
        <v>4.7794810000000041</v>
      </c>
      <c r="K47" s="24">
        <f t="shared" si="18"/>
        <v>0</v>
      </c>
      <c r="L47" s="174">
        <f>F47+F48</f>
        <v>120.49263300000001</v>
      </c>
      <c r="M47" s="174">
        <f>G47+G48</f>
        <v>-113.30513000000001</v>
      </c>
      <c r="N47" s="174">
        <f>L47+M47</f>
        <v>7.1875030000000066</v>
      </c>
      <c r="O47" s="174">
        <f t="shared" si="19"/>
        <v>0</v>
      </c>
      <c r="P47" s="175">
        <f>N47-O47</f>
        <v>7.1875030000000066</v>
      </c>
      <c r="Q47" s="176">
        <f t="shared" ref="Q47" si="43">O47/N47</f>
        <v>0</v>
      </c>
    </row>
    <row r="48" spans="2:17">
      <c r="B48" s="187"/>
      <c r="C48" s="177"/>
      <c r="D48" s="25" t="s">
        <v>1</v>
      </c>
      <c r="E48" s="179"/>
      <c r="F48" s="30">
        <f t="shared" ref="F48" si="44">E47*$D$64</f>
        <v>2.4080220000000003</v>
      </c>
      <c r="G48" s="30"/>
      <c r="H48" s="30">
        <f>F48+G48+J47</f>
        <v>7.1875030000000049</v>
      </c>
      <c r="I48" s="33"/>
      <c r="J48" s="30">
        <f t="shared" si="21"/>
        <v>7.1875030000000049</v>
      </c>
      <c r="K48" s="24">
        <f t="shared" si="18"/>
        <v>0</v>
      </c>
      <c r="L48" s="174"/>
      <c r="M48" s="174"/>
      <c r="N48" s="174"/>
      <c r="O48" s="174"/>
      <c r="P48" s="175"/>
      <c r="Q48" s="176"/>
    </row>
    <row r="49" spans="2:17">
      <c r="B49" s="187"/>
      <c r="C49" s="177" t="s">
        <v>10</v>
      </c>
      <c r="D49" s="25" t="s">
        <v>0</v>
      </c>
      <c r="E49" s="178">
        <v>0.46457009999999999</v>
      </c>
      <c r="F49" s="30">
        <f t="shared" ref="F49" si="45">E49*$D$63</f>
        <v>7791.3051470999999</v>
      </c>
      <c r="G49" s="33">
        <f>205.356+205.356+205.356+205.356-821.424-7950</f>
        <v>-7950</v>
      </c>
      <c r="H49" s="30">
        <f>F49+G49</f>
        <v>-158.69485290000011</v>
      </c>
      <c r="I49" s="33"/>
      <c r="J49" s="30">
        <f t="shared" si="21"/>
        <v>-158.69485290000011</v>
      </c>
      <c r="K49" s="24">
        <f t="shared" si="18"/>
        <v>0</v>
      </c>
      <c r="L49" s="174">
        <f>F49+F50</f>
        <v>7950.1881212999997</v>
      </c>
      <c r="M49" s="174">
        <f>G49+G50</f>
        <v>-7950</v>
      </c>
      <c r="N49" s="174">
        <f>L49+M49</f>
        <v>0.18812129999969329</v>
      </c>
      <c r="O49" s="174">
        <f t="shared" si="19"/>
        <v>0</v>
      </c>
      <c r="P49" s="175">
        <f>N49-O49</f>
        <v>0.18812129999969329</v>
      </c>
      <c r="Q49" s="176">
        <f t="shared" ref="Q49" si="46">O49/N49</f>
        <v>0</v>
      </c>
    </row>
    <row r="50" spans="2:17">
      <c r="B50" s="187"/>
      <c r="C50" s="177"/>
      <c r="D50" s="25" t="s">
        <v>1</v>
      </c>
      <c r="E50" s="179"/>
      <c r="F50" s="30">
        <f t="shared" ref="F50" si="47">E49*$D$64</f>
        <v>158.88297420000001</v>
      </c>
      <c r="G50" s="33"/>
      <c r="H50" s="30">
        <f>F50+G50+J49</f>
        <v>0.18812129999989224</v>
      </c>
      <c r="I50" s="33"/>
      <c r="J50" s="30">
        <f t="shared" si="21"/>
        <v>0.18812129999989224</v>
      </c>
      <c r="K50" s="24">
        <f t="shared" si="18"/>
        <v>0</v>
      </c>
      <c r="L50" s="174"/>
      <c r="M50" s="174"/>
      <c r="N50" s="174"/>
      <c r="O50" s="174"/>
      <c r="P50" s="175"/>
      <c r="Q50" s="176"/>
    </row>
    <row r="51" spans="2:17">
      <c r="B51" s="187"/>
      <c r="C51" s="177" t="s">
        <v>11</v>
      </c>
      <c r="D51" s="25" t="s">
        <v>0</v>
      </c>
      <c r="E51" s="178">
        <v>5.9398399999999997E-2</v>
      </c>
      <c r="F51" s="30">
        <f t="shared" ref="F51" si="48">E51*$D$63</f>
        <v>996.17056639999998</v>
      </c>
      <c r="G51" s="30">
        <f>-1010.701+255.138-255.138</f>
        <v>-1010.701</v>
      </c>
      <c r="H51" s="30">
        <f>F51+G51</f>
        <v>-14.530433600000038</v>
      </c>
      <c r="I51" s="33"/>
      <c r="J51" s="30">
        <f t="shared" si="21"/>
        <v>-14.530433600000038</v>
      </c>
      <c r="K51" s="24">
        <f t="shared" si="18"/>
        <v>0</v>
      </c>
      <c r="L51" s="174">
        <f>F51+F52</f>
        <v>1016.4848191999999</v>
      </c>
      <c r="M51" s="174">
        <f>G51+G52</f>
        <v>-1010.701</v>
      </c>
      <c r="N51" s="174">
        <f>L51+M51</f>
        <v>5.7838191999999253</v>
      </c>
      <c r="O51" s="174">
        <f t="shared" si="19"/>
        <v>0</v>
      </c>
      <c r="P51" s="175">
        <f>N51-O51</f>
        <v>5.7838191999999253</v>
      </c>
      <c r="Q51" s="176">
        <f t="shared" ref="Q51" si="49">O51/N51</f>
        <v>0</v>
      </c>
    </row>
    <row r="52" spans="2:17">
      <c r="B52" s="187"/>
      <c r="C52" s="177"/>
      <c r="D52" s="25" t="s">
        <v>1</v>
      </c>
      <c r="E52" s="179"/>
      <c r="F52" s="30">
        <f t="shared" ref="F52" si="50">E51*$D$64</f>
        <v>20.314252799999998</v>
      </c>
      <c r="G52" s="33"/>
      <c r="H52" s="30">
        <f>F52+G52+J51</f>
        <v>5.7838191999999609</v>
      </c>
      <c r="I52" s="33"/>
      <c r="J52" s="30">
        <f t="shared" si="21"/>
        <v>5.7838191999999609</v>
      </c>
      <c r="K52" s="24">
        <f t="shared" si="18"/>
        <v>0</v>
      </c>
      <c r="L52" s="174"/>
      <c r="M52" s="174"/>
      <c r="N52" s="174"/>
      <c r="O52" s="174"/>
      <c r="P52" s="175"/>
      <c r="Q52" s="176"/>
    </row>
    <row r="53" spans="2:17">
      <c r="B53" s="187"/>
      <c r="C53" s="177" t="s">
        <v>93</v>
      </c>
      <c r="D53" s="25" t="s">
        <v>0</v>
      </c>
      <c r="E53" s="178">
        <v>4.8000000000000001E-2</v>
      </c>
      <c r="F53" s="30">
        <f t="shared" ref="F53" si="51">E53*$D$63</f>
        <v>805.00800000000004</v>
      </c>
      <c r="G53" s="30">
        <f>-205.356-205.356-205.356-205.356</f>
        <v>-821.42399999999998</v>
      </c>
      <c r="H53" s="30">
        <f>+F53+G53</f>
        <v>-16.41599999999994</v>
      </c>
      <c r="I53" s="33"/>
      <c r="J53" s="30">
        <f t="shared" ref="J53:J56" si="52">+H53-I53</f>
        <v>-16.41599999999994</v>
      </c>
      <c r="K53" s="24">
        <f t="shared" si="18"/>
        <v>0</v>
      </c>
      <c r="L53" s="174">
        <f>F53+F54</f>
        <v>821.42400000000009</v>
      </c>
      <c r="M53" s="174">
        <f>G53+G54</f>
        <v>-821.42399999999998</v>
      </c>
      <c r="N53" s="174">
        <f>L53+M53</f>
        <v>0</v>
      </c>
      <c r="O53" s="174">
        <f>I53+I54</f>
        <v>0</v>
      </c>
      <c r="P53" s="175">
        <f>N53-O53</f>
        <v>0</v>
      </c>
      <c r="Q53" s="176">
        <v>0</v>
      </c>
    </row>
    <row r="54" spans="2:17">
      <c r="B54" s="187"/>
      <c r="C54" s="177"/>
      <c r="D54" s="25" t="s">
        <v>1</v>
      </c>
      <c r="E54" s="179"/>
      <c r="F54" s="30">
        <f t="shared" ref="F54" si="53">E53*$D$64</f>
        <v>16.416</v>
      </c>
      <c r="G54" s="33"/>
      <c r="H54" s="30">
        <f>+J53+F54+G54</f>
        <v>6.0396132539608516E-14</v>
      </c>
      <c r="I54" s="33"/>
      <c r="J54" s="30">
        <f t="shared" si="52"/>
        <v>6.0396132539608516E-14</v>
      </c>
      <c r="K54" s="24">
        <f t="shared" si="18"/>
        <v>0</v>
      </c>
      <c r="L54" s="174"/>
      <c r="M54" s="174"/>
      <c r="N54" s="174"/>
      <c r="O54" s="174"/>
      <c r="P54" s="175"/>
      <c r="Q54" s="176"/>
    </row>
    <row r="55" spans="2:17">
      <c r="B55" s="187"/>
      <c r="C55" s="177" t="s">
        <v>176</v>
      </c>
      <c r="D55" s="25" t="s">
        <v>0</v>
      </c>
      <c r="E55" s="178">
        <v>1.0000000000000001E-5</v>
      </c>
      <c r="F55" s="30">
        <f t="shared" ref="F55" si="54">E55*$D$63</f>
        <v>0.16771000000000003</v>
      </c>
      <c r="G55" s="33">
        <v>0.17113</v>
      </c>
      <c r="H55" s="30">
        <f>+F55+G55</f>
        <v>0.33884000000000003</v>
      </c>
      <c r="I55" s="33"/>
      <c r="J55" s="30">
        <f t="shared" si="52"/>
        <v>0.33884000000000003</v>
      </c>
      <c r="K55" s="24">
        <f t="shared" si="18"/>
        <v>0</v>
      </c>
      <c r="L55" s="174">
        <f>F55+F56</f>
        <v>0.17113000000000003</v>
      </c>
      <c r="M55" s="174">
        <f>G55+G56</f>
        <v>0.17113</v>
      </c>
      <c r="N55" s="174">
        <f>L55+M55</f>
        <v>0.34226000000000001</v>
      </c>
      <c r="O55" s="174">
        <f>I55+I56</f>
        <v>0</v>
      </c>
      <c r="P55" s="175">
        <f>N55-O55</f>
        <v>0.34226000000000001</v>
      </c>
      <c r="Q55" s="176">
        <f t="shared" ref="Q55" si="55">O55/N55</f>
        <v>0</v>
      </c>
    </row>
    <row r="56" spans="2:17">
      <c r="B56" s="187"/>
      <c r="C56" s="177"/>
      <c r="D56" s="25" t="s">
        <v>1</v>
      </c>
      <c r="E56" s="179"/>
      <c r="F56" s="30">
        <f t="shared" ref="F56" si="56">E55*$D$64</f>
        <v>3.4200000000000003E-3</v>
      </c>
      <c r="G56" s="33"/>
      <c r="H56" s="30">
        <f>+J55+F56+G56</f>
        <v>0.34226000000000001</v>
      </c>
      <c r="I56" s="33"/>
      <c r="J56" s="30">
        <f t="shared" si="52"/>
        <v>0.34226000000000001</v>
      </c>
      <c r="K56" s="24">
        <f t="shared" si="18"/>
        <v>0</v>
      </c>
      <c r="L56" s="174"/>
      <c r="M56" s="174"/>
      <c r="N56" s="174"/>
      <c r="O56" s="174"/>
      <c r="P56" s="175"/>
      <c r="Q56" s="176"/>
    </row>
    <row r="57" spans="2:17">
      <c r="B57" s="187"/>
      <c r="C57" s="177" t="s">
        <v>199</v>
      </c>
      <c r="D57" s="25" t="s">
        <v>0</v>
      </c>
      <c r="E57" s="107"/>
      <c r="F57" s="30">
        <v>0</v>
      </c>
      <c r="G57" s="126">
        <f>7.187-7.187</f>
        <v>0</v>
      </c>
      <c r="H57" s="30">
        <f>+F57+G57</f>
        <v>0</v>
      </c>
      <c r="I57" s="33"/>
      <c r="J57" s="30">
        <f t="shared" ref="J57:J58" si="57">+H57-I57</f>
        <v>0</v>
      </c>
      <c r="K57" s="24" t="e">
        <f t="shared" ref="K57:K58" si="58">I57/H57</f>
        <v>#DIV/0!</v>
      </c>
      <c r="L57" s="174">
        <f>F57+F58</f>
        <v>0</v>
      </c>
      <c r="M57" s="174">
        <f>G57+G58</f>
        <v>0</v>
      </c>
      <c r="N57" s="174">
        <f>L57+M57</f>
        <v>0</v>
      </c>
      <c r="O57" s="174">
        <f>I57+I58</f>
        <v>0</v>
      </c>
      <c r="P57" s="175">
        <f>N57-O57</f>
        <v>0</v>
      </c>
      <c r="Q57" s="176" t="e">
        <f t="shared" ref="Q57" si="59">O57/N57</f>
        <v>#DIV/0!</v>
      </c>
    </row>
    <row r="58" spans="2:17">
      <c r="B58" s="187"/>
      <c r="C58" s="177"/>
      <c r="D58" s="25" t="s">
        <v>1</v>
      </c>
      <c r="E58" s="107"/>
      <c r="F58" s="30">
        <v>0</v>
      </c>
      <c r="G58" s="33"/>
      <c r="H58" s="30">
        <f>+J57+F58+G58</f>
        <v>0</v>
      </c>
      <c r="I58" s="33"/>
      <c r="J58" s="30">
        <f t="shared" si="57"/>
        <v>0</v>
      </c>
      <c r="K58" s="24" t="e">
        <f t="shared" si="58"/>
        <v>#DIV/0!</v>
      </c>
      <c r="L58" s="174"/>
      <c r="M58" s="174"/>
      <c r="N58" s="174"/>
      <c r="O58" s="174"/>
      <c r="P58" s="175"/>
      <c r="Q58" s="176"/>
    </row>
    <row r="59" spans="2:17" hidden="1">
      <c r="B59" s="187"/>
      <c r="C59" s="177" t="s">
        <v>226</v>
      </c>
      <c r="D59" s="118" t="s">
        <v>0</v>
      </c>
      <c r="E59" s="117"/>
      <c r="F59" s="115">
        <v>0</v>
      </c>
      <c r="G59" s="116">
        <v>0</v>
      </c>
      <c r="H59" s="115">
        <f>+F59+G59</f>
        <v>0</v>
      </c>
      <c r="I59" s="116"/>
      <c r="J59" s="115">
        <f t="shared" ref="J59:J60" si="60">+H59-I59</f>
        <v>0</v>
      </c>
      <c r="K59" s="24" t="e">
        <f t="shared" ref="K59:K60" si="61">I59/H59</f>
        <v>#DIV/0!</v>
      </c>
      <c r="L59" s="174">
        <f>F59+F60</f>
        <v>0</v>
      </c>
      <c r="M59" s="174">
        <f>G59+G60</f>
        <v>0</v>
      </c>
      <c r="N59" s="174">
        <f>L59+M59</f>
        <v>0</v>
      </c>
      <c r="O59" s="174">
        <f>I59+I60</f>
        <v>0</v>
      </c>
      <c r="P59" s="175">
        <f>N59-O59</f>
        <v>0</v>
      </c>
      <c r="Q59" s="176" t="e">
        <f t="shared" ref="Q59" si="62">O59/N59</f>
        <v>#DIV/0!</v>
      </c>
    </row>
    <row r="60" spans="2:17" hidden="1">
      <c r="B60" s="187"/>
      <c r="C60" s="177"/>
      <c r="D60" s="118" t="s">
        <v>1</v>
      </c>
      <c r="E60" s="117"/>
      <c r="F60" s="115">
        <v>0</v>
      </c>
      <c r="G60" s="116"/>
      <c r="H60" s="115">
        <f>+J59+F60+G60</f>
        <v>0</v>
      </c>
      <c r="I60" s="116"/>
      <c r="J60" s="115">
        <f t="shared" si="60"/>
        <v>0</v>
      </c>
      <c r="K60" s="24" t="e">
        <f t="shared" si="61"/>
        <v>#DIV/0!</v>
      </c>
      <c r="L60" s="174"/>
      <c r="M60" s="174"/>
      <c r="N60" s="174"/>
      <c r="O60" s="174"/>
      <c r="P60" s="175"/>
      <c r="Q60" s="176"/>
    </row>
    <row r="61" spans="2:17">
      <c r="B61" s="187"/>
      <c r="C61" s="188" t="s">
        <v>97</v>
      </c>
      <c r="D61" s="26" t="s">
        <v>0</v>
      </c>
      <c r="E61" s="178">
        <f>SUM(E31:E56)</f>
        <v>1.0000001000000001</v>
      </c>
      <c r="F61" s="31">
        <f>F31+F33+F35+F37+F39+F41+F43+F45+F47+F49+F51+F53+F55+F57+F59</f>
        <v>16771.001677100005</v>
      </c>
      <c r="G61" s="31">
        <f>G31+G33+G35+G37+G39+G41+G43+G45+G47+G49+G51+G53+G55+G57+G59</f>
        <v>-16895.397000000001</v>
      </c>
      <c r="H61" s="31">
        <f>F61+G61</f>
        <v>-124.39532289999624</v>
      </c>
      <c r="I61" s="31">
        <f>I31+I33+I35+I37+I39+I41+I43+I45+I47+I49+I51+I53+I55</f>
        <v>0</v>
      </c>
      <c r="J61" s="31">
        <f>H61-I61</f>
        <v>-124.39532289999624</v>
      </c>
      <c r="K61" s="27">
        <f>I61/H61</f>
        <v>0</v>
      </c>
      <c r="L61" s="190">
        <f>F61+F62</f>
        <v>17113.001711300003</v>
      </c>
      <c r="M61" s="190">
        <f>G61+G62</f>
        <v>-16965.397000000001</v>
      </c>
      <c r="N61" s="190">
        <f>L61+M61</f>
        <v>147.60471130000224</v>
      </c>
      <c r="O61" s="190">
        <f t="shared" ref="O61" si="63">I61+I62</f>
        <v>0</v>
      </c>
      <c r="P61" s="192">
        <f>N61-O61</f>
        <v>147.60471130000224</v>
      </c>
      <c r="Q61" s="199">
        <f t="shared" ref="Q61" si="64">O61/N61</f>
        <v>0</v>
      </c>
    </row>
    <row r="62" spans="2:17">
      <c r="B62" s="179"/>
      <c r="C62" s="189"/>
      <c r="D62" s="26" t="s">
        <v>1</v>
      </c>
      <c r="E62" s="179"/>
      <c r="F62" s="31">
        <f>F32+F34+F36+F38+F40+F42+F44+F46+F48+F50+F52+F54+F56+F58+F60</f>
        <v>342.00003420000002</v>
      </c>
      <c r="G62" s="31">
        <f>G32+G34+G36+G38+G40+G42+G44+G46+G48+G50+G52+G54+G56+G58+G60</f>
        <v>-70</v>
      </c>
      <c r="H62" s="31">
        <f>F62+G62+J61</f>
        <v>147.60471130000377</v>
      </c>
      <c r="I62" s="31">
        <f>I32+I34+I36+I38+I40+I42+I44+I46+I48+I50+I52+I54+I56</f>
        <v>0</v>
      </c>
      <c r="J62" s="31">
        <f t="shared" si="21"/>
        <v>147.60471130000377</v>
      </c>
      <c r="K62" s="27">
        <f t="shared" si="18"/>
        <v>0</v>
      </c>
      <c r="L62" s="191"/>
      <c r="M62" s="191"/>
      <c r="N62" s="191"/>
      <c r="O62" s="191"/>
      <c r="P62" s="193"/>
      <c r="Q62" s="200"/>
    </row>
    <row r="63" spans="2:17" ht="15" customHeight="1">
      <c r="B63" s="47"/>
      <c r="C63" s="69" t="s">
        <v>182</v>
      </c>
      <c r="D63" s="33">
        <v>16771</v>
      </c>
      <c r="F63" s="42"/>
      <c r="H63" s="42"/>
      <c r="J63" s="42"/>
      <c r="K63" s="43"/>
      <c r="L63" s="42"/>
      <c r="M63" s="42"/>
      <c r="N63" s="42"/>
      <c r="O63" s="42"/>
      <c r="P63" s="48"/>
      <c r="Q63" s="49"/>
    </row>
    <row r="64" spans="2:17" ht="15" customHeight="1">
      <c r="B64" s="47"/>
      <c r="C64" s="26" t="s">
        <v>183</v>
      </c>
      <c r="D64" s="33">
        <v>342</v>
      </c>
      <c r="F64" s="42"/>
      <c r="H64" s="42"/>
      <c r="J64" s="42"/>
      <c r="K64" s="43"/>
      <c r="L64" s="42"/>
      <c r="M64" s="42"/>
      <c r="N64" s="42"/>
      <c r="O64" s="42"/>
      <c r="P64" s="48"/>
      <c r="Q64" s="49"/>
    </row>
    <row r="65" spans="2:17" ht="15" customHeight="1">
      <c r="C65" s="46"/>
      <c r="D65" s="45"/>
      <c r="E65" s="45"/>
      <c r="F65" s="51"/>
      <c r="G65" s="50"/>
      <c r="H65" s="45"/>
      <c r="I65" s="45"/>
      <c r="J65" s="45"/>
      <c r="K65" s="45"/>
      <c r="L65" s="45"/>
      <c r="M65" s="50"/>
      <c r="N65" s="45"/>
      <c r="O65" s="45"/>
      <c r="P65" s="45"/>
      <c r="Q65" s="45"/>
    </row>
    <row r="66" spans="2:17">
      <c r="B66" s="178" t="s">
        <v>68</v>
      </c>
      <c r="C66" s="177" t="s">
        <v>12</v>
      </c>
      <c r="D66" s="25" t="s">
        <v>0</v>
      </c>
      <c r="E66" s="152">
        <v>0.11998739999999999</v>
      </c>
      <c r="F66" s="30">
        <f>E66*$D$116</f>
        <v>43165.467149999997</v>
      </c>
      <c r="G66" s="30">
        <f>770+1433+4990</f>
        <v>7193</v>
      </c>
      <c r="H66" s="30">
        <f>F66+G66</f>
        <v>50358.467149999997</v>
      </c>
      <c r="I66" s="124">
        <v>51177.779000000002</v>
      </c>
      <c r="J66" s="30">
        <f t="shared" ref="J66:J79" si="65">H66-I66</f>
        <v>-819.31185000000551</v>
      </c>
      <c r="K66" s="24">
        <f t="shared" ref="K66:K142" si="66">I66/H66</f>
        <v>1.0162695946951594</v>
      </c>
      <c r="L66" s="174">
        <f>F66+F67</f>
        <v>44046.414640799994</v>
      </c>
      <c r="M66" s="174">
        <f>G66+G67</f>
        <v>7193</v>
      </c>
      <c r="N66" s="174">
        <f>L66+M66</f>
        <v>51239.414640799994</v>
      </c>
      <c r="O66" s="174">
        <f>I66+I67</f>
        <v>51177.779000000002</v>
      </c>
      <c r="P66" s="175">
        <f>N66-O66</f>
        <v>61.635640799991961</v>
      </c>
      <c r="Q66" s="176">
        <f>O66/N66</f>
        <v>0.99879710489996676</v>
      </c>
    </row>
    <row r="67" spans="2:17">
      <c r="B67" s="187"/>
      <c r="C67" s="177"/>
      <c r="D67" s="25" t="s">
        <v>1</v>
      </c>
      <c r="E67" s="154"/>
      <c r="F67" s="30">
        <f>E66*$D$117</f>
        <v>880.94749079999997</v>
      </c>
      <c r="G67" s="33"/>
      <c r="H67" s="30">
        <f>F67+G67+J66</f>
        <v>61.635640799994462</v>
      </c>
      <c r="I67" s="123"/>
      <c r="J67" s="30">
        <f t="shared" si="65"/>
        <v>61.635640799994462</v>
      </c>
      <c r="K67" s="24">
        <f t="shared" si="66"/>
        <v>0</v>
      </c>
      <c r="L67" s="174"/>
      <c r="M67" s="174"/>
      <c r="N67" s="174"/>
      <c r="O67" s="174"/>
      <c r="P67" s="175"/>
      <c r="Q67" s="176"/>
    </row>
    <row r="68" spans="2:17">
      <c r="B68" s="187"/>
      <c r="C68" s="177" t="s">
        <v>6</v>
      </c>
      <c r="D68" s="25" t="s">
        <v>0</v>
      </c>
      <c r="E68" s="152">
        <v>0.2068902</v>
      </c>
      <c r="F68" s="30">
        <f>E68*$D$116</f>
        <v>74428.749450000003</v>
      </c>
      <c r="G68" s="30">
        <f>10000+800+3000</f>
        <v>13800</v>
      </c>
      <c r="H68" s="30">
        <f>F68+G68</f>
        <v>88228.749450000003</v>
      </c>
      <c r="I68" s="123">
        <v>87078.861999999994</v>
      </c>
      <c r="J68" s="30">
        <f t="shared" si="65"/>
        <v>1149.8874500000093</v>
      </c>
      <c r="K68" s="24">
        <f t="shared" si="66"/>
        <v>0.98696697553611301</v>
      </c>
      <c r="L68" s="174">
        <f>F68+F69</f>
        <v>75947.737298399996</v>
      </c>
      <c r="M68" s="174">
        <f>G68+G69</f>
        <v>14505.064</v>
      </c>
      <c r="N68" s="174">
        <f>L68+M68</f>
        <v>90452.801298399994</v>
      </c>
      <c r="O68" s="174">
        <f>I68+I69</f>
        <v>87078.861999999994</v>
      </c>
      <c r="P68" s="175">
        <f>N68-O68</f>
        <v>3373.9392984000006</v>
      </c>
      <c r="Q68" s="176">
        <f t="shared" ref="Q68" si="67">O68/N68</f>
        <v>0.96269944932640039</v>
      </c>
    </row>
    <row r="69" spans="2:17">
      <c r="B69" s="187"/>
      <c r="C69" s="177"/>
      <c r="D69" s="25" t="s">
        <v>1</v>
      </c>
      <c r="E69" s="154"/>
      <c r="F69" s="30">
        <f>E68*$D$117</f>
        <v>1518.9878484000001</v>
      </c>
      <c r="G69" s="33">
        <f>55.064+580+70</f>
        <v>705.06399999999996</v>
      </c>
      <c r="H69" s="30">
        <f>F69+G69+J68</f>
        <v>3373.9392984000092</v>
      </c>
      <c r="I69" s="123"/>
      <c r="J69" s="30">
        <f t="shared" si="65"/>
        <v>3373.9392984000092</v>
      </c>
      <c r="K69" s="24">
        <f t="shared" si="66"/>
        <v>0</v>
      </c>
      <c r="L69" s="174"/>
      <c r="M69" s="174"/>
      <c r="N69" s="174"/>
      <c r="O69" s="174"/>
      <c r="P69" s="175"/>
      <c r="Q69" s="176"/>
    </row>
    <row r="70" spans="2:17">
      <c r="B70" s="187"/>
      <c r="C70" s="177" t="s">
        <v>11</v>
      </c>
      <c r="D70" s="25" t="s">
        <v>0</v>
      </c>
      <c r="E70" s="152">
        <v>0.1705296</v>
      </c>
      <c r="F70" s="30">
        <f>E70*$D$116</f>
        <v>61348.0236</v>
      </c>
      <c r="G70" s="30">
        <f>3770.685+1226.88+5809.563+1010.701+868.797+4131.226</f>
        <v>16817.852000000003</v>
      </c>
      <c r="H70" s="30">
        <f>F70+G70</f>
        <v>78165.875599999999</v>
      </c>
      <c r="I70" s="124">
        <v>78805.634000000005</v>
      </c>
      <c r="J70" s="30">
        <f t="shared" si="65"/>
        <v>-639.75840000000608</v>
      </c>
      <c r="K70" s="24">
        <f t="shared" si="66"/>
        <v>1.0081846252612054</v>
      </c>
      <c r="L70" s="174">
        <f>F70+F71</f>
        <v>62600.051923200001</v>
      </c>
      <c r="M70" s="174">
        <f>G70+G71</f>
        <v>16817.852000000003</v>
      </c>
      <c r="N70" s="174">
        <f>L70+M70</f>
        <v>79417.903923200007</v>
      </c>
      <c r="O70" s="174">
        <f>I70+I71</f>
        <v>78805.634000000005</v>
      </c>
      <c r="P70" s="175">
        <f>N70-O70</f>
        <v>612.26992320000136</v>
      </c>
      <c r="Q70" s="176">
        <f t="shared" ref="Q70" si="68">O70/N70</f>
        <v>0.99229053030923497</v>
      </c>
    </row>
    <row r="71" spans="2:17">
      <c r="B71" s="187"/>
      <c r="C71" s="177"/>
      <c r="D71" s="25" t="s">
        <v>1</v>
      </c>
      <c r="E71" s="154"/>
      <c r="F71" s="30">
        <f>E70*$D$117</f>
        <v>1252.0283231999999</v>
      </c>
      <c r="G71" s="33"/>
      <c r="H71" s="30">
        <f>F71+G71+J70</f>
        <v>612.26992319999385</v>
      </c>
      <c r="I71" s="123"/>
      <c r="J71" s="30">
        <f>H71-I71</f>
        <v>612.26992319999385</v>
      </c>
      <c r="K71" s="24">
        <f t="shared" si="66"/>
        <v>0</v>
      </c>
      <c r="L71" s="174"/>
      <c r="M71" s="174"/>
      <c r="N71" s="174"/>
      <c r="O71" s="174"/>
      <c r="P71" s="175"/>
      <c r="Q71" s="176"/>
    </row>
    <row r="72" spans="2:17">
      <c r="B72" s="187"/>
      <c r="C72" s="177" t="s">
        <v>174</v>
      </c>
      <c r="D72" s="25" t="s">
        <v>0</v>
      </c>
      <c r="E72" s="152">
        <v>2.3666999999999998E-3</v>
      </c>
      <c r="F72" s="30">
        <f>E72*$D$116</f>
        <v>851.42032499999993</v>
      </c>
      <c r="G72" s="30">
        <f>-868.797</f>
        <v>-868.79700000000003</v>
      </c>
      <c r="H72" s="30">
        <f>F72+G72</f>
        <v>-17.376675000000091</v>
      </c>
      <c r="I72" s="123"/>
      <c r="J72" s="30">
        <f t="shared" si="65"/>
        <v>-17.376675000000091</v>
      </c>
      <c r="K72" s="24">
        <f t="shared" si="66"/>
        <v>0</v>
      </c>
      <c r="L72" s="174">
        <f>F72+F73</f>
        <v>868.7966363999999</v>
      </c>
      <c r="M72" s="174">
        <f>G72+G73</f>
        <v>-868.79700000000003</v>
      </c>
      <c r="N72" s="174">
        <f>L72+M72</f>
        <v>-3.6360000012791716E-4</v>
      </c>
      <c r="O72" s="174">
        <f>I72+I73</f>
        <v>0</v>
      </c>
      <c r="P72" s="175">
        <f>N72-O72</f>
        <v>-3.6360000012791716E-4</v>
      </c>
      <c r="Q72" s="176">
        <f t="shared" ref="Q72" si="69">O72/N72</f>
        <v>0</v>
      </c>
    </row>
    <row r="73" spans="2:17">
      <c r="B73" s="187"/>
      <c r="C73" s="177"/>
      <c r="D73" s="25" t="s">
        <v>1</v>
      </c>
      <c r="E73" s="154"/>
      <c r="F73" s="30">
        <f>E72*$D$117</f>
        <v>17.376311399999999</v>
      </c>
      <c r="G73" s="33"/>
      <c r="H73" s="30">
        <f>F73+G73+J72</f>
        <v>-3.6360000009239002E-4</v>
      </c>
      <c r="I73" s="123"/>
      <c r="J73" s="30">
        <f>H73-I73</f>
        <v>-3.6360000009239002E-4</v>
      </c>
      <c r="K73" s="24">
        <f t="shared" si="66"/>
        <v>0</v>
      </c>
      <c r="L73" s="174"/>
      <c r="M73" s="174"/>
      <c r="N73" s="174"/>
      <c r="O73" s="174"/>
      <c r="P73" s="175"/>
      <c r="Q73" s="176"/>
    </row>
    <row r="74" spans="2:17">
      <c r="B74" s="187"/>
      <c r="C74" s="177" t="s">
        <v>13</v>
      </c>
      <c r="D74" s="25" t="s">
        <v>0</v>
      </c>
      <c r="E74" s="152">
        <f>(0.0046841*7)+0.0047178+0.0042416+0.0042614+0.0051087+0.00295</f>
        <v>5.4068200000000004E-2</v>
      </c>
      <c r="F74" s="30">
        <f>E74*$D$116</f>
        <v>19451.034950000001</v>
      </c>
      <c r="G74" s="33">
        <f>385+3465+2322.33+395+910</f>
        <v>7477.33</v>
      </c>
      <c r="H74" s="30">
        <f>F74+G74</f>
        <v>26928.364950000003</v>
      </c>
      <c r="I74" s="123">
        <v>26391.376</v>
      </c>
      <c r="J74" s="30">
        <f t="shared" si="65"/>
        <v>536.98895000000266</v>
      </c>
      <c r="K74" s="24">
        <f t="shared" si="66"/>
        <v>0.98005861287913054</v>
      </c>
      <c r="L74" s="174">
        <f>F74+F75</f>
        <v>19848.003674400003</v>
      </c>
      <c r="M74" s="174">
        <f>G74+G75</f>
        <v>7645.33</v>
      </c>
      <c r="N74" s="174">
        <f>L74+M74</f>
        <v>27493.333674400004</v>
      </c>
      <c r="O74" s="174">
        <f>I74+I75</f>
        <v>26391.376</v>
      </c>
      <c r="P74" s="198">
        <f>N74-O74</f>
        <v>1101.9576744000042</v>
      </c>
      <c r="Q74" s="176">
        <f t="shared" ref="Q74" si="70">O74/N74</f>
        <v>0.95991909575425283</v>
      </c>
    </row>
    <row r="75" spans="2:17">
      <c r="B75" s="187"/>
      <c r="C75" s="177"/>
      <c r="D75" s="25" t="s">
        <v>1</v>
      </c>
      <c r="E75" s="154"/>
      <c r="F75" s="30">
        <f>E74*$D$117</f>
        <v>396.96872440000004</v>
      </c>
      <c r="G75" s="33">
        <f>168</f>
        <v>168</v>
      </c>
      <c r="H75" s="30">
        <f>F75+G75+J74</f>
        <v>1101.9576744000028</v>
      </c>
      <c r="I75" s="123"/>
      <c r="J75" s="30">
        <f t="shared" si="65"/>
        <v>1101.9576744000028</v>
      </c>
      <c r="K75" s="24">
        <f t="shared" si="66"/>
        <v>0</v>
      </c>
      <c r="L75" s="174"/>
      <c r="M75" s="174"/>
      <c r="N75" s="174"/>
      <c r="O75" s="174"/>
      <c r="P75" s="198"/>
      <c r="Q75" s="176"/>
    </row>
    <row r="76" spans="2:17">
      <c r="B76" s="187"/>
      <c r="C76" s="177" t="s">
        <v>7</v>
      </c>
      <c r="D76" s="25" t="s">
        <v>0</v>
      </c>
      <c r="E76" s="152">
        <f>(0.0015*3)+0.00182+0.0006+0.00058+(0.003*4)+0.0013+0.0017+0.0800715</f>
        <v>0.10257150000000001</v>
      </c>
      <c r="F76" s="30">
        <f>E76*$D$116</f>
        <v>36900.097125</v>
      </c>
      <c r="G76" s="33">
        <f>2285.116+817+3099+2000</f>
        <v>8201.116</v>
      </c>
      <c r="H76" s="30">
        <f>F76+G76</f>
        <v>45101.213125000002</v>
      </c>
      <c r="I76" s="123">
        <v>45780.326999999997</v>
      </c>
      <c r="J76" s="30">
        <f t="shared" si="65"/>
        <v>-679.11387499999546</v>
      </c>
      <c r="K76" s="24">
        <f t="shared" si="66"/>
        <v>1.015057552290618</v>
      </c>
      <c r="L76" s="174">
        <f>F76+F77</f>
        <v>37653.177078000001</v>
      </c>
      <c r="M76" s="174">
        <f>G76+G77</f>
        <v>8201.116</v>
      </c>
      <c r="N76" s="174">
        <f>L76+M76</f>
        <v>45854.293078000002</v>
      </c>
      <c r="O76" s="174">
        <f>I76+I77</f>
        <v>45780.326999999997</v>
      </c>
      <c r="P76" s="175">
        <f>N76-O76</f>
        <v>73.966078000004927</v>
      </c>
      <c r="Q76" s="176">
        <f t="shared" ref="Q76" si="71">O76/N76</f>
        <v>0.99838693232334463</v>
      </c>
    </row>
    <row r="77" spans="2:17">
      <c r="B77" s="187"/>
      <c r="C77" s="177"/>
      <c r="D77" s="25" t="s">
        <v>1</v>
      </c>
      <c r="E77" s="154"/>
      <c r="F77" s="30">
        <f>E76*$D$117</f>
        <v>753.07995300000005</v>
      </c>
      <c r="G77" s="33"/>
      <c r="H77" s="30">
        <f>F77+G77+J76</f>
        <v>73.966078000004586</v>
      </c>
      <c r="I77" s="123"/>
      <c r="J77" s="30">
        <f t="shared" si="65"/>
        <v>73.966078000004586</v>
      </c>
      <c r="K77" s="24">
        <f t="shared" si="66"/>
        <v>0</v>
      </c>
      <c r="L77" s="174"/>
      <c r="M77" s="174"/>
      <c r="N77" s="174"/>
      <c r="O77" s="174"/>
      <c r="P77" s="175"/>
      <c r="Q77" s="176"/>
    </row>
    <row r="78" spans="2:17">
      <c r="B78" s="187"/>
      <c r="C78" s="177" t="s">
        <v>14</v>
      </c>
      <c r="D78" s="25" t="s">
        <v>0</v>
      </c>
      <c r="E78" s="152">
        <v>8.4999999999999999E-6</v>
      </c>
      <c r="F78" s="30">
        <f>E78*$D$116</f>
        <v>3.0578750000000001</v>
      </c>
      <c r="G78" s="33"/>
      <c r="H78" s="30">
        <f>F78+G78</f>
        <v>3.0578750000000001</v>
      </c>
      <c r="I78" s="123"/>
      <c r="J78" s="30">
        <f t="shared" si="65"/>
        <v>3.0578750000000001</v>
      </c>
      <c r="K78" s="24">
        <f t="shared" si="66"/>
        <v>0</v>
      </c>
      <c r="L78" s="174">
        <f>F78+F79</f>
        <v>3.120282</v>
      </c>
      <c r="M78" s="174">
        <f>G78+G79</f>
        <v>0</v>
      </c>
      <c r="N78" s="174">
        <f>L78+M78</f>
        <v>3.120282</v>
      </c>
      <c r="O78" s="174">
        <f>I78+I79</f>
        <v>0</v>
      </c>
      <c r="P78" s="175">
        <f>N78-O78</f>
        <v>3.120282</v>
      </c>
      <c r="Q78" s="176">
        <f t="shared" ref="Q78" si="72">O78/N78</f>
        <v>0</v>
      </c>
    </row>
    <row r="79" spans="2:17">
      <c r="B79" s="187"/>
      <c r="C79" s="177"/>
      <c r="D79" s="25" t="s">
        <v>1</v>
      </c>
      <c r="E79" s="154"/>
      <c r="F79" s="30">
        <f>E78*$D$117</f>
        <v>6.2406999999999997E-2</v>
      </c>
      <c r="G79" s="33"/>
      <c r="H79" s="30">
        <f>F79+G79+J78</f>
        <v>3.120282</v>
      </c>
      <c r="I79" s="123"/>
      <c r="J79" s="30">
        <f t="shared" si="65"/>
        <v>3.120282</v>
      </c>
      <c r="K79" s="24">
        <f t="shared" si="66"/>
        <v>0</v>
      </c>
      <c r="L79" s="174"/>
      <c r="M79" s="174"/>
      <c r="N79" s="174"/>
      <c r="O79" s="174"/>
      <c r="P79" s="175"/>
      <c r="Q79" s="176"/>
    </row>
    <row r="80" spans="2:17">
      <c r="B80" s="187"/>
      <c r="C80" s="177" t="s">
        <v>9</v>
      </c>
      <c r="D80" s="25" t="s">
        <v>0</v>
      </c>
      <c r="E80" s="152">
        <v>8.21852E-2</v>
      </c>
      <c r="F80" s="30">
        <f>E80*$D$116</f>
        <v>29566.125700000001</v>
      </c>
      <c r="G80" s="125">
        <f>4140+2294+790.628-1152.669-5065.246+2380.479+113.134+459.569+4966.131-3.671+2044.8+1152.669</f>
        <v>12119.823999999999</v>
      </c>
      <c r="H80" s="30">
        <f>F80+G80</f>
        <v>41685.949699999997</v>
      </c>
      <c r="I80" s="123">
        <v>40925.767</v>
      </c>
      <c r="J80" s="30">
        <f t="shared" ref="J80:J146" si="73">H80-I80</f>
        <v>760.18269999999757</v>
      </c>
      <c r="K80" s="24">
        <f t="shared" si="66"/>
        <v>0.98176405466420269</v>
      </c>
      <c r="L80" s="174">
        <f>F80+F81</f>
        <v>30169.529438400001</v>
      </c>
      <c r="M80" s="174">
        <f>G80+G81</f>
        <v>12119.823999999999</v>
      </c>
      <c r="N80" s="174">
        <f>L80+M80</f>
        <v>42289.353438400001</v>
      </c>
      <c r="O80" s="174">
        <f>I80+I81</f>
        <v>40925.767</v>
      </c>
      <c r="P80" s="175">
        <f>N80-O80</f>
        <v>1363.5864384000015</v>
      </c>
      <c r="Q80" s="176">
        <f t="shared" ref="Q80" si="74">O80/N80</f>
        <v>0.96775579838584569</v>
      </c>
    </row>
    <row r="81" spans="2:17">
      <c r="B81" s="187"/>
      <c r="C81" s="177"/>
      <c r="D81" s="25" t="s">
        <v>1</v>
      </c>
      <c r="E81" s="154"/>
      <c r="F81" s="30">
        <f>E80*$D$117</f>
        <v>603.40373839999995</v>
      </c>
      <c r="G81" s="33"/>
      <c r="H81" s="30">
        <f>F81+G81+J80</f>
        <v>1363.5864383999974</v>
      </c>
      <c r="I81" s="123"/>
      <c r="J81" s="30">
        <f>H81-I81</f>
        <v>1363.5864383999974</v>
      </c>
      <c r="K81" s="24">
        <f t="shared" si="66"/>
        <v>0</v>
      </c>
      <c r="L81" s="174"/>
      <c r="M81" s="174"/>
      <c r="N81" s="174"/>
      <c r="O81" s="174"/>
      <c r="P81" s="175"/>
      <c r="Q81" s="176"/>
    </row>
    <row r="82" spans="2:17">
      <c r="B82" s="187"/>
      <c r="C82" s="177" t="s">
        <v>4</v>
      </c>
      <c r="D82" s="25" t="s">
        <v>0</v>
      </c>
      <c r="E82" s="152">
        <f>(0.00075*20)+(0.0015*4)+0.006+(0.0045*6)+(0.006*3)+0.1829647</f>
        <v>0.25496469999999999</v>
      </c>
      <c r="F82" s="30">
        <f>E82*$D$116</f>
        <v>91723.550824999998</v>
      </c>
      <c r="G82" s="30">
        <f>-300+81.82+1090.26+150+150+720-150+150-187+709.266+1400+143+1651.914+1946.16+821.424+1303.56+3344.963+7950+9000+120+3724</f>
        <v>33819.366999999998</v>
      </c>
      <c r="H82" s="30">
        <f>F82+G82</f>
        <v>125542.917825</v>
      </c>
      <c r="I82" s="123">
        <v>124484.51</v>
      </c>
      <c r="J82" s="30">
        <f t="shared" si="73"/>
        <v>1058.407825000002</v>
      </c>
      <c r="K82" s="24">
        <f t="shared" si="66"/>
        <v>0.99156935458139217</v>
      </c>
      <c r="L82" s="174">
        <f>F82+F83</f>
        <v>93595.501652399995</v>
      </c>
      <c r="M82" s="174">
        <f>G82+G83</f>
        <v>33819.366999999998</v>
      </c>
      <c r="N82" s="174">
        <f>L82+M82</f>
        <v>127414.86865239999</v>
      </c>
      <c r="O82" s="174">
        <f>I82+I83</f>
        <v>124484.51</v>
      </c>
      <c r="P82" s="175">
        <f>N82-O82</f>
        <v>2930.3586523999984</v>
      </c>
      <c r="Q82" s="176">
        <f t="shared" ref="Q82" si="75">O82/N82</f>
        <v>0.97700143881642021</v>
      </c>
    </row>
    <row r="83" spans="2:17">
      <c r="B83" s="187"/>
      <c r="C83" s="177"/>
      <c r="D83" s="25" t="s">
        <v>1</v>
      </c>
      <c r="E83" s="154"/>
      <c r="F83" s="30">
        <f>E82*$D$117</f>
        <v>1871.9508274</v>
      </c>
      <c r="G83" s="33"/>
      <c r="H83" s="30">
        <f>F83+G83+J82</f>
        <v>2930.358652400002</v>
      </c>
      <c r="I83" s="123"/>
      <c r="J83" s="30">
        <f t="shared" si="73"/>
        <v>2930.358652400002</v>
      </c>
      <c r="K83" s="24">
        <f t="shared" si="66"/>
        <v>0</v>
      </c>
      <c r="L83" s="174"/>
      <c r="M83" s="174"/>
      <c r="N83" s="174"/>
      <c r="O83" s="174"/>
      <c r="P83" s="175"/>
      <c r="Q83" s="176"/>
    </row>
    <row r="84" spans="2:17">
      <c r="B84" s="187"/>
      <c r="C84" s="177" t="s">
        <v>15</v>
      </c>
      <c r="D84" s="25" t="s">
        <v>0</v>
      </c>
      <c r="E84" s="152">
        <v>3.2810000000000001E-4</v>
      </c>
      <c r="F84" s="30">
        <f>E84*$D$116</f>
        <v>118.033975</v>
      </c>
      <c r="G84" s="33"/>
      <c r="H84" s="30">
        <f>F84+G84</f>
        <v>118.033975</v>
      </c>
      <c r="I84" s="123"/>
      <c r="J84" s="30">
        <f t="shared" si="73"/>
        <v>118.033975</v>
      </c>
      <c r="K84" s="24">
        <f t="shared" si="66"/>
        <v>0</v>
      </c>
      <c r="L84" s="174">
        <f>F84+F85</f>
        <v>120.44288519999999</v>
      </c>
      <c r="M84" s="174">
        <f>G84+G85</f>
        <v>0</v>
      </c>
      <c r="N84" s="174">
        <f>L84+M84</f>
        <v>120.44288519999999</v>
      </c>
      <c r="O84" s="174">
        <f>I84+I85</f>
        <v>0</v>
      </c>
      <c r="P84" s="175">
        <f>N84-O84</f>
        <v>120.44288519999999</v>
      </c>
      <c r="Q84" s="176">
        <f t="shared" ref="Q84" si="76">O84/N84</f>
        <v>0</v>
      </c>
    </row>
    <row r="85" spans="2:17">
      <c r="B85" s="187"/>
      <c r="C85" s="177"/>
      <c r="D85" s="25" t="s">
        <v>1</v>
      </c>
      <c r="E85" s="154"/>
      <c r="F85" s="30">
        <f>E84*$D$117</f>
        <v>2.4089102000000002</v>
      </c>
      <c r="G85" s="33"/>
      <c r="H85" s="30">
        <f>F85+G85+J84</f>
        <v>120.44288519999999</v>
      </c>
      <c r="I85" s="123"/>
      <c r="J85" s="30">
        <f t="shared" si="73"/>
        <v>120.44288519999999</v>
      </c>
      <c r="K85" s="24">
        <f t="shared" si="66"/>
        <v>0</v>
      </c>
      <c r="L85" s="174"/>
      <c r="M85" s="174"/>
      <c r="N85" s="174"/>
      <c r="O85" s="174"/>
      <c r="P85" s="175"/>
      <c r="Q85" s="176"/>
    </row>
    <row r="86" spans="2:17">
      <c r="B86" s="187"/>
      <c r="C86" s="177" t="s">
        <v>92</v>
      </c>
      <c r="D86" s="25" t="s">
        <v>0</v>
      </c>
      <c r="E86" s="152">
        <v>1.7000000000000001E-4</v>
      </c>
      <c r="F86" s="30">
        <f>E86*$D$116</f>
        <v>61.157500000000006</v>
      </c>
      <c r="G86" s="30"/>
      <c r="H86" s="30">
        <f>F86+G86</f>
        <v>61.157500000000006</v>
      </c>
      <c r="I86" s="123">
        <v>7.298</v>
      </c>
      <c r="J86" s="30">
        <f t="shared" si="73"/>
        <v>53.859500000000004</v>
      </c>
      <c r="K86" s="24">
        <f t="shared" si="66"/>
        <v>0.11933123492621509</v>
      </c>
      <c r="L86" s="174">
        <f>F86+F87</f>
        <v>62.405640000000005</v>
      </c>
      <c r="M86" s="174">
        <f>G86+G87</f>
        <v>0</v>
      </c>
      <c r="N86" s="174">
        <f>L86+M86</f>
        <v>62.405640000000005</v>
      </c>
      <c r="O86" s="174">
        <f>I86+I87</f>
        <v>19.350999999999999</v>
      </c>
      <c r="P86" s="175">
        <f>N86-O86</f>
        <v>43.054640000000006</v>
      </c>
      <c r="Q86" s="176">
        <f t="shared" ref="Q86" si="77">O86/N86</f>
        <v>0.31008415265030531</v>
      </c>
    </row>
    <row r="87" spans="2:17">
      <c r="B87" s="187"/>
      <c r="C87" s="177"/>
      <c r="D87" s="25" t="s">
        <v>1</v>
      </c>
      <c r="E87" s="154"/>
      <c r="F87" s="30">
        <f>E86*$D$117</f>
        <v>1.24814</v>
      </c>
      <c r="G87" s="33"/>
      <c r="H87" s="30">
        <f>F87+G87+J86</f>
        <v>55.107640000000004</v>
      </c>
      <c r="I87" s="127">
        <v>12.053000000000001</v>
      </c>
      <c r="J87" s="30">
        <f t="shared" si="73"/>
        <v>43.054640000000006</v>
      </c>
      <c r="K87" s="24">
        <f t="shared" si="66"/>
        <v>0.21871740470105416</v>
      </c>
      <c r="L87" s="174"/>
      <c r="M87" s="174"/>
      <c r="N87" s="174"/>
      <c r="O87" s="174"/>
      <c r="P87" s="175"/>
      <c r="Q87" s="176"/>
    </row>
    <row r="88" spans="2:17">
      <c r="B88" s="187"/>
      <c r="C88" s="177" t="s">
        <v>41</v>
      </c>
      <c r="D88" s="25" t="s">
        <v>0</v>
      </c>
      <c r="E88" s="152">
        <v>5.0000000000000002E-5</v>
      </c>
      <c r="F88" s="30">
        <f>E88*$D$116</f>
        <v>17.987500000000001</v>
      </c>
      <c r="G88" s="33"/>
      <c r="H88" s="30">
        <f>+F88+G88</f>
        <v>17.987500000000001</v>
      </c>
      <c r="I88" s="123"/>
      <c r="J88" s="30">
        <f t="shared" ref="J88:J115" si="78">+H88-I88</f>
        <v>17.987500000000001</v>
      </c>
      <c r="K88" s="24">
        <f t="shared" si="66"/>
        <v>0</v>
      </c>
      <c r="L88" s="174">
        <f>F88+F89</f>
        <v>18.354600000000001</v>
      </c>
      <c r="M88" s="174">
        <f>G88+G89</f>
        <v>0</v>
      </c>
      <c r="N88" s="174">
        <f>L88+M88</f>
        <v>18.354600000000001</v>
      </c>
      <c r="O88" s="174">
        <f>I88+I89</f>
        <v>0</v>
      </c>
      <c r="P88" s="175">
        <f>N88-O88</f>
        <v>18.354600000000001</v>
      </c>
      <c r="Q88" s="176">
        <f t="shared" ref="Q88" si="79">O88/N88</f>
        <v>0</v>
      </c>
    </row>
    <row r="89" spans="2:17">
      <c r="B89" s="187"/>
      <c r="C89" s="177"/>
      <c r="D89" s="25" t="s">
        <v>1</v>
      </c>
      <c r="E89" s="154"/>
      <c r="F89" s="30">
        <f>E88*$D$117</f>
        <v>0.36710000000000004</v>
      </c>
      <c r="G89" s="33"/>
      <c r="H89" s="30">
        <f>+J88+F89+G89</f>
        <v>18.354600000000001</v>
      </c>
      <c r="I89" s="123"/>
      <c r="J89" s="30">
        <f t="shared" si="78"/>
        <v>18.354600000000001</v>
      </c>
      <c r="K89" s="24">
        <f t="shared" si="66"/>
        <v>0</v>
      </c>
      <c r="L89" s="174"/>
      <c r="M89" s="174"/>
      <c r="N89" s="174"/>
      <c r="O89" s="174"/>
      <c r="P89" s="175"/>
      <c r="Q89" s="176"/>
    </row>
    <row r="90" spans="2:17">
      <c r="B90" s="187"/>
      <c r="C90" s="177" t="s">
        <v>93</v>
      </c>
      <c r="D90" s="25" t="s">
        <v>0</v>
      </c>
      <c r="E90" s="152">
        <v>5.8599999999999998E-3</v>
      </c>
      <c r="F90" s="30">
        <f>E90*$D$116</f>
        <v>2108.1349999999998</v>
      </c>
      <c r="G90" s="126">
        <f>1152.669-1651.914-1152.669</f>
        <v>-1651.914</v>
      </c>
      <c r="H90" s="30">
        <f>+F90+G90</f>
        <v>456.22099999999978</v>
      </c>
      <c r="I90" s="123">
        <v>476.95699999999999</v>
      </c>
      <c r="J90" s="30">
        <f t="shared" si="78"/>
        <v>-20.736000000000217</v>
      </c>
      <c r="K90" s="24">
        <f t="shared" si="66"/>
        <v>1.0454516561052654</v>
      </c>
      <c r="L90" s="174">
        <f>F90+F91</f>
        <v>2151.1591199999998</v>
      </c>
      <c r="M90" s="174">
        <f>G90+G91</f>
        <v>-1651.914</v>
      </c>
      <c r="N90" s="174">
        <f>L90+M90</f>
        <v>499.24511999999982</v>
      </c>
      <c r="O90" s="174">
        <f>I90+I91</f>
        <v>476.95699999999999</v>
      </c>
      <c r="P90" s="175">
        <f>N90-O90</f>
        <v>22.288119999999822</v>
      </c>
      <c r="Q90" s="176">
        <f t="shared" ref="Q90" si="80">O90/N90</f>
        <v>0.95535635881628678</v>
      </c>
    </row>
    <row r="91" spans="2:17">
      <c r="B91" s="187"/>
      <c r="C91" s="177"/>
      <c r="D91" s="25" t="s">
        <v>1</v>
      </c>
      <c r="E91" s="154"/>
      <c r="F91" s="30">
        <f>E90*$D$117</f>
        <v>43.024119999999996</v>
      </c>
      <c r="G91" s="33"/>
      <c r="H91" s="30">
        <f>+J90+F91+G91</f>
        <v>22.288119999999779</v>
      </c>
      <c r="I91" s="123"/>
      <c r="J91" s="30">
        <f t="shared" si="78"/>
        <v>22.288119999999779</v>
      </c>
      <c r="K91" s="24">
        <f t="shared" si="66"/>
        <v>0</v>
      </c>
      <c r="L91" s="174"/>
      <c r="M91" s="174"/>
      <c r="N91" s="174"/>
      <c r="O91" s="174"/>
      <c r="P91" s="175"/>
      <c r="Q91" s="176"/>
    </row>
    <row r="92" spans="2:17">
      <c r="B92" s="187"/>
      <c r="C92" s="177" t="s">
        <v>176</v>
      </c>
      <c r="D92" s="25" t="s">
        <v>0</v>
      </c>
      <c r="E92" s="152">
        <v>2.0000000000000002E-5</v>
      </c>
      <c r="F92" s="30">
        <f>E92*$D$116</f>
        <v>7.1950000000000003</v>
      </c>
      <c r="G92" s="33">
        <f>3.671</f>
        <v>3.6709999999999998</v>
      </c>
      <c r="H92" s="30">
        <f>+F92+G92</f>
        <v>10.866</v>
      </c>
      <c r="I92" s="123"/>
      <c r="J92" s="30">
        <f t="shared" si="78"/>
        <v>10.866</v>
      </c>
      <c r="K92" s="24">
        <f t="shared" si="66"/>
        <v>0</v>
      </c>
      <c r="L92" s="174">
        <f>F92+F93</f>
        <v>7.3418400000000004</v>
      </c>
      <c r="M92" s="174">
        <f>G92+G93</f>
        <v>3.6709999999999998</v>
      </c>
      <c r="N92" s="174">
        <f>L92+M92</f>
        <v>11.012840000000001</v>
      </c>
      <c r="O92" s="174">
        <f>I92+I93</f>
        <v>0</v>
      </c>
      <c r="P92" s="175">
        <f>N92-O92</f>
        <v>11.012840000000001</v>
      </c>
      <c r="Q92" s="176">
        <f t="shared" ref="Q92" si="81">O92/N92</f>
        <v>0</v>
      </c>
    </row>
    <row r="93" spans="2:17">
      <c r="B93" s="187"/>
      <c r="C93" s="177"/>
      <c r="D93" s="25" t="s">
        <v>1</v>
      </c>
      <c r="E93" s="153"/>
      <c r="F93" s="30">
        <f>E92*$D$117</f>
        <v>0.14684</v>
      </c>
      <c r="G93" s="33"/>
      <c r="H93" s="30">
        <f>+J92+F93+G93</f>
        <v>11.012839999999999</v>
      </c>
      <c r="I93" s="123"/>
      <c r="J93" s="30">
        <f t="shared" si="78"/>
        <v>11.012839999999999</v>
      </c>
      <c r="K93" s="24">
        <f t="shared" si="66"/>
        <v>0</v>
      </c>
      <c r="L93" s="174"/>
      <c r="M93" s="174"/>
      <c r="N93" s="174"/>
      <c r="O93" s="174"/>
      <c r="P93" s="175"/>
      <c r="Q93" s="176"/>
    </row>
    <row r="94" spans="2:17">
      <c r="B94" s="187"/>
      <c r="C94" s="177" t="s">
        <v>199</v>
      </c>
      <c r="D94" s="25" t="s">
        <v>0</v>
      </c>
      <c r="E94" s="106"/>
      <c r="F94" s="30">
        <v>0</v>
      </c>
      <c r="G94" s="126">
        <f>5065.246-55.064-44.051-4966.131</f>
        <v>0</v>
      </c>
      <c r="H94" s="30">
        <f>+F94+G94</f>
        <v>0</v>
      </c>
      <c r="I94" s="123"/>
      <c r="J94" s="30">
        <f t="shared" ref="J94:J95" si="82">+H94-I94</f>
        <v>0</v>
      </c>
      <c r="K94" s="24" t="e">
        <f t="shared" ref="K94:K95" si="83">I94/H94</f>
        <v>#DIV/0!</v>
      </c>
      <c r="L94" s="174">
        <f>F94+F95</f>
        <v>0</v>
      </c>
      <c r="M94" s="174">
        <f>G94+G95</f>
        <v>0</v>
      </c>
      <c r="N94" s="174">
        <f>L94+M94</f>
        <v>0</v>
      </c>
      <c r="O94" s="174">
        <f>I94+I95</f>
        <v>0</v>
      </c>
      <c r="P94" s="175">
        <f>N94-O94</f>
        <v>0</v>
      </c>
      <c r="Q94" s="176" t="e">
        <f t="shared" ref="Q94" si="84">O94/N94</f>
        <v>#DIV/0!</v>
      </c>
    </row>
    <row r="95" spans="2:17">
      <c r="B95" s="187"/>
      <c r="C95" s="177"/>
      <c r="D95" s="25" t="s">
        <v>1</v>
      </c>
      <c r="E95" s="106"/>
      <c r="F95" s="30">
        <v>0</v>
      </c>
      <c r="G95" s="33"/>
      <c r="H95" s="30">
        <f>+J94+F95+G95</f>
        <v>0</v>
      </c>
      <c r="I95" s="123"/>
      <c r="J95" s="30">
        <f t="shared" si="82"/>
        <v>0</v>
      </c>
      <c r="K95" s="24" t="e">
        <f t="shared" si="83"/>
        <v>#DIV/0!</v>
      </c>
      <c r="L95" s="174"/>
      <c r="M95" s="174"/>
      <c r="N95" s="174"/>
      <c r="O95" s="174"/>
      <c r="P95" s="175"/>
      <c r="Q95" s="176"/>
    </row>
    <row r="96" spans="2:17">
      <c r="B96" s="187"/>
      <c r="C96" s="177" t="s">
        <v>207</v>
      </c>
      <c r="D96" s="25" t="s">
        <v>0</v>
      </c>
      <c r="E96" s="106"/>
      <c r="F96" s="30">
        <v>0</v>
      </c>
      <c r="G96" s="126">
        <f>55.064</f>
        <v>55.064</v>
      </c>
      <c r="H96" s="30">
        <f>+F96+G96</f>
        <v>55.064</v>
      </c>
      <c r="I96" s="123"/>
      <c r="J96" s="30">
        <f t="shared" ref="J96:J97" si="85">+H96-I96</f>
        <v>55.064</v>
      </c>
      <c r="K96" s="24">
        <f t="shared" ref="K96:K97" si="86">I96/H96</f>
        <v>0</v>
      </c>
      <c r="L96" s="174">
        <f>F96+F97</f>
        <v>0</v>
      </c>
      <c r="M96" s="174">
        <f>G96+G97</f>
        <v>0</v>
      </c>
      <c r="N96" s="174">
        <f>L96+M96</f>
        <v>0</v>
      </c>
      <c r="O96" s="174">
        <f>I96+I97</f>
        <v>0</v>
      </c>
      <c r="P96" s="175">
        <f>N96-O96</f>
        <v>0</v>
      </c>
      <c r="Q96" s="176" t="e">
        <f t="shared" ref="Q96" si="87">O96/N96</f>
        <v>#DIV/0!</v>
      </c>
    </row>
    <row r="97" spans="2:17">
      <c r="B97" s="187"/>
      <c r="C97" s="177"/>
      <c r="D97" s="25" t="s">
        <v>1</v>
      </c>
      <c r="E97" s="106"/>
      <c r="F97" s="30">
        <v>0</v>
      </c>
      <c r="G97" s="33">
        <f>-55.064</f>
        <v>-55.064</v>
      </c>
      <c r="H97" s="30">
        <f>+J96+F97+G97</f>
        <v>0</v>
      </c>
      <c r="I97" s="123"/>
      <c r="J97" s="30">
        <f t="shared" si="85"/>
        <v>0</v>
      </c>
      <c r="K97" s="24" t="e">
        <f t="shared" si="86"/>
        <v>#DIV/0!</v>
      </c>
      <c r="L97" s="174"/>
      <c r="M97" s="174"/>
      <c r="N97" s="174"/>
      <c r="O97" s="174"/>
      <c r="P97" s="175"/>
      <c r="Q97" s="176"/>
    </row>
    <row r="98" spans="2:17">
      <c r="B98" s="187"/>
      <c r="C98" s="177" t="s">
        <v>209</v>
      </c>
      <c r="D98" s="25" t="s">
        <v>0</v>
      </c>
      <c r="E98" s="106"/>
      <c r="F98" s="30">
        <v>0</v>
      </c>
      <c r="G98" s="126">
        <f>44.051</f>
        <v>44.051000000000002</v>
      </c>
      <c r="H98" s="30">
        <f>+F98+G98</f>
        <v>44.051000000000002</v>
      </c>
      <c r="I98" s="123"/>
      <c r="J98" s="30">
        <f t="shared" ref="J98:J99" si="88">+H98-I98</f>
        <v>44.051000000000002</v>
      </c>
      <c r="K98" s="24">
        <f t="shared" ref="K98:K99" si="89">I98/H98</f>
        <v>0</v>
      </c>
      <c r="L98" s="174">
        <f>F98+F99</f>
        <v>0</v>
      </c>
      <c r="M98" s="174">
        <f>G98+G99</f>
        <v>44.051000000000002</v>
      </c>
      <c r="N98" s="174">
        <f>L98+M98</f>
        <v>44.051000000000002</v>
      </c>
      <c r="O98" s="174">
        <f>I98+I99</f>
        <v>0</v>
      </c>
      <c r="P98" s="175">
        <f>N98-O98</f>
        <v>44.051000000000002</v>
      </c>
      <c r="Q98" s="176">
        <f t="shared" ref="Q98" si="90">O98/N98</f>
        <v>0</v>
      </c>
    </row>
    <row r="99" spans="2:17">
      <c r="B99" s="187"/>
      <c r="C99" s="177"/>
      <c r="D99" s="25" t="s">
        <v>1</v>
      </c>
      <c r="E99" s="106"/>
      <c r="F99" s="30">
        <v>0</v>
      </c>
      <c r="G99" s="33"/>
      <c r="H99" s="30">
        <f>+J98+F99+G99</f>
        <v>44.051000000000002</v>
      </c>
      <c r="I99" s="123"/>
      <c r="J99" s="30">
        <f t="shared" si="88"/>
        <v>44.051000000000002</v>
      </c>
      <c r="K99" s="24">
        <f t="shared" si="89"/>
        <v>0</v>
      </c>
      <c r="L99" s="174"/>
      <c r="M99" s="174"/>
      <c r="N99" s="174"/>
      <c r="O99" s="174"/>
      <c r="P99" s="175"/>
      <c r="Q99" s="176"/>
    </row>
    <row r="100" spans="2:17" hidden="1">
      <c r="B100" s="187"/>
      <c r="C100" s="177" t="s">
        <v>210</v>
      </c>
      <c r="D100" s="25" t="s">
        <v>0</v>
      </c>
      <c r="E100" s="106"/>
      <c r="F100" s="30">
        <v>0</v>
      </c>
      <c r="G100" s="33"/>
      <c r="H100" s="30">
        <f>+F100+G100</f>
        <v>0</v>
      </c>
      <c r="I100" s="123"/>
      <c r="J100" s="30">
        <f t="shared" ref="J100:J101" si="91">+H100-I100</f>
        <v>0</v>
      </c>
      <c r="K100" s="24" t="e">
        <f t="shared" ref="K100:K101" si="92">I100/H100</f>
        <v>#DIV/0!</v>
      </c>
      <c r="L100" s="174">
        <f>F100+F101</f>
        <v>0</v>
      </c>
      <c r="M100" s="174">
        <f>G100+G101</f>
        <v>0</v>
      </c>
      <c r="N100" s="174">
        <f>L100+M100</f>
        <v>0</v>
      </c>
      <c r="O100" s="174">
        <f>I100+I101</f>
        <v>0</v>
      </c>
      <c r="P100" s="175">
        <f>N100-O100</f>
        <v>0</v>
      </c>
      <c r="Q100" s="176" t="e">
        <f t="shared" ref="Q100" si="93">O100/N100</f>
        <v>#DIV/0!</v>
      </c>
    </row>
    <row r="101" spans="2:17" hidden="1">
      <c r="B101" s="187"/>
      <c r="C101" s="177"/>
      <c r="D101" s="25" t="s">
        <v>1</v>
      </c>
      <c r="E101" s="106"/>
      <c r="F101" s="30">
        <v>0</v>
      </c>
      <c r="G101" s="33"/>
      <c r="H101" s="30">
        <f>+J100+F101+G101</f>
        <v>0</v>
      </c>
      <c r="I101" s="123"/>
      <c r="J101" s="30">
        <f t="shared" si="91"/>
        <v>0</v>
      </c>
      <c r="K101" s="24" t="e">
        <f t="shared" si="92"/>
        <v>#DIV/0!</v>
      </c>
      <c r="L101" s="174"/>
      <c r="M101" s="174"/>
      <c r="N101" s="174"/>
      <c r="O101" s="174"/>
      <c r="P101" s="175"/>
      <c r="Q101" s="176"/>
    </row>
    <row r="102" spans="2:17" hidden="1">
      <c r="B102" s="187"/>
      <c r="C102" s="177" t="s">
        <v>225</v>
      </c>
      <c r="D102" s="113" t="s">
        <v>0</v>
      </c>
      <c r="E102" s="110"/>
      <c r="F102" s="111">
        <v>0</v>
      </c>
      <c r="G102" s="112">
        <v>0</v>
      </c>
      <c r="H102" s="111">
        <f>+F102+G102</f>
        <v>0</v>
      </c>
      <c r="I102" s="123"/>
      <c r="J102" s="111">
        <f t="shared" ref="J102:J103" si="94">+H102-I102</f>
        <v>0</v>
      </c>
      <c r="K102" s="24" t="e">
        <f t="shared" ref="K102:K103" si="95">I102/H102</f>
        <v>#DIV/0!</v>
      </c>
      <c r="L102" s="174">
        <f>F102+F103</f>
        <v>0</v>
      </c>
      <c r="M102" s="174">
        <f>G102+G103</f>
        <v>0</v>
      </c>
      <c r="N102" s="174">
        <f>L102+M102</f>
        <v>0</v>
      </c>
      <c r="O102" s="174">
        <f>I102+I103</f>
        <v>0</v>
      </c>
      <c r="P102" s="175">
        <f>N102-O102</f>
        <v>0</v>
      </c>
      <c r="Q102" s="176" t="e">
        <f t="shared" ref="Q102" si="96">O102/N102</f>
        <v>#DIV/0!</v>
      </c>
    </row>
    <row r="103" spans="2:17" hidden="1">
      <c r="B103" s="187"/>
      <c r="C103" s="177"/>
      <c r="D103" s="113" t="s">
        <v>1</v>
      </c>
      <c r="E103" s="110"/>
      <c r="F103" s="111">
        <v>0</v>
      </c>
      <c r="G103" s="112"/>
      <c r="H103" s="111">
        <f>+J102+F103+G103</f>
        <v>0</v>
      </c>
      <c r="I103" s="123"/>
      <c r="J103" s="111">
        <f t="shared" si="94"/>
        <v>0</v>
      </c>
      <c r="K103" s="24" t="e">
        <f t="shared" si="95"/>
        <v>#DIV/0!</v>
      </c>
      <c r="L103" s="174"/>
      <c r="M103" s="174"/>
      <c r="N103" s="174"/>
      <c r="O103" s="174"/>
      <c r="P103" s="175"/>
      <c r="Q103" s="176"/>
    </row>
    <row r="104" spans="2:17" hidden="1">
      <c r="B104" s="187"/>
      <c r="C104" s="177" t="s">
        <v>227</v>
      </c>
      <c r="D104" s="118" t="s">
        <v>0</v>
      </c>
      <c r="E104" s="114"/>
      <c r="F104" s="115">
        <v>0</v>
      </c>
      <c r="G104" s="116">
        <v>0</v>
      </c>
      <c r="H104" s="115">
        <f>+F104+G104</f>
        <v>0</v>
      </c>
      <c r="I104" s="123"/>
      <c r="J104" s="115">
        <f t="shared" ref="J104:J105" si="97">+H104-I104</f>
        <v>0</v>
      </c>
      <c r="K104" s="24" t="e">
        <f t="shared" ref="K104:K105" si="98">I104/H104</f>
        <v>#DIV/0!</v>
      </c>
      <c r="L104" s="174">
        <f>F104+F105</f>
        <v>0</v>
      </c>
      <c r="M104" s="174">
        <f>G104+G105</f>
        <v>0</v>
      </c>
      <c r="N104" s="174">
        <f>L104+M104</f>
        <v>0</v>
      </c>
      <c r="O104" s="174">
        <f>I104+I105</f>
        <v>0</v>
      </c>
      <c r="P104" s="175">
        <f>N104-O104</f>
        <v>0</v>
      </c>
      <c r="Q104" s="176" t="e">
        <f t="shared" ref="Q104" si="99">O104/N104</f>
        <v>#DIV/0!</v>
      </c>
    </row>
    <row r="105" spans="2:17" hidden="1">
      <c r="B105" s="187"/>
      <c r="C105" s="177"/>
      <c r="D105" s="118" t="s">
        <v>1</v>
      </c>
      <c r="E105" s="114"/>
      <c r="F105" s="115">
        <v>0</v>
      </c>
      <c r="G105" s="116"/>
      <c r="H105" s="115">
        <f>+J104+F105+G105</f>
        <v>0</v>
      </c>
      <c r="I105" s="123"/>
      <c r="J105" s="115">
        <f t="shared" si="97"/>
        <v>0</v>
      </c>
      <c r="K105" s="24" t="e">
        <f t="shared" si="98"/>
        <v>#DIV/0!</v>
      </c>
      <c r="L105" s="174"/>
      <c r="M105" s="174"/>
      <c r="N105" s="174"/>
      <c r="O105" s="174"/>
      <c r="P105" s="175"/>
      <c r="Q105" s="176"/>
    </row>
    <row r="106" spans="2:17" hidden="1">
      <c r="B106" s="187"/>
      <c r="C106" s="177" t="s">
        <v>224</v>
      </c>
      <c r="D106" s="118" t="s">
        <v>0</v>
      </c>
      <c r="E106" s="114"/>
      <c r="F106" s="115">
        <v>0</v>
      </c>
      <c r="G106" s="116">
        <v>0</v>
      </c>
      <c r="H106" s="115">
        <f>+F106+G106</f>
        <v>0</v>
      </c>
      <c r="I106" s="123"/>
      <c r="J106" s="115">
        <f t="shared" ref="J106:J107" si="100">+H106-I106</f>
        <v>0</v>
      </c>
      <c r="K106" s="24" t="e">
        <f t="shared" ref="K106:K107" si="101">I106/H106</f>
        <v>#DIV/0!</v>
      </c>
      <c r="L106" s="174">
        <f>F106+F107</f>
        <v>0</v>
      </c>
      <c r="M106" s="174">
        <f>G106+G107</f>
        <v>0</v>
      </c>
      <c r="N106" s="174">
        <f>L106+M106</f>
        <v>0</v>
      </c>
      <c r="O106" s="174">
        <f>I106+I107</f>
        <v>0</v>
      </c>
      <c r="P106" s="175">
        <f>N106-O106</f>
        <v>0</v>
      </c>
      <c r="Q106" s="176" t="e">
        <f t="shared" ref="Q106" si="102">O106/N106</f>
        <v>#DIV/0!</v>
      </c>
    </row>
    <row r="107" spans="2:17" hidden="1">
      <c r="B107" s="187"/>
      <c r="C107" s="177"/>
      <c r="D107" s="118" t="s">
        <v>1</v>
      </c>
      <c r="E107" s="114"/>
      <c r="F107" s="115">
        <v>0</v>
      </c>
      <c r="G107" s="116"/>
      <c r="H107" s="115">
        <f>+J106+F107+G107</f>
        <v>0</v>
      </c>
      <c r="I107" s="123"/>
      <c r="J107" s="115">
        <f t="shared" si="100"/>
        <v>0</v>
      </c>
      <c r="K107" s="24" t="e">
        <f t="shared" si="101"/>
        <v>#DIV/0!</v>
      </c>
      <c r="L107" s="174"/>
      <c r="M107" s="174"/>
      <c r="N107" s="174"/>
      <c r="O107" s="174"/>
      <c r="P107" s="175"/>
      <c r="Q107" s="176"/>
    </row>
    <row r="108" spans="2:17" hidden="1">
      <c r="B108" s="187"/>
      <c r="C108" s="177" t="s">
        <v>228</v>
      </c>
      <c r="D108" s="118" t="s">
        <v>0</v>
      </c>
      <c r="E108" s="114"/>
      <c r="F108" s="115">
        <v>0</v>
      </c>
      <c r="G108" s="116">
        <v>0</v>
      </c>
      <c r="H108" s="115">
        <f>+F108+G108</f>
        <v>0</v>
      </c>
      <c r="I108" s="123"/>
      <c r="J108" s="115">
        <f t="shared" ref="J108:J109" si="103">+H108-I108</f>
        <v>0</v>
      </c>
      <c r="K108" s="24" t="e">
        <f t="shared" ref="K108:K109" si="104">I108/H108</f>
        <v>#DIV/0!</v>
      </c>
      <c r="L108" s="174">
        <f>F108+F109</f>
        <v>0</v>
      </c>
      <c r="M108" s="174">
        <f>G108+G109</f>
        <v>0</v>
      </c>
      <c r="N108" s="174">
        <f>L108+M108</f>
        <v>0</v>
      </c>
      <c r="O108" s="174">
        <f>I108+I109</f>
        <v>0</v>
      </c>
      <c r="P108" s="175">
        <f>N108-O108</f>
        <v>0</v>
      </c>
      <c r="Q108" s="176" t="e">
        <f t="shared" ref="Q108" si="105">O108/N108</f>
        <v>#DIV/0!</v>
      </c>
    </row>
    <row r="109" spans="2:17" hidden="1">
      <c r="B109" s="187"/>
      <c r="C109" s="177"/>
      <c r="D109" s="118" t="s">
        <v>1</v>
      </c>
      <c r="E109" s="114"/>
      <c r="F109" s="115">
        <v>0</v>
      </c>
      <c r="G109" s="116"/>
      <c r="H109" s="115">
        <f>+J108+F109+G109</f>
        <v>0</v>
      </c>
      <c r="I109" s="123"/>
      <c r="J109" s="115">
        <f t="shared" si="103"/>
        <v>0</v>
      </c>
      <c r="K109" s="24" t="e">
        <f t="shared" si="104"/>
        <v>#DIV/0!</v>
      </c>
      <c r="L109" s="174"/>
      <c r="M109" s="174"/>
      <c r="N109" s="174"/>
      <c r="O109" s="174"/>
      <c r="P109" s="175"/>
      <c r="Q109" s="176"/>
    </row>
    <row r="110" spans="2:17" hidden="1">
      <c r="B110" s="187"/>
      <c r="C110" s="177" t="s">
        <v>229</v>
      </c>
      <c r="D110" s="118" t="s">
        <v>0</v>
      </c>
      <c r="E110" s="114"/>
      <c r="F110" s="115">
        <v>0</v>
      </c>
      <c r="G110" s="116">
        <v>0</v>
      </c>
      <c r="H110" s="115">
        <f>+F110+G110</f>
        <v>0</v>
      </c>
      <c r="I110" s="123"/>
      <c r="J110" s="115">
        <f t="shared" ref="J110:J111" si="106">+H110-I110</f>
        <v>0</v>
      </c>
      <c r="K110" s="24" t="e">
        <f t="shared" ref="K110:K111" si="107">I110/H110</f>
        <v>#DIV/0!</v>
      </c>
      <c r="L110" s="174">
        <f>F110+F111</f>
        <v>0</v>
      </c>
      <c r="M110" s="174">
        <f>G110+G111</f>
        <v>0</v>
      </c>
      <c r="N110" s="174">
        <f>L110+M110</f>
        <v>0</v>
      </c>
      <c r="O110" s="174">
        <f>I110+I111</f>
        <v>0</v>
      </c>
      <c r="P110" s="175">
        <f>N110-O110</f>
        <v>0</v>
      </c>
      <c r="Q110" s="176" t="e">
        <f t="shared" ref="Q110" si="108">O110/N110</f>
        <v>#DIV/0!</v>
      </c>
    </row>
    <row r="111" spans="2:17" hidden="1">
      <c r="B111" s="187"/>
      <c r="C111" s="177"/>
      <c r="D111" s="118" t="s">
        <v>1</v>
      </c>
      <c r="E111" s="114"/>
      <c r="F111" s="115">
        <v>0</v>
      </c>
      <c r="G111" s="116"/>
      <c r="H111" s="115">
        <f>+J110+F111+G111</f>
        <v>0</v>
      </c>
      <c r="I111" s="123"/>
      <c r="J111" s="115">
        <f t="shared" si="106"/>
        <v>0</v>
      </c>
      <c r="K111" s="24" t="e">
        <f t="shared" si="107"/>
        <v>#DIV/0!</v>
      </c>
      <c r="L111" s="174"/>
      <c r="M111" s="174"/>
      <c r="N111" s="174"/>
      <c r="O111" s="174"/>
      <c r="P111" s="175"/>
      <c r="Q111" s="176"/>
    </row>
    <row r="112" spans="2:17" hidden="1">
      <c r="B112" s="187"/>
      <c r="C112" s="177" t="s">
        <v>232</v>
      </c>
      <c r="D112" s="122" t="s">
        <v>0</v>
      </c>
      <c r="E112" s="119"/>
      <c r="F112" s="120">
        <v>0</v>
      </c>
      <c r="G112" s="121">
        <v>0</v>
      </c>
      <c r="H112" s="120">
        <f>+F112+G112</f>
        <v>0</v>
      </c>
      <c r="I112" s="123"/>
      <c r="J112" s="120">
        <f t="shared" ref="J112:J113" si="109">+H112-I112</f>
        <v>0</v>
      </c>
      <c r="K112" s="24" t="e">
        <f t="shared" ref="K112:K113" si="110">I112/H112</f>
        <v>#DIV/0!</v>
      </c>
      <c r="L112" s="174">
        <f>F112+F113</f>
        <v>0</v>
      </c>
      <c r="M112" s="174">
        <f>G112+G113</f>
        <v>0</v>
      </c>
      <c r="N112" s="174">
        <f>L112+M112</f>
        <v>0</v>
      </c>
      <c r="O112" s="174">
        <f>I112+I113</f>
        <v>0</v>
      </c>
      <c r="P112" s="175">
        <f>N112-O112</f>
        <v>0</v>
      </c>
      <c r="Q112" s="176" t="e">
        <f t="shared" ref="Q112" si="111">O112/N112</f>
        <v>#DIV/0!</v>
      </c>
    </row>
    <row r="113" spans="2:17" hidden="1">
      <c r="B113" s="187"/>
      <c r="C113" s="177"/>
      <c r="D113" s="122" t="s">
        <v>1</v>
      </c>
      <c r="E113" s="119"/>
      <c r="F113" s="120">
        <v>0</v>
      </c>
      <c r="G113" s="121"/>
      <c r="H113" s="120">
        <f>+J112+F113+G113</f>
        <v>0</v>
      </c>
      <c r="I113" s="123"/>
      <c r="J113" s="120">
        <f t="shared" si="109"/>
        <v>0</v>
      </c>
      <c r="K113" s="24" t="e">
        <f t="shared" si="110"/>
        <v>#DIV/0!</v>
      </c>
      <c r="L113" s="174"/>
      <c r="M113" s="174"/>
      <c r="N113" s="174"/>
      <c r="O113" s="174"/>
      <c r="P113" s="175"/>
      <c r="Q113" s="176"/>
    </row>
    <row r="114" spans="2:17">
      <c r="B114" s="187"/>
      <c r="C114" s="188" t="s">
        <v>97</v>
      </c>
      <c r="D114" s="78" t="s">
        <v>0</v>
      </c>
      <c r="E114" s="180">
        <f>SUM(E66:E93)</f>
        <v>1.0000000999999998</v>
      </c>
      <c r="F114" s="31">
        <f>F66+F68+F70+F72+F74+F76+F78+F80+F82+F84+F86+F88+F90+F92+F94+F96+F98+F100+F102+F104+F106+F108+F110+F112</f>
        <v>359750.03597500001</v>
      </c>
      <c r="G114" s="31">
        <f>G66+G68+G70+G72+G74+G76+G78+G80+G82+G84+G86+G88+G90+G92+G94+G96+G98+G100+G102+G104+G106+G108+G110+G112</f>
        <v>97010.564000000013</v>
      </c>
      <c r="H114" s="31">
        <f>+F114+G114</f>
        <v>456760.59997500002</v>
      </c>
      <c r="I114" s="31">
        <f>I66+I68+I70+I72+I74+I76+I78+I80+I82+I84+I86+I88+I90+I92+I94+I96+I98+I100+I102</f>
        <v>455128.51</v>
      </c>
      <c r="J114" s="31">
        <f t="shared" si="78"/>
        <v>1632.0899750000099</v>
      </c>
      <c r="K114" s="27">
        <f t="shared" si="66"/>
        <v>0.9964268153271334</v>
      </c>
      <c r="L114" s="181">
        <f>F114+F115</f>
        <v>367092.03670920001</v>
      </c>
      <c r="M114" s="181">
        <f>G114+G115</f>
        <v>97828.564000000013</v>
      </c>
      <c r="N114" s="181">
        <f>L114+M114</f>
        <v>464920.60070920002</v>
      </c>
      <c r="O114" s="181">
        <f>I114+I115</f>
        <v>455140.56300000002</v>
      </c>
      <c r="P114" s="197">
        <f>N114-O114</f>
        <v>9780.0377091999981</v>
      </c>
      <c r="Q114" s="184">
        <f t="shared" ref="Q114" si="112">O114/N114</f>
        <v>0.97896406893073507</v>
      </c>
    </row>
    <row r="115" spans="2:17">
      <c r="B115" s="179"/>
      <c r="C115" s="189"/>
      <c r="D115" s="26" t="s">
        <v>1</v>
      </c>
      <c r="E115" s="180"/>
      <c r="F115" s="79">
        <f>F67+F69+F71+F73+F75+F77+F79+F81+F83+F85+F87+F89+F91+F93+F95+F97+F99+F101+F103+F105+F107+F109+F111+F113</f>
        <v>7342.0007342000017</v>
      </c>
      <c r="G115" s="31">
        <f>G67+G69+G71+G73+G75+G77+G79+G81+G83+G85+G87+G89+G91+G93+G95+G97+G99+G101+G103+G105+G107+G109+G111+G113</f>
        <v>818</v>
      </c>
      <c r="H115" s="31">
        <f>+J114+F115+G115</f>
        <v>9792.0907092000125</v>
      </c>
      <c r="I115" s="31">
        <f>I67+I69+I71+I73+I75+I77+I79+I81+I83+I85+I87+I89+I91+I93+I95+I97+I99+I101+I103</f>
        <v>12.053000000000001</v>
      </c>
      <c r="J115" s="31">
        <f t="shared" si="78"/>
        <v>9780.0377092000126</v>
      </c>
      <c r="K115" s="27">
        <f t="shared" si="66"/>
        <v>1.230891375288812E-3</v>
      </c>
      <c r="L115" s="181"/>
      <c r="M115" s="181"/>
      <c r="N115" s="181"/>
      <c r="O115" s="181"/>
      <c r="P115" s="197"/>
      <c r="Q115" s="184"/>
    </row>
    <row r="116" spans="2:17">
      <c r="B116" s="47"/>
      <c r="C116" s="69" t="s">
        <v>182</v>
      </c>
      <c r="D116" s="33">
        <v>359750</v>
      </c>
      <c r="E116" s="41"/>
      <c r="F116" s="73"/>
      <c r="G116" s="73"/>
      <c r="H116" s="73"/>
      <c r="I116" s="73"/>
      <c r="J116" s="73"/>
      <c r="K116" s="74"/>
      <c r="L116" s="75"/>
      <c r="M116" s="75"/>
      <c r="N116" s="75"/>
      <c r="O116" s="75"/>
      <c r="P116" s="76"/>
      <c r="Q116" s="77"/>
    </row>
    <row r="117" spans="2:17" ht="15" customHeight="1">
      <c r="B117" s="47"/>
      <c r="C117" s="26" t="s">
        <v>183</v>
      </c>
      <c r="D117" s="33">
        <v>7342</v>
      </c>
      <c r="E117" s="45"/>
      <c r="F117" s="42"/>
      <c r="H117" s="42"/>
      <c r="J117" s="42"/>
      <c r="K117" s="43"/>
      <c r="L117" s="42"/>
      <c r="M117" s="42"/>
      <c r="N117" s="42"/>
      <c r="O117" s="42"/>
      <c r="P117" s="48"/>
      <c r="Q117" s="49"/>
    </row>
    <row r="118" spans="2:17" ht="15" customHeight="1">
      <c r="C118" s="46"/>
      <c r="D118" s="45"/>
      <c r="E118" s="45"/>
      <c r="F118" s="50"/>
      <c r="G118" s="50"/>
      <c r="H118" s="45"/>
      <c r="I118" s="50"/>
      <c r="J118" s="45"/>
      <c r="K118" s="45"/>
      <c r="L118" s="45"/>
      <c r="M118" s="50"/>
      <c r="N118" s="45"/>
      <c r="O118" s="45"/>
      <c r="P118" s="45"/>
      <c r="Q118" s="45"/>
    </row>
    <row r="119" spans="2:17">
      <c r="B119" s="178" t="s">
        <v>69</v>
      </c>
      <c r="C119" s="177" t="s">
        <v>12</v>
      </c>
      <c r="D119" s="25" t="s">
        <v>0</v>
      </c>
      <c r="E119" s="180">
        <v>9.7685499999999995E-2</v>
      </c>
      <c r="F119" s="30">
        <f>E119*$D$163</f>
        <v>4893.8481789999996</v>
      </c>
      <c r="G119" s="30">
        <f>-4990</f>
        <v>-4990</v>
      </c>
      <c r="H119" s="30">
        <f>F119+G119</f>
        <v>-96.151821000000382</v>
      </c>
      <c r="I119" s="30"/>
      <c r="J119" s="30">
        <f t="shared" si="73"/>
        <v>-96.151821000000382</v>
      </c>
      <c r="K119" s="24">
        <f t="shared" si="66"/>
        <v>0</v>
      </c>
      <c r="L119" s="174">
        <f>F119+F120</f>
        <v>4993.6827599999997</v>
      </c>
      <c r="M119" s="174">
        <f>G119+G120</f>
        <v>-4990</v>
      </c>
      <c r="N119" s="174">
        <f>L119+M119</f>
        <v>3.6827599999996892</v>
      </c>
      <c r="O119" s="174">
        <f>I119+I120</f>
        <v>0</v>
      </c>
      <c r="P119" s="175">
        <f>N119-O119</f>
        <v>3.6827599999996892</v>
      </c>
      <c r="Q119" s="176">
        <f>O119/N119</f>
        <v>0</v>
      </c>
    </row>
    <row r="120" spans="2:17">
      <c r="B120" s="187"/>
      <c r="C120" s="177"/>
      <c r="D120" s="25" t="s">
        <v>1</v>
      </c>
      <c r="E120" s="180"/>
      <c r="F120" s="30">
        <f>E119*$D$164</f>
        <v>99.834581</v>
      </c>
      <c r="G120" s="30"/>
      <c r="H120" s="30">
        <f>F120+G120+J119</f>
        <v>3.6827599999996181</v>
      </c>
      <c r="I120" s="30"/>
      <c r="J120" s="30">
        <f t="shared" si="73"/>
        <v>3.6827599999996181</v>
      </c>
      <c r="K120" s="24">
        <f t="shared" si="66"/>
        <v>0</v>
      </c>
      <c r="L120" s="174"/>
      <c r="M120" s="174"/>
      <c r="N120" s="174"/>
      <c r="O120" s="174"/>
      <c r="P120" s="175"/>
      <c r="Q120" s="176"/>
    </row>
    <row r="121" spans="2:17">
      <c r="B121" s="187"/>
      <c r="C121" s="177" t="s">
        <v>5</v>
      </c>
      <c r="D121" s="25" t="s">
        <v>0</v>
      </c>
      <c r="E121" s="152">
        <v>8.6379999999999996E-4</v>
      </c>
      <c r="F121" s="30">
        <f>E121*$D$163</f>
        <v>43.274652400000001</v>
      </c>
      <c r="G121" s="30"/>
      <c r="H121" s="30">
        <f>F121+G121</f>
        <v>43.274652400000001</v>
      </c>
      <c r="I121" s="30"/>
      <c r="J121" s="30">
        <f t="shared" si="73"/>
        <v>43.274652400000001</v>
      </c>
      <c r="K121" s="24">
        <f t="shared" si="66"/>
        <v>0</v>
      </c>
      <c r="L121" s="174">
        <f>F121+F122</f>
        <v>44.157456000000003</v>
      </c>
      <c r="M121" s="174">
        <f>G121+G122</f>
        <v>0</v>
      </c>
      <c r="N121" s="174">
        <f>L121+M121</f>
        <v>44.157456000000003</v>
      </c>
      <c r="O121" s="174">
        <f>I121+I122</f>
        <v>0</v>
      </c>
      <c r="P121" s="175">
        <f>N121-O121</f>
        <v>44.157456000000003</v>
      </c>
      <c r="Q121" s="176">
        <f t="shared" ref="Q121" si="113">O121/N121</f>
        <v>0</v>
      </c>
    </row>
    <row r="122" spans="2:17">
      <c r="B122" s="187"/>
      <c r="C122" s="177"/>
      <c r="D122" s="25" t="s">
        <v>1</v>
      </c>
      <c r="E122" s="154"/>
      <c r="F122" s="30">
        <f>E121*$D$164</f>
        <v>0.88280359999999991</v>
      </c>
      <c r="G122" s="30"/>
      <c r="H122" s="30">
        <f>F122+G122+J121</f>
        <v>44.157456000000003</v>
      </c>
      <c r="I122" s="30"/>
      <c r="J122" s="30">
        <f t="shared" si="73"/>
        <v>44.157456000000003</v>
      </c>
      <c r="K122" s="24">
        <f t="shared" si="66"/>
        <v>0</v>
      </c>
      <c r="L122" s="174"/>
      <c r="M122" s="174"/>
      <c r="N122" s="174"/>
      <c r="O122" s="174"/>
      <c r="P122" s="175"/>
      <c r="Q122" s="176"/>
    </row>
    <row r="123" spans="2:17">
      <c r="B123" s="187"/>
      <c r="C123" s="177" t="s">
        <v>11</v>
      </c>
      <c r="D123" s="25" t="s">
        <v>0</v>
      </c>
      <c r="E123" s="152">
        <v>0.1381366</v>
      </c>
      <c r="F123" s="30">
        <f>E123*$D$163</f>
        <v>6920.3673867999996</v>
      </c>
      <c r="G123" s="30">
        <f>-1226.88-5809.563+248.121-248.121</f>
        <v>-7036.4430000000002</v>
      </c>
      <c r="H123" s="30">
        <f>F123+G123</f>
        <v>-116.07561320000059</v>
      </c>
      <c r="I123" s="30"/>
      <c r="J123" s="30">
        <f t="shared" si="73"/>
        <v>-116.07561320000059</v>
      </c>
      <c r="K123" s="24">
        <f t="shared" si="66"/>
        <v>0</v>
      </c>
      <c r="L123" s="174">
        <f>F123+F124</f>
        <v>7061.5429919999997</v>
      </c>
      <c r="M123" s="174">
        <f>G123+G124</f>
        <v>-7036.4430000000002</v>
      </c>
      <c r="N123" s="174">
        <f>L123+M123</f>
        <v>25.099991999999475</v>
      </c>
      <c r="O123" s="174">
        <f>I123+I124</f>
        <v>0</v>
      </c>
      <c r="P123" s="175">
        <f>N123-O123</f>
        <v>25.099991999999475</v>
      </c>
      <c r="Q123" s="176">
        <f t="shared" ref="Q123" si="114">O123/N123</f>
        <v>0</v>
      </c>
    </row>
    <row r="124" spans="2:17">
      <c r="B124" s="187"/>
      <c r="C124" s="177"/>
      <c r="D124" s="25" t="s">
        <v>1</v>
      </c>
      <c r="E124" s="154"/>
      <c r="F124" s="30">
        <f>E123*$D$164</f>
        <v>141.17560520000001</v>
      </c>
      <c r="G124" s="30"/>
      <c r="H124" s="30">
        <f>F124+G124+J123</f>
        <v>25.099991999999418</v>
      </c>
      <c r="I124" s="30"/>
      <c r="J124" s="30">
        <f t="shared" si="73"/>
        <v>25.099991999999418</v>
      </c>
      <c r="K124" s="24">
        <f t="shared" si="66"/>
        <v>0</v>
      </c>
      <c r="L124" s="174"/>
      <c r="M124" s="174"/>
      <c r="N124" s="174"/>
      <c r="O124" s="174"/>
      <c r="P124" s="175"/>
      <c r="Q124" s="176"/>
    </row>
    <row r="125" spans="2:17">
      <c r="B125" s="187"/>
      <c r="C125" s="177" t="s">
        <v>100</v>
      </c>
      <c r="D125" s="25" t="s">
        <v>0</v>
      </c>
      <c r="E125" s="152">
        <v>3.4E-5</v>
      </c>
      <c r="F125" s="30">
        <f>E125*$D$163</f>
        <v>1.7033320000000001</v>
      </c>
      <c r="G125" s="30"/>
      <c r="H125" s="30">
        <f>F125+G125</f>
        <v>1.7033320000000001</v>
      </c>
      <c r="I125" s="30"/>
      <c r="J125" s="30">
        <f t="shared" si="73"/>
        <v>1.7033320000000001</v>
      </c>
      <c r="K125" s="24">
        <f t="shared" si="66"/>
        <v>0</v>
      </c>
      <c r="L125" s="174">
        <f>F125+F126</f>
        <v>1.7380800000000001</v>
      </c>
      <c r="M125" s="174">
        <f>G125+G126</f>
        <v>0</v>
      </c>
      <c r="N125" s="174">
        <f>L125+M125</f>
        <v>1.7380800000000001</v>
      </c>
      <c r="O125" s="174">
        <f>I125+I126</f>
        <v>0</v>
      </c>
      <c r="P125" s="175">
        <f>N125-O125</f>
        <v>1.7380800000000001</v>
      </c>
      <c r="Q125" s="176">
        <f t="shared" ref="Q125" si="115">O125/N125</f>
        <v>0</v>
      </c>
    </row>
    <row r="126" spans="2:17">
      <c r="B126" s="187"/>
      <c r="C126" s="177"/>
      <c r="D126" s="25" t="s">
        <v>1</v>
      </c>
      <c r="E126" s="154"/>
      <c r="F126" s="30">
        <f>E125*$D$164</f>
        <v>3.4748000000000001E-2</v>
      </c>
      <c r="G126" s="30"/>
      <c r="H126" s="30">
        <f>F126+G126+J125</f>
        <v>1.7380800000000001</v>
      </c>
      <c r="I126" s="30"/>
      <c r="J126" s="30">
        <f t="shared" si="73"/>
        <v>1.7380800000000001</v>
      </c>
      <c r="K126" s="24">
        <f t="shared" si="66"/>
        <v>0</v>
      </c>
      <c r="L126" s="174"/>
      <c r="M126" s="174"/>
      <c r="N126" s="174"/>
      <c r="O126" s="174"/>
      <c r="P126" s="175"/>
      <c r="Q126" s="176"/>
    </row>
    <row r="127" spans="2:17">
      <c r="B127" s="187"/>
      <c r="C127" s="177" t="s">
        <v>6</v>
      </c>
      <c r="D127" s="25" t="s">
        <v>0</v>
      </c>
      <c r="E127" s="152">
        <v>0.2075794</v>
      </c>
      <c r="F127" s="30">
        <f>E127*$D$163</f>
        <v>10399.3127812</v>
      </c>
      <c r="G127" s="30">
        <f>-7000-3000</f>
        <v>-10000</v>
      </c>
      <c r="H127" s="30">
        <f>F127+G127</f>
        <v>399.31278120000025</v>
      </c>
      <c r="I127" s="30"/>
      <c r="J127" s="30">
        <f t="shared" si="73"/>
        <v>399.31278120000025</v>
      </c>
      <c r="K127" s="24">
        <f t="shared" si="66"/>
        <v>0</v>
      </c>
      <c r="L127" s="174">
        <f>F127+F128</f>
        <v>10611.458928</v>
      </c>
      <c r="M127" s="174">
        <f>G127+G128</f>
        <v>-10567.22</v>
      </c>
      <c r="N127" s="174">
        <f>L127+M127</f>
        <v>44.238928000000669</v>
      </c>
      <c r="O127" s="174">
        <f>I127+I128</f>
        <v>0</v>
      </c>
      <c r="P127" s="175">
        <f>N127-O127</f>
        <v>44.238928000000669</v>
      </c>
      <c r="Q127" s="176">
        <f t="shared" ref="Q127:Q129" si="116">O127/N127</f>
        <v>0</v>
      </c>
    </row>
    <row r="128" spans="2:17">
      <c r="B128" s="187"/>
      <c r="C128" s="177"/>
      <c r="D128" s="25" t="s">
        <v>1</v>
      </c>
      <c r="E128" s="154"/>
      <c r="F128" s="30">
        <f>E127*$D$164</f>
        <v>212.1461468</v>
      </c>
      <c r="G128" s="30">
        <f>12.78-580</f>
        <v>-567.22</v>
      </c>
      <c r="H128" s="30">
        <f>F128+G128+J127</f>
        <v>44.238928000000215</v>
      </c>
      <c r="I128" s="30"/>
      <c r="J128" s="30">
        <f t="shared" si="73"/>
        <v>44.238928000000215</v>
      </c>
      <c r="K128" s="24">
        <f t="shared" si="66"/>
        <v>0</v>
      </c>
      <c r="L128" s="174"/>
      <c r="M128" s="174"/>
      <c r="N128" s="174"/>
      <c r="O128" s="174"/>
      <c r="P128" s="175"/>
      <c r="Q128" s="176"/>
    </row>
    <row r="129" spans="2:17">
      <c r="B129" s="187"/>
      <c r="C129" s="177" t="s">
        <v>174</v>
      </c>
      <c r="D129" s="25" t="s">
        <v>0</v>
      </c>
      <c r="E129" s="152">
        <v>4.8536999999999999E-3</v>
      </c>
      <c r="F129" s="30">
        <f>E129*$D$163</f>
        <v>243.16066259999999</v>
      </c>
      <c r="G129" s="30">
        <f>-248.121</f>
        <v>-248.12100000000001</v>
      </c>
      <c r="H129" s="30">
        <f>F129+G129</f>
        <v>-4.9603374000000144</v>
      </c>
      <c r="I129" s="30"/>
      <c r="J129" s="30">
        <f t="shared" si="73"/>
        <v>-4.9603374000000144</v>
      </c>
      <c r="K129" s="24">
        <f t="shared" si="66"/>
        <v>0</v>
      </c>
      <c r="L129" s="174">
        <f>F129+F130</f>
        <v>248.12114399999999</v>
      </c>
      <c r="M129" s="174">
        <f>G129+G130</f>
        <v>-248.12100000000001</v>
      </c>
      <c r="N129" s="174">
        <f>L129+M129</f>
        <v>1.4399999997749546E-4</v>
      </c>
      <c r="O129" s="174">
        <f>I129+I130</f>
        <v>0</v>
      </c>
      <c r="P129" s="175">
        <f>N129-O129</f>
        <v>1.4399999997749546E-4</v>
      </c>
      <c r="Q129" s="176">
        <f t="shared" si="116"/>
        <v>0</v>
      </c>
    </row>
    <row r="130" spans="2:17">
      <c r="B130" s="187"/>
      <c r="C130" s="177"/>
      <c r="D130" s="25" t="s">
        <v>1</v>
      </c>
      <c r="E130" s="154"/>
      <c r="F130" s="30">
        <f>E129*$D$164</f>
        <v>4.9604813999999999</v>
      </c>
      <c r="G130" s="30"/>
      <c r="H130" s="30">
        <f>F130+G130+J129</f>
        <v>1.4399999998548907E-4</v>
      </c>
      <c r="I130" s="30"/>
      <c r="J130" s="30">
        <f t="shared" si="73"/>
        <v>1.4399999998548907E-4</v>
      </c>
      <c r="K130" s="24">
        <f t="shared" si="66"/>
        <v>0</v>
      </c>
      <c r="L130" s="174"/>
      <c r="M130" s="174"/>
      <c r="N130" s="174"/>
      <c r="O130" s="174"/>
      <c r="P130" s="175"/>
      <c r="Q130" s="176"/>
    </row>
    <row r="131" spans="2:17">
      <c r="B131" s="187"/>
      <c r="C131" s="177" t="s">
        <v>13</v>
      </c>
      <c r="D131" s="25" t="s">
        <v>0</v>
      </c>
      <c r="E131" s="152">
        <v>6.3428999999999999E-2</v>
      </c>
      <c r="F131" s="30">
        <f>E131*$D$163</f>
        <v>3177.6660419999998</v>
      </c>
      <c r="G131" s="124">
        <f>-2322.33-910</f>
        <v>-3232.33</v>
      </c>
      <c r="H131" s="30">
        <f>F131+G131</f>
        <v>-54.663958000000093</v>
      </c>
      <c r="I131" s="30"/>
      <c r="J131" s="30">
        <f t="shared" si="73"/>
        <v>-54.663958000000093</v>
      </c>
      <c r="K131" s="24">
        <f t="shared" si="66"/>
        <v>0</v>
      </c>
      <c r="L131" s="174">
        <f>F131+F132</f>
        <v>3242.4904799999999</v>
      </c>
      <c r="M131" s="174">
        <f>G131+G132</f>
        <v>-3232.33</v>
      </c>
      <c r="N131" s="174">
        <f>L131+M131</f>
        <v>10.160480000000007</v>
      </c>
      <c r="O131" s="174">
        <f>I131+I132</f>
        <v>0</v>
      </c>
      <c r="P131" s="198">
        <f>N131-O131</f>
        <v>10.160480000000007</v>
      </c>
      <c r="Q131" s="176">
        <f>O131/N131</f>
        <v>0</v>
      </c>
    </row>
    <row r="132" spans="2:17">
      <c r="B132" s="187"/>
      <c r="C132" s="177"/>
      <c r="D132" s="25" t="s">
        <v>1</v>
      </c>
      <c r="E132" s="154"/>
      <c r="F132" s="30">
        <f>E131*$D$164</f>
        <v>64.824438000000001</v>
      </c>
      <c r="G132" s="30"/>
      <c r="H132" s="30">
        <f>F132+G132+J131</f>
        <v>10.160479999999907</v>
      </c>
      <c r="I132" s="30"/>
      <c r="J132" s="30">
        <f t="shared" si="73"/>
        <v>10.160479999999907</v>
      </c>
      <c r="K132" s="24">
        <f t="shared" si="66"/>
        <v>0</v>
      </c>
      <c r="L132" s="174"/>
      <c r="M132" s="174"/>
      <c r="N132" s="174"/>
      <c r="O132" s="174"/>
      <c r="P132" s="198"/>
      <c r="Q132" s="176"/>
    </row>
    <row r="133" spans="2:17">
      <c r="B133" s="187"/>
      <c r="C133" s="177" t="s">
        <v>7</v>
      </c>
      <c r="D133" s="25" t="s">
        <v>0</v>
      </c>
      <c r="E133" s="152">
        <v>9.9747500000000003E-2</v>
      </c>
      <c r="F133" s="30">
        <f>E133*$D$163</f>
        <v>4997.1502550000005</v>
      </c>
      <c r="G133" s="30">
        <f>-3099-2000</f>
        <v>-5099</v>
      </c>
      <c r="H133" s="30">
        <f>F133+G133</f>
        <v>-101.84974499999953</v>
      </c>
      <c r="I133" s="30"/>
      <c r="J133" s="30">
        <f t="shared" si="73"/>
        <v>-101.84974499999953</v>
      </c>
      <c r="K133" s="24">
        <f t="shared" si="66"/>
        <v>0</v>
      </c>
      <c r="L133" s="174">
        <f>F133+F134</f>
        <v>5099.0922</v>
      </c>
      <c r="M133" s="174">
        <f>G133+G134</f>
        <v>-5099</v>
      </c>
      <c r="N133" s="174">
        <f>L133+M133</f>
        <v>9.2200000000048021E-2</v>
      </c>
      <c r="O133" s="174">
        <f>I133+I134</f>
        <v>0</v>
      </c>
      <c r="P133" s="175">
        <f>N133-O133</f>
        <v>9.2200000000048021E-2</v>
      </c>
      <c r="Q133" s="176">
        <f t="shared" ref="Q133" si="117">O133/N133</f>
        <v>0</v>
      </c>
    </row>
    <row r="134" spans="2:17">
      <c r="B134" s="187"/>
      <c r="C134" s="177"/>
      <c r="D134" s="25" t="s">
        <v>1</v>
      </c>
      <c r="E134" s="154"/>
      <c r="F134" s="30">
        <f>E133*$D$164</f>
        <v>101.941945</v>
      </c>
      <c r="G134" s="30"/>
      <c r="H134" s="30">
        <f>F134+G134+J133</f>
        <v>9.2200000000474347E-2</v>
      </c>
      <c r="I134" s="30"/>
      <c r="J134" s="30">
        <f t="shared" si="73"/>
        <v>9.2200000000474347E-2</v>
      </c>
      <c r="K134" s="24">
        <f t="shared" si="66"/>
        <v>0</v>
      </c>
      <c r="L134" s="174"/>
      <c r="M134" s="174"/>
      <c r="N134" s="174"/>
      <c r="O134" s="174"/>
      <c r="P134" s="175"/>
      <c r="Q134" s="176"/>
    </row>
    <row r="135" spans="2:17">
      <c r="B135" s="187"/>
      <c r="C135" s="177" t="s">
        <v>41</v>
      </c>
      <c r="D135" s="25" t="s">
        <v>0</v>
      </c>
      <c r="E135" s="152">
        <v>8.4999999999999999E-6</v>
      </c>
      <c r="F135" s="30">
        <f>E135*$D$163</f>
        <v>0.42583300000000002</v>
      </c>
      <c r="G135" s="30"/>
      <c r="H135" s="30">
        <f>F135+G135</f>
        <v>0.42583300000000002</v>
      </c>
      <c r="I135" s="30"/>
      <c r="J135" s="30">
        <f t="shared" si="73"/>
        <v>0.42583300000000002</v>
      </c>
      <c r="K135" s="24">
        <f t="shared" si="66"/>
        <v>0</v>
      </c>
      <c r="L135" s="174">
        <f>F135+F136</f>
        <v>0.43452000000000002</v>
      </c>
      <c r="M135" s="174">
        <f>G135+G136</f>
        <v>0</v>
      </c>
      <c r="N135" s="174">
        <f>L135+M135</f>
        <v>0.43452000000000002</v>
      </c>
      <c r="O135" s="174">
        <f>I135+I136</f>
        <v>0</v>
      </c>
      <c r="P135" s="175">
        <f>N135-O135</f>
        <v>0.43452000000000002</v>
      </c>
      <c r="Q135" s="176">
        <f t="shared" ref="Q135" si="118">O135/N135</f>
        <v>0</v>
      </c>
    </row>
    <row r="136" spans="2:17">
      <c r="B136" s="187"/>
      <c r="C136" s="177"/>
      <c r="D136" s="25" t="s">
        <v>1</v>
      </c>
      <c r="E136" s="154"/>
      <c r="F136" s="30">
        <f>E135*$D$164</f>
        <v>8.6870000000000003E-3</v>
      </c>
      <c r="G136" s="30"/>
      <c r="H136" s="30">
        <f>F136+G136+J135</f>
        <v>0.43452000000000002</v>
      </c>
      <c r="I136" s="30"/>
      <c r="J136" s="30">
        <f t="shared" si="73"/>
        <v>0.43452000000000002</v>
      </c>
      <c r="K136" s="24">
        <f t="shared" si="66"/>
        <v>0</v>
      </c>
      <c r="L136" s="174"/>
      <c r="M136" s="174"/>
      <c r="N136" s="174"/>
      <c r="O136" s="174"/>
      <c r="P136" s="175"/>
      <c r="Q136" s="176"/>
    </row>
    <row r="137" spans="2:17">
      <c r="B137" s="187"/>
      <c r="C137" s="177" t="s">
        <v>9</v>
      </c>
      <c r="D137" s="25" t="s">
        <v>0</v>
      </c>
      <c r="E137" s="152">
        <v>9.64425E-2</v>
      </c>
      <c r="F137" s="30">
        <f>E137*$D$163</f>
        <v>4831.5763649999999</v>
      </c>
      <c r="G137" s="125">
        <f>-2089.581-2380.479-459.569+2065.044-0.5112-2044.8</f>
        <v>-4909.8962000000001</v>
      </c>
      <c r="H137" s="30">
        <f>F137+G137</f>
        <v>-78.319835000000239</v>
      </c>
      <c r="I137" s="30"/>
      <c r="J137" s="30">
        <f t="shared" ref="J137:J138" si="119">H137-I137</f>
        <v>-78.319835000000239</v>
      </c>
      <c r="K137" s="24">
        <f t="shared" ref="K137:K138" si="120">I137/H137</f>
        <v>0</v>
      </c>
      <c r="L137" s="174">
        <f>F137+F138</f>
        <v>4930.1405999999997</v>
      </c>
      <c r="M137" s="174">
        <f>G137+G138</f>
        <v>-4909.8962000000001</v>
      </c>
      <c r="N137" s="174">
        <f>L137+M137</f>
        <v>20.244399999999587</v>
      </c>
      <c r="O137" s="174">
        <f>I137+I138</f>
        <v>0</v>
      </c>
      <c r="P137" s="175">
        <f>N137-O137</f>
        <v>20.244399999999587</v>
      </c>
      <c r="Q137" s="176">
        <f t="shared" ref="Q137" si="121">O137/N137</f>
        <v>0</v>
      </c>
    </row>
    <row r="138" spans="2:17">
      <c r="B138" s="187"/>
      <c r="C138" s="177"/>
      <c r="D138" s="25" t="s">
        <v>1</v>
      </c>
      <c r="E138" s="154"/>
      <c r="F138" s="30">
        <f>E137*$D$164</f>
        <v>98.564234999999996</v>
      </c>
      <c r="G138" s="30"/>
      <c r="H138" s="30">
        <f>F138+G138+J137</f>
        <v>20.244399999999757</v>
      </c>
      <c r="I138" s="30"/>
      <c r="J138" s="30">
        <f t="shared" si="119"/>
        <v>20.244399999999757</v>
      </c>
      <c r="K138" s="24">
        <f t="shared" si="120"/>
        <v>0</v>
      </c>
      <c r="L138" s="174"/>
      <c r="M138" s="174"/>
      <c r="N138" s="174"/>
      <c r="O138" s="174"/>
      <c r="P138" s="175"/>
      <c r="Q138" s="176"/>
    </row>
    <row r="139" spans="2:17">
      <c r="B139" s="187"/>
      <c r="C139" s="177" t="s">
        <v>4</v>
      </c>
      <c r="D139" s="25" t="s">
        <v>0</v>
      </c>
      <c r="E139" s="152">
        <v>0.26397039999999999</v>
      </c>
      <c r="F139" s="30">
        <f>E139*$D$163</f>
        <v>13224.3890992</v>
      </c>
      <c r="G139" s="30">
        <f>383.4+460.08+460.08-1303.56-9000-221-3724</f>
        <v>-12945</v>
      </c>
      <c r="H139" s="30">
        <f>F139+G139</f>
        <v>279.38909919999969</v>
      </c>
      <c r="I139" s="124"/>
      <c r="J139" s="30">
        <f t="shared" si="73"/>
        <v>279.38909919999969</v>
      </c>
      <c r="K139" s="24">
        <f t="shared" si="66"/>
        <v>0</v>
      </c>
      <c r="L139" s="174">
        <f>F139+F140</f>
        <v>13494.166847999999</v>
      </c>
      <c r="M139" s="174">
        <f>G139+G140</f>
        <v>-12945</v>
      </c>
      <c r="N139" s="174">
        <f>L139+M139</f>
        <v>549.16684799999894</v>
      </c>
      <c r="O139" s="174">
        <f>I139+I140</f>
        <v>0</v>
      </c>
      <c r="P139" s="175">
        <f>N139-O139</f>
        <v>549.16684799999894</v>
      </c>
      <c r="Q139" s="176">
        <f t="shared" ref="Q139" si="122">O139/N139</f>
        <v>0</v>
      </c>
    </row>
    <row r="140" spans="2:17">
      <c r="B140" s="187"/>
      <c r="C140" s="177"/>
      <c r="D140" s="25" t="s">
        <v>1</v>
      </c>
      <c r="E140" s="154"/>
      <c r="F140" s="30">
        <f>E139*$D$164</f>
        <v>269.77774879999998</v>
      </c>
      <c r="G140" s="30"/>
      <c r="H140" s="30">
        <f>F140+G140+J139</f>
        <v>549.16684799999962</v>
      </c>
      <c r="I140" s="124"/>
      <c r="J140" s="30">
        <f t="shared" si="73"/>
        <v>549.16684799999962</v>
      </c>
      <c r="K140" s="24">
        <f t="shared" si="66"/>
        <v>0</v>
      </c>
      <c r="L140" s="174"/>
      <c r="M140" s="174"/>
      <c r="N140" s="174"/>
      <c r="O140" s="174"/>
      <c r="P140" s="175"/>
      <c r="Q140" s="176"/>
    </row>
    <row r="141" spans="2:17">
      <c r="B141" s="187"/>
      <c r="C141" s="177" t="s">
        <v>15</v>
      </c>
      <c r="D141" s="25" t="s">
        <v>0</v>
      </c>
      <c r="E141" s="152">
        <v>1.6789999999999999E-3</v>
      </c>
      <c r="F141" s="30">
        <f>E141*$D$163</f>
        <v>84.114542</v>
      </c>
      <c r="G141" s="30"/>
      <c r="H141" s="30">
        <f>+F141+G141</f>
        <v>84.114542</v>
      </c>
      <c r="I141" s="124">
        <v>1.7999999999999999E-2</v>
      </c>
      <c r="J141" s="30">
        <f>+H141-I141</f>
        <v>84.096541999999999</v>
      </c>
      <c r="K141" s="24">
        <f t="shared" si="66"/>
        <v>2.13993913204687E-4</v>
      </c>
      <c r="L141" s="174">
        <f>F141+F142</f>
        <v>85.830479999999994</v>
      </c>
      <c r="M141" s="174">
        <f>G141+G142</f>
        <v>0</v>
      </c>
      <c r="N141" s="174">
        <f>L141+M141</f>
        <v>85.830479999999994</v>
      </c>
      <c r="O141" s="174">
        <f>I141+I142</f>
        <v>1.7999999999999999E-2</v>
      </c>
      <c r="P141" s="175">
        <f>N141-O141</f>
        <v>85.812479999999994</v>
      </c>
      <c r="Q141" s="176">
        <f t="shared" ref="Q141" si="123">O141/N141</f>
        <v>2.0971570938435857E-4</v>
      </c>
    </row>
    <row r="142" spans="2:17">
      <c r="B142" s="187"/>
      <c r="C142" s="177"/>
      <c r="D142" s="25" t="s">
        <v>1</v>
      </c>
      <c r="E142" s="154"/>
      <c r="F142" s="30">
        <f>E141*$D$164</f>
        <v>1.715938</v>
      </c>
      <c r="G142" s="30"/>
      <c r="H142" s="30">
        <f>+F142+G142+J141</f>
        <v>85.812479999999994</v>
      </c>
      <c r="I142" s="124"/>
      <c r="J142" s="30">
        <f>+H142-I142</f>
        <v>85.812479999999994</v>
      </c>
      <c r="K142" s="24">
        <f t="shared" si="66"/>
        <v>0</v>
      </c>
      <c r="L142" s="174"/>
      <c r="M142" s="174"/>
      <c r="N142" s="174"/>
      <c r="O142" s="174"/>
      <c r="P142" s="175"/>
      <c r="Q142" s="176"/>
    </row>
    <row r="143" spans="2:17">
      <c r="B143" s="187"/>
      <c r="C143" s="177" t="s">
        <v>93</v>
      </c>
      <c r="D143" s="25" t="s">
        <v>0</v>
      </c>
      <c r="E143" s="152">
        <v>2.5499999999999998E-2</v>
      </c>
      <c r="F143" s="30">
        <f>E143*$D$163</f>
        <v>1277.499</v>
      </c>
      <c r="G143" s="30">
        <f>-383.4-460.08-460.08</f>
        <v>-1303.56</v>
      </c>
      <c r="H143" s="30">
        <f>F143+G143</f>
        <v>-26.060999999999922</v>
      </c>
      <c r="I143" s="30"/>
      <c r="J143" s="30">
        <f t="shared" si="73"/>
        <v>-26.060999999999922</v>
      </c>
      <c r="K143" s="24">
        <f t="shared" ref="K143:K162" si="124">I143/H143</f>
        <v>0</v>
      </c>
      <c r="L143" s="174">
        <f>F143+F144</f>
        <v>1303.56</v>
      </c>
      <c r="M143" s="174">
        <f>G143+G144</f>
        <v>-1303.56</v>
      </c>
      <c r="N143" s="174">
        <f>L143+M143</f>
        <v>0</v>
      </c>
      <c r="O143" s="174">
        <f>I143+I144</f>
        <v>0</v>
      </c>
      <c r="P143" s="175">
        <f>N143-O143</f>
        <v>0</v>
      </c>
      <c r="Q143" s="176">
        <v>0</v>
      </c>
    </row>
    <row r="144" spans="2:17">
      <c r="B144" s="187"/>
      <c r="C144" s="177"/>
      <c r="D144" s="25" t="s">
        <v>1</v>
      </c>
      <c r="E144" s="154"/>
      <c r="F144" s="30">
        <f t="shared" ref="F144" si="125">E143*$D$164</f>
        <v>26.061</v>
      </c>
      <c r="G144" s="30"/>
      <c r="H144" s="30">
        <f>F144+G144+J143</f>
        <v>7.815970093361102E-14</v>
      </c>
      <c r="I144" s="30"/>
      <c r="J144" s="30">
        <f t="shared" si="73"/>
        <v>7.815970093361102E-14</v>
      </c>
      <c r="K144" s="24">
        <f t="shared" si="124"/>
        <v>0</v>
      </c>
      <c r="L144" s="174"/>
      <c r="M144" s="174"/>
      <c r="N144" s="174"/>
      <c r="O144" s="174"/>
      <c r="P144" s="175"/>
      <c r="Q144" s="176"/>
    </row>
    <row r="145" spans="2:17">
      <c r="B145" s="187"/>
      <c r="C145" s="177" t="s">
        <v>176</v>
      </c>
      <c r="D145" s="25" t="s">
        <v>0</v>
      </c>
      <c r="E145" s="152">
        <v>6.9999999999999994E-5</v>
      </c>
      <c r="F145" s="30">
        <f t="shared" ref="F145" si="126">E145*$D$163</f>
        <v>3.5068599999999996</v>
      </c>
      <c r="G145" s="30">
        <f>0.5112</f>
        <v>0.51119999999999999</v>
      </c>
      <c r="H145" s="30">
        <f>F145+G145</f>
        <v>4.0180599999999993</v>
      </c>
      <c r="I145" s="30"/>
      <c r="J145" s="30">
        <f t="shared" si="73"/>
        <v>4.0180599999999993</v>
      </c>
      <c r="K145" s="24">
        <f t="shared" si="124"/>
        <v>0</v>
      </c>
      <c r="L145" s="174">
        <f>F145+F146</f>
        <v>3.5783999999999998</v>
      </c>
      <c r="M145" s="174">
        <f>G145+G146</f>
        <v>0.51119999999999999</v>
      </c>
      <c r="N145" s="174">
        <f>L145+M145</f>
        <v>4.0895999999999999</v>
      </c>
      <c r="O145" s="174">
        <f>I145+I146</f>
        <v>0</v>
      </c>
      <c r="P145" s="175">
        <f>N145-O145</f>
        <v>4.0895999999999999</v>
      </c>
      <c r="Q145" s="176">
        <f t="shared" ref="Q145" si="127">O145/N145</f>
        <v>0</v>
      </c>
    </row>
    <row r="146" spans="2:17">
      <c r="B146" s="187"/>
      <c r="C146" s="177"/>
      <c r="D146" s="25" t="s">
        <v>1</v>
      </c>
      <c r="E146" s="154"/>
      <c r="F146" s="30">
        <f t="shared" ref="F146" si="128">E145*$D$164</f>
        <v>7.1539999999999992E-2</v>
      </c>
      <c r="G146" s="30"/>
      <c r="H146" s="30">
        <f>F146+G146+J145</f>
        <v>4.089599999999999</v>
      </c>
      <c r="I146" s="30"/>
      <c r="J146" s="30">
        <f t="shared" si="73"/>
        <v>4.089599999999999</v>
      </c>
      <c r="K146" s="24">
        <f t="shared" si="124"/>
        <v>0</v>
      </c>
      <c r="L146" s="174"/>
      <c r="M146" s="174"/>
      <c r="N146" s="174"/>
      <c r="O146" s="174"/>
      <c r="P146" s="175"/>
      <c r="Q146" s="176"/>
    </row>
    <row r="147" spans="2:17">
      <c r="B147" s="187"/>
      <c r="C147" s="177" t="s">
        <v>199</v>
      </c>
      <c r="D147" s="25" t="s">
        <v>0</v>
      </c>
      <c r="E147" s="106"/>
      <c r="F147" s="30">
        <v>0</v>
      </c>
      <c r="G147" s="125">
        <f>2089.581-12.78-2065.044-11.758</f>
        <v>-9.9999999993727329E-4</v>
      </c>
      <c r="H147" s="30">
        <f>F147+G147</f>
        <v>-9.9999999993727329E-4</v>
      </c>
      <c r="I147" s="30"/>
      <c r="J147" s="30">
        <f t="shared" ref="J147:J150" si="129">H147-I147</f>
        <v>-9.9999999993727329E-4</v>
      </c>
      <c r="K147" s="24">
        <f t="shared" ref="K147:K150" si="130">I147/H147</f>
        <v>0</v>
      </c>
      <c r="L147" s="174">
        <f>F147+F148</f>
        <v>0</v>
      </c>
      <c r="M147" s="174">
        <f>G147+G148</f>
        <v>-9.9999999993727329E-4</v>
      </c>
      <c r="N147" s="174">
        <f>L147+M147</f>
        <v>-9.9999999993727329E-4</v>
      </c>
      <c r="O147" s="174">
        <f>I147+I148</f>
        <v>0</v>
      </c>
      <c r="P147" s="175">
        <f>N147-O147</f>
        <v>-9.9999999993727329E-4</v>
      </c>
      <c r="Q147" s="176">
        <f t="shared" ref="Q147" si="131">O147/N147</f>
        <v>0</v>
      </c>
    </row>
    <row r="148" spans="2:17">
      <c r="B148" s="187"/>
      <c r="C148" s="177"/>
      <c r="D148" s="25" t="s">
        <v>1</v>
      </c>
      <c r="E148" s="106"/>
      <c r="F148" s="30">
        <v>0</v>
      </c>
      <c r="G148" s="30"/>
      <c r="H148" s="30">
        <f>F148+G148+J147</f>
        <v>-9.9999999993727329E-4</v>
      </c>
      <c r="I148" s="30"/>
      <c r="J148" s="30">
        <f t="shared" si="129"/>
        <v>-9.9999999993727329E-4</v>
      </c>
      <c r="K148" s="24">
        <f t="shared" si="130"/>
        <v>0</v>
      </c>
      <c r="L148" s="174"/>
      <c r="M148" s="174"/>
      <c r="N148" s="174"/>
      <c r="O148" s="174"/>
      <c r="P148" s="175"/>
      <c r="Q148" s="176"/>
    </row>
    <row r="149" spans="2:17">
      <c r="B149" s="187"/>
      <c r="C149" s="177" t="s">
        <v>207</v>
      </c>
      <c r="D149" s="25" t="s">
        <v>0</v>
      </c>
      <c r="E149" s="106"/>
      <c r="F149" s="30">
        <v>0</v>
      </c>
      <c r="G149" s="30">
        <v>12.78</v>
      </c>
      <c r="H149" s="30">
        <f>F149+G149</f>
        <v>12.78</v>
      </c>
      <c r="I149" s="30"/>
      <c r="J149" s="30">
        <f t="shared" si="129"/>
        <v>12.78</v>
      </c>
      <c r="K149" s="24">
        <f t="shared" si="130"/>
        <v>0</v>
      </c>
      <c r="L149" s="174">
        <f>F149+F150</f>
        <v>0</v>
      </c>
      <c r="M149" s="174">
        <f>G149+G150</f>
        <v>0</v>
      </c>
      <c r="N149" s="174">
        <f>L149+M149</f>
        <v>0</v>
      </c>
      <c r="O149" s="174">
        <f>I149+I150</f>
        <v>0</v>
      </c>
      <c r="P149" s="175">
        <f>N149-O149</f>
        <v>0</v>
      </c>
      <c r="Q149" s="176" t="e">
        <f t="shared" ref="Q149" si="132">O149/N149</f>
        <v>#DIV/0!</v>
      </c>
    </row>
    <row r="150" spans="2:17">
      <c r="B150" s="187"/>
      <c r="C150" s="177"/>
      <c r="D150" s="25" t="s">
        <v>1</v>
      </c>
      <c r="E150" s="106"/>
      <c r="F150" s="30">
        <v>0</v>
      </c>
      <c r="G150" s="30">
        <f>-12.78</f>
        <v>-12.78</v>
      </c>
      <c r="H150" s="30">
        <f>F150+G150+J149</f>
        <v>0</v>
      </c>
      <c r="I150" s="30"/>
      <c r="J150" s="30">
        <f t="shared" si="129"/>
        <v>0</v>
      </c>
      <c r="K150" s="24" t="e">
        <f t="shared" si="130"/>
        <v>#DIV/0!</v>
      </c>
      <c r="L150" s="174"/>
      <c r="M150" s="174"/>
      <c r="N150" s="174"/>
      <c r="O150" s="174"/>
      <c r="P150" s="175"/>
      <c r="Q150" s="176"/>
    </row>
    <row r="151" spans="2:17">
      <c r="B151" s="187"/>
      <c r="C151" s="177" t="s">
        <v>209</v>
      </c>
      <c r="D151" s="25" t="s">
        <v>0</v>
      </c>
      <c r="E151" s="106"/>
      <c r="F151" s="30">
        <v>0</v>
      </c>
      <c r="G151" s="125">
        <f>11.758</f>
        <v>11.757999999999999</v>
      </c>
      <c r="H151" s="30">
        <f>F151+G151</f>
        <v>11.757999999999999</v>
      </c>
      <c r="I151" s="30"/>
      <c r="J151" s="30">
        <f t="shared" ref="J151:J152" si="133">H151-I151</f>
        <v>11.757999999999999</v>
      </c>
      <c r="K151" s="24">
        <f t="shared" ref="K151:K152" si="134">I151/H151</f>
        <v>0</v>
      </c>
      <c r="L151" s="174">
        <f>F151+F152</f>
        <v>0</v>
      </c>
      <c r="M151" s="174">
        <f>G151+G152</f>
        <v>11.757999999999999</v>
      </c>
      <c r="N151" s="174">
        <f>L151+M151</f>
        <v>11.757999999999999</v>
      </c>
      <c r="O151" s="174">
        <f>I151+I152</f>
        <v>0</v>
      </c>
      <c r="P151" s="175">
        <f>N151-O151</f>
        <v>11.757999999999999</v>
      </c>
      <c r="Q151" s="176">
        <f t="shared" ref="Q151" si="135">O151/N151</f>
        <v>0</v>
      </c>
    </row>
    <row r="152" spans="2:17">
      <c r="B152" s="187"/>
      <c r="C152" s="177"/>
      <c r="D152" s="25" t="s">
        <v>1</v>
      </c>
      <c r="E152" s="106"/>
      <c r="F152" s="30">
        <v>0</v>
      </c>
      <c r="G152" s="30"/>
      <c r="H152" s="30">
        <f>F152+G152+J151</f>
        <v>11.757999999999999</v>
      </c>
      <c r="I152" s="30"/>
      <c r="J152" s="30">
        <f t="shared" si="133"/>
        <v>11.757999999999999</v>
      </c>
      <c r="K152" s="24">
        <f t="shared" si="134"/>
        <v>0</v>
      </c>
      <c r="L152" s="174"/>
      <c r="M152" s="174"/>
      <c r="N152" s="174"/>
      <c r="O152" s="174"/>
      <c r="P152" s="175"/>
      <c r="Q152" s="176"/>
    </row>
    <row r="153" spans="2:17" hidden="1">
      <c r="B153" s="187"/>
      <c r="C153" s="177" t="s">
        <v>230</v>
      </c>
      <c r="D153" s="122" t="s">
        <v>0</v>
      </c>
      <c r="E153" s="119"/>
      <c r="F153" s="120">
        <v>0</v>
      </c>
      <c r="G153" s="120">
        <v>0</v>
      </c>
      <c r="H153" s="120">
        <f>F153+G153</f>
        <v>0</v>
      </c>
      <c r="I153" s="120"/>
      <c r="J153" s="120">
        <f t="shared" ref="J153:J154" si="136">H153-I153</f>
        <v>0</v>
      </c>
      <c r="K153" s="24" t="e">
        <f t="shared" ref="K153:K154" si="137">I153/H153</f>
        <v>#DIV/0!</v>
      </c>
      <c r="L153" s="174">
        <f>F153+F154</f>
        <v>0</v>
      </c>
      <c r="M153" s="174">
        <f>G153+G154</f>
        <v>0</v>
      </c>
      <c r="N153" s="174">
        <f>L153+M153</f>
        <v>0</v>
      </c>
      <c r="O153" s="174">
        <f>I153+I154</f>
        <v>0</v>
      </c>
      <c r="P153" s="175">
        <f>N153-O153</f>
        <v>0</v>
      </c>
      <c r="Q153" s="176" t="e">
        <f t="shared" ref="Q153" si="138">O153/N153</f>
        <v>#DIV/0!</v>
      </c>
    </row>
    <row r="154" spans="2:17" hidden="1">
      <c r="B154" s="187"/>
      <c r="C154" s="177"/>
      <c r="D154" s="122" t="s">
        <v>1</v>
      </c>
      <c r="E154" s="119"/>
      <c r="F154" s="120">
        <v>0</v>
      </c>
      <c r="G154" s="120"/>
      <c r="H154" s="120">
        <f>F154+G154+J153</f>
        <v>0</v>
      </c>
      <c r="I154" s="120"/>
      <c r="J154" s="120">
        <f t="shared" si="136"/>
        <v>0</v>
      </c>
      <c r="K154" s="24" t="e">
        <f t="shared" si="137"/>
        <v>#DIV/0!</v>
      </c>
      <c r="L154" s="174"/>
      <c r="M154" s="174"/>
      <c r="N154" s="174"/>
      <c r="O154" s="174"/>
      <c r="P154" s="175"/>
      <c r="Q154" s="176"/>
    </row>
    <row r="155" spans="2:17" hidden="1">
      <c r="B155" s="187"/>
      <c r="C155" s="177" t="s">
        <v>231</v>
      </c>
      <c r="D155" s="122" t="s">
        <v>0</v>
      </c>
      <c r="E155" s="119"/>
      <c r="F155" s="120">
        <v>0</v>
      </c>
      <c r="G155" s="120">
        <v>0</v>
      </c>
      <c r="H155" s="120">
        <f>F155+G155</f>
        <v>0</v>
      </c>
      <c r="I155" s="120"/>
      <c r="J155" s="120">
        <f t="shared" ref="J155:J156" si="139">H155-I155</f>
        <v>0</v>
      </c>
      <c r="K155" s="24" t="e">
        <f t="shared" ref="K155:K156" si="140">I155/H155</f>
        <v>#DIV/0!</v>
      </c>
      <c r="L155" s="174">
        <f>F155+F156</f>
        <v>0</v>
      </c>
      <c r="M155" s="174">
        <f>G155+G156</f>
        <v>0</v>
      </c>
      <c r="N155" s="174">
        <f>L155+M155</f>
        <v>0</v>
      </c>
      <c r="O155" s="174">
        <f>I155+I156</f>
        <v>0</v>
      </c>
      <c r="P155" s="175">
        <f>N155-O155</f>
        <v>0</v>
      </c>
      <c r="Q155" s="176" t="e">
        <f t="shared" ref="Q155" si="141">O155/N155</f>
        <v>#DIV/0!</v>
      </c>
    </row>
    <row r="156" spans="2:17" hidden="1">
      <c r="B156" s="187"/>
      <c r="C156" s="177"/>
      <c r="D156" s="122" t="s">
        <v>1</v>
      </c>
      <c r="E156" s="119"/>
      <c r="F156" s="120">
        <v>0</v>
      </c>
      <c r="G156" s="120"/>
      <c r="H156" s="120">
        <f>F156+G156+J155</f>
        <v>0</v>
      </c>
      <c r="I156" s="120"/>
      <c r="J156" s="120">
        <f t="shared" si="139"/>
        <v>0</v>
      </c>
      <c r="K156" s="24" t="e">
        <f t="shared" si="140"/>
        <v>#DIV/0!</v>
      </c>
      <c r="L156" s="174"/>
      <c r="M156" s="174"/>
      <c r="N156" s="174"/>
      <c r="O156" s="174"/>
      <c r="P156" s="175"/>
      <c r="Q156" s="176"/>
    </row>
    <row r="157" spans="2:17" hidden="1">
      <c r="B157" s="187"/>
      <c r="C157" s="177" t="s">
        <v>232</v>
      </c>
      <c r="D157" s="122" t="s">
        <v>0</v>
      </c>
      <c r="E157" s="119"/>
      <c r="F157" s="120">
        <v>0</v>
      </c>
      <c r="G157" s="120">
        <v>0</v>
      </c>
      <c r="H157" s="120">
        <f>F157+G157</f>
        <v>0</v>
      </c>
      <c r="I157" s="120"/>
      <c r="J157" s="120">
        <f t="shared" ref="J157:J158" si="142">H157-I157</f>
        <v>0</v>
      </c>
      <c r="K157" s="24" t="e">
        <f t="shared" ref="K157:K158" si="143">I157/H157</f>
        <v>#DIV/0!</v>
      </c>
      <c r="L157" s="174">
        <f>F157+F158</f>
        <v>0</v>
      </c>
      <c r="M157" s="174">
        <f>G157+G158</f>
        <v>0</v>
      </c>
      <c r="N157" s="174">
        <f>L157+M157</f>
        <v>0</v>
      </c>
      <c r="O157" s="174">
        <f>I157+I158</f>
        <v>0</v>
      </c>
      <c r="P157" s="175">
        <f>N157-O157</f>
        <v>0</v>
      </c>
      <c r="Q157" s="176" t="e">
        <f t="shared" ref="Q157" si="144">O157/N157</f>
        <v>#DIV/0!</v>
      </c>
    </row>
    <row r="158" spans="2:17" hidden="1">
      <c r="B158" s="187"/>
      <c r="C158" s="177"/>
      <c r="D158" s="122" t="s">
        <v>1</v>
      </c>
      <c r="E158" s="119"/>
      <c r="F158" s="120">
        <v>0</v>
      </c>
      <c r="G158" s="120"/>
      <c r="H158" s="120">
        <f>F158+G158+J157</f>
        <v>0</v>
      </c>
      <c r="I158" s="120"/>
      <c r="J158" s="120">
        <f t="shared" si="142"/>
        <v>0</v>
      </c>
      <c r="K158" s="24" t="e">
        <f t="shared" si="143"/>
        <v>#DIV/0!</v>
      </c>
      <c r="L158" s="174"/>
      <c r="M158" s="174"/>
      <c r="N158" s="174"/>
      <c r="O158" s="174"/>
      <c r="P158" s="175"/>
      <c r="Q158" s="176"/>
    </row>
    <row r="159" spans="2:17" hidden="1">
      <c r="B159" s="187"/>
      <c r="C159" s="177" t="s">
        <v>226</v>
      </c>
      <c r="D159" s="122" t="s">
        <v>0</v>
      </c>
      <c r="E159" s="119"/>
      <c r="F159" s="120">
        <v>0</v>
      </c>
      <c r="G159" s="120">
        <v>0</v>
      </c>
      <c r="H159" s="120">
        <f>F159+G159</f>
        <v>0</v>
      </c>
      <c r="I159" s="120"/>
      <c r="J159" s="120">
        <f t="shared" ref="J159:J160" si="145">H159-I159</f>
        <v>0</v>
      </c>
      <c r="K159" s="24" t="e">
        <f t="shared" ref="K159:K160" si="146">I159/H159</f>
        <v>#DIV/0!</v>
      </c>
      <c r="L159" s="174">
        <f>F159+F160</f>
        <v>0</v>
      </c>
      <c r="M159" s="174">
        <f>G159+G160</f>
        <v>0</v>
      </c>
      <c r="N159" s="174">
        <f>L159+M159</f>
        <v>0</v>
      </c>
      <c r="O159" s="174">
        <f>I159+I160</f>
        <v>0</v>
      </c>
      <c r="P159" s="175">
        <f>N159-O159</f>
        <v>0</v>
      </c>
      <c r="Q159" s="176" t="e">
        <f t="shared" ref="Q159" si="147">O159/N159</f>
        <v>#DIV/0!</v>
      </c>
    </row>
    <row r="160" spans="2:17" hidden="1">
      <c r="B160" s="187"/>
      <c r="C160" s="177"/>
      <c r="D160" s="122" t="s">
        <v>1</v>
      </c>
      <c r="E160" s="119"/>
      <c r="F160" s="120">
        <v>0</v>
      </c>
      <c r="G160" s="120"/>
      <c r="H160" s="120">
        <f>F160+G160+J159</f>
        <v>0</v>
      </c>
      <c r="I160" s="120"/>
      <c r="J160" s="120">
        <f t="shared" si="145"/>
        <v>0</v>
      </c>
      <c r="K160" s="24" t="e">
        <f t="shared" si="146"/>
        <v>#DIV/0!</v>
      </c>
      <c r="L160" s="174"/>
      <c r="M160" s="174"/>
      <c r="N160" s="174"/>
      <c r="O160" s="174"/>
      <c r="P160" s="175"/>
      <c r="Q160" s="176"/>
    </row>
    <row r="161" spans="2:17">
      <c r="B161" s="187"/>
      <c r="C161" s="201" t="s">
        <v>97</v>
      </c>
      <c r="D161" s="26" t="s">
        <v>0</v>
      </c>
      <c r="E161" s="152">
        <f>SUM(E119:E146)</f>
        <v>0.99999989999999983</v>
      </c>
      <c r="F161" s="31">
        <f>F119+F121+F123+F125+F127+F129+F131+F133+F135+F137+F139+F141+F143+F145+F147+F149+F151+F153+F155+F157+F159</f>
        <v>50097.994990200008</v>
      </c>
      <c r="G161" s="31">
        <f>G119+G121+G123+G125+G127+G129+G131+G133+G135+G137+G139+G141+G143+G145+G147+G149+G151+G153+G155+G157+G159</f>
        <v>-49739.301999999996</v>
      </c>
      <c r="H161" s="31">
        <f>F161+G161</f>
        <v>358.69299020001199</v>
      </c>
      <c r="I161" s="31">
        <f>I119+I121+I123+I125+I127+I129+I131+I133+I135+I137+I139+I141+I143+I145+I147+I149+I151</f>
        <v>1.7999999999999999E-2</v>
      </c>
      <c r="J161" s="31">
        <f>H161-I161</f>
        <v>358.67499020001202</v>
      </c>
      <c r="K161" s="27">
        <f>I161/H161</f>
        <v>5.0182190596930703E-5</v>
      </c>
      <c r="L161" s="181">
        <f>F161+F162</f>
        <v>51119.994888000008</v>
      </c>
      <c r="M161" s="181">
        <f>G161+G162</f>
        <v>-50319.301999999996</v>
      </c>
      <c r="N161" s="181">
        <f>L161+M161</f>
        <v>800.69288800001232</v>
      </c>
      <c r="O161" s="181">
        <f>I161+I162</f>
        <v>1.7999999999999999E-2</v>
      </c>
      <c r="P161" s="197">
        <f>N161-O161</f>
        <v>800.67488800001229</v>
      </c>
      <c r="Q161" s="184">
        <f>O161/N161</f>
        <v>2.2480529388690814E-5</v>
      </c>
    </row>
    <row r="162" spans="2:17">
      <c r="B162" s="179"/>
      <c r="C162" s="201"/>
      <c r="D162" s="26" t="s">
        <v>1</v>
      </c>
      <c r="E162" s="154"/>
      <c r="F162" s="31">
        <f>F120+F122+F124+F126+F128+F130+F132+F134+F136+F138+F140+F142+F144+F146+F148+F150+F152+F154+F156+F158+F160</f>
        <v>1021.9998978000001</v>
      </c>
      <c r="G162" s="31">
        <f>G120+G122+G124+G126+G128+G130+G132+G134+G136+G138+G140+G142+G144+G146+G148+G150+G152+G154+G156+G158+G160</f>
        <v>-580</v>
      </c>
      <c r="H162" s="31">
        <f>F162+G162+J161</f>
        <v>800.67488800001206</v>
      </c>
      <c r="I162" s="31">
        <f>I120+I122+I124+I126+I128+I130+I132+I134+I136+I138+I140+I142+I144+I146+I148+I150+I152</f>
        <v>0</v>
      </c>
      <c r="J162" s="31">
        <f>H162-I162</f>
        <v>800.67488800001206</v>
      </c>
      <c r="K162" s="27">
        <f t="shared" si="124"/>
        <v>0</v>
      </c>
      <c r="L162" s="181"/>
      <c r="M162" s="181"/>
      <c r="N162" s="181"/>
      <c r="O162" s="181"/>
      <c r="P162" s="197"/>
      <c r="Q162" s="184"/>
    </row>
    <row r="163" spans="2:17">
      <c r="C163" s="69" t="s">
        <v>182</v>
      </c>
      <c r="D163" s="33">
        <v>50098</v>
      </c>
    </row>
    <row r="164" spans="2:17">
      <c r="C164" s="26" t="s">
        <v>183</v>
      </c>
      <c r="D164" s="33">
        <v>1022</v>
      </c>
    </row>
    <row r="165" spans="2:17">
      <c r="M165" s="42"/>
    </row>
    <row r="172" spans="2:17">
      <c r="C172" s="41"/>
    </row>
    <row r="194" spans="4:6">
      <c r="D194" s="80"/>
      <c r="F194" s="81"/>
    </row>
    <row r="195" spans="4:6">
      <c r="D195" s="80"/>
      <c r="E195" s="80"/>
      <c r="F195" s="81"/>
    </row>
    <row r="196" spans="4:6">
      <c r="D196" s="80"/>
      <c r="E196" s="80"/>
      <c r="F196" s="81"/>
    </row>
    <row r="198" spans="4:6">
      <c r="D198" s="80"/>
      <c r="F198" s="81"/>
    </row>
    <row r="199" spans="4:6">
      <c r="D199" s="80"/>
      <c r="F199" s="81"/>
    </row>
    <row r="200" spans="4:6">
      <c r="D200" s="80"/>
      <c r="F200" s="81"/>
    </row>
    <row r="201" spans="4:6">
      <c r="D201" s="80"/>
      <c r="F201" s="81"/>
    </row>
    <row r="202" spans="4:6">
      <c r="D202" s="80"/>
      <c r="F202" s="81"/>
    </row>
    <row r="203" spans="4:6">
      <c r="D203" s="80"/>
      <c r="F203" s="81"/>
    </row>
    <row r="204" spans="4:6">
      <c r="D204" s="80"/>
      <c r="F204" s="81"/>
    </row>
    <row r="205" spans="4:6">
      <c r="D205" s="80"/>
      <c r="F205" s="81"/>
    </row>
    <row r="206" spans="4:6">
      <c r="D206" s="80"/>
      <c r="F206" s="81"/>
    </row>
    <row r="207" spans="4:6">
      <c r="D207" s="80"/>
      <c r="F207" s="81"/>
    </row>
    <row r="209" spans="4:6">
      <c r="D209" s="80"/>
      <c r="F209" s="81"/>
    </row>
    <row r="210" spans="4:6">
      <c r="D210" s="80"/>
      <c r="F210" s="81"/>
    </row>
    <row r="212" spans="4:6">
      <c r="D212" s="80"/>
      <c r="E212" s="80"/>
      <c r="F212" s="81"/>
    </row>
    <row r="213" spans="4:6">
      <c r="D213" s="80"/>
      <c r="F213" s="81"/>
    </row>
    <row r="215" spans="4:6">
      <c r="D215" s="80"/>
      <c r="F215" s="81"/>
    </row>
    <row r="232" spans="10:12">
      <c r="J232" s="81"/>
      <c r="L232" s="81"/>
    </row>
    <row r="233" spans="10:12">
      <c r="J233" s="81"/>
      <c r="L233" s="81"/>
    </row>
    <row r="237" spans="10:12">
      <c r="J237" s="81"/>
      <c r="L237" s="81"/>
    </row>
    <row r="238" spans="10:12">
      <c r="J238" s="81"/>
      <c r="L238" s="81"/>
    </row>
    <row r="239" spans="10:12">
      <c r="J239" s="81"/>
      <c r="L239" s="81"/>
    </row>
    <row r="240" spans="10:12">
      <c r="J240" s="81"/>
      <c r="L240" s="81"/>
    </row>
    <row r="241" spans="10:12">
      <c r="J241" s="81"/>
      <c r="L241" s="81"/>
    </row>
    <row r="242" spans="10:12">
      <c r="J242" s="81"/>
      <c r="L242" s="81"/>
    </row>
    <row r="245" spans="10:12">
      <c r="J245" s="81"/>
      <c r="L245" s="81"/>
    </row>
    <row r="246" spans="10:12">
      <c r="J246" s="81"/>
      <c r="L246" s="81"/>
    </row>
    <row r="252" spans="10:12">
      <c r="J252" s="81"/>
      <c r="L252" s="81"/>
    </row>
    <row r="253" spans="10:12">
      <c r="J253" s="81"/>
      <c r="L253" s="81"/>
    </row>
    <row r="254" spans="10:12">
      <c r="J254" s="81"/>
      <c r="L254" s="81"/>
    </row>
    <row r="255" spans="10:12">
      <c r="J255" s="81"/>
      <c r="L255" s="81"/>
    </row>
    <row r="256" spans="10:12">
      <c r="J256" s="81"/>
      <c r="L256" s="81"/>
    </row>
    <row r="257" spans="10:12">
      <c r="J257" s="81"/>
      <c r="L257" s="81"/>
    </row>
    <row r="258" spans="10:12">
      <c r="J258" s="81"/>
      <c r="L258" s="81"/>
    </row>
    <row r="260" spans="10:12">
      <c r="J260" s="81"/>
      <c r="L260" s="81"/>
    </row>
    <row r="261" spans="10:12">
      <c r="J261" s="81"/>
      <c r="L261" s="81"/>
    </row>
    <row r="263" spans="10:12">
      <c r="J263" s="81"/>
      <c r="L263" s="81"/>
    </row>
    <row r="264" spans="10:12">
      <c r="J264" s="81"/>
      <c r="L264" s="81"/>
    </row>
    <row r="265" spans="10:12">
      <c r="J265" s="81"/>
      <c r="L265" s="81"/>
    </row>
    <row r="266" spans="10:12">
      <c r="J266" s="81"/>
      <c r="L266" s="81"/>
    </row>
    <row r="267" spans="10:12">
      <c r="J267" s="81"/>
      <c r="L267" s="81"/>
    </row>
    <row r="268" spans="10:12">
      <c r="J268" s="81"/>
      <c r="L268" s="81"/>
    </row>
    <row r="269" spans="10:12">
      <c r="J269" s="81"/>
      <c r="L269" s="81"/>
    </row>
    <row r="270" spans="10:12">
      <c r="J270" s="81"/>
      <c r="L270" s="81"/>
    </row>
    <row r="271" spans="10:12">
      <c r="J271" s="81"/>
      <c r="L271" s="81"/>
    </row>
    <row r="272" spans="10:12">
      <c r="J272" s="81"/>
      <c r="L272" s="81"/>
    </row>
    <row r="273" spans="10:12">
      <c r="J273" s="81"/>
      <c r="L273" s="81"/>
    </row>
  </sheetData>
  <mergeCells count="578">
    <mergeCell ref="N112:N113"/>
    <mergeCell ref="O112:O113"/>
    <mergeCell ref="P112:P113"/>
    <mergeCell ref="Q112:Q113"/>
    <mergeCell ref="C157:C158"/>
    <mergeCell ref="L157:L158"/>
    <mergeCell ref="M157:M158"/>
    <mergeCell ref="N157:N158"/>
    <mergeCell ref="O157:O158"/>
    <mergeCell ref="P157:P158"/>
    <mergeCell ref="Q157:Q158"/>
    <mergeCell ref="M145:M146"/>
    <mergeCell ref="N145:N146"/>
    <mergeCell ref="N121:N122"/>
    <mergeCell ref="O121:O122"/>
    <mergeCell ref="P121:P122"/>
    <mergeCell ref="L143:L144"/>
    <mergeCell ref="M143:M144"/>
    <mergeCell ref="E139:E140"/>
    <mergeCell ref="E141:E142"/>
    <mergeCell ref="E143:E144"/>
    <mergeCell ref="C147:C148"/>
    <mergeCell ref="L147:L148"/>
    <mergeCell ref="M147:M148"/>
    <mergeCell ref="C159:C160"/>
    <mergeCell ref="L159:L160"/>
    <mergeCell ref="M159:M160"/>
    <mergeCell ref="N159:N160"/>
    <mergeCell ref="O159:O160"/>
    <mergeCell ref="P159:P160"/>
    <mergeCell ref="Q159:Q160"/>
    <mergeCell ref="C153:C154"/>
    <mergeCell ref="L153:L154"/>
    <mergeCell ref="M153:M154"/>
    <mergeCell ref="N153:N154"/>
    <mergeCell ref="O153:O154"/>
    <mergeCell ref="P153:P154"/>
    <mergeCell ref="Q153:Q154"/>
    <mergeCell ref="C155:C156"/>
    <mergeCell ref="L155:L156"/>
    <mergeCell ref="M155:M156"/>
    <mergeCell ref="N155:N156"/>
    <mergeCell ref="O155:O156"/>
    <mergeCell ref="P155:P156"/>
    <mergeCell ref="Q155:Q156"/>
    <mergeCell ref="N147:N148"/>
    <mergeCell ref="O147:O148"/>
    <mergeCell ref="P147:P148"/>
    <mergeCell ref="Q147:Q148"/>
    <mergeCell ref="C145:C146"/>
    <mergeCell ref="L145:L146"/>
    <mergeCell ref="L151:L152"/>
    <mergeCell ref="M151:M152"/>
    <mergeCell ref="N151:N152"/>
    <mergeCell ref="O151:O152"/>
    <mergeCell ref="P151:P152"/>
    <mergeCell ref="Q151:Q152"/>
    <mergeCell ref="C149:C150"/>
    <mergeCell ref="L149:L150"/>
    <mergeCell ref="M149:M150"/>
    <mergeCell ref="N149:N150"/>
    <mergeCell ref="O149:O150"/>
    <mergeCell ref="P149:P150"/>
    <mergeCell ref="Q149:Q150"/>
    <mergeCell ref="C151:C152"/>
    <mergeCell ref="C135:C136"/>
    <mergeCell ref="L129:L130"/>
    <mergeCell ref="Q141:Q142"/>
    <mergeCell ref="L137:L138"/>
    <mergeCell ref="M137:M138"/>
    <mergeCell ref="N137:N138"/>
    <mergeCell ref="O137:O138"/>
    <mergeCell ref="Q139:Q140"/>
    <mergeCell ref="P82:P83"/>
    <mergeCell ref="M135:M136"/>
    <mergeCell ref="N135:N136"/>
    <mergeCell ref="M102:M103"/>
    <mergeCell ref="Q82:Q83"/>
    <mergeCell ref="M125:M126"/>
    <mergeCell ref="N125:N126"/>
    <mergeCell ref="O125:O126"/>
    <mergeCell ref="P125:P126"/>
    <mergeCell ref="M119:M120"/>
    <mergeCell ref="N119:N120"/>
    <mergeCell ref="O119:O120"/>
    <mergeCell ref="P119:P120"/>
    <mergeCell ref="N114:N115"/>
    <mergeCell ref="O114:O115"/>
    <mergeCell ref="P114:P115"/>
    <mergeCell ref="P78:P79"/>
    <mergeCell ref="N80:N81"/>
    <mergeCell ref="N82:N83"/>
    <mergeCell ref="N92:N93"/>
    <mergeCell ref="N100:N101"/>
    <mergeCell ref="O100:O101"/>
    <mergeCell ref="P100:P101"/>
    <mergeCell ref="N108:N109"/>
    <mergeCell ref="O108:O109"/>
    <mergeCell ref="P108:P109"/>
    <mergeCell ref="N102:N103"/>
    <mergeCell ref="O102:O103"/>
    <mergeCell ref="P102:P103"/>
    <mergeCell ref="O90:O91"/>
    <mergeCell ref="P90:P91"/>
    <mergeCell ref="N90:N91"/>
    <mergeCell ref="P66:P67"/>
    <mergeCell ref="P68:P69"/>
    <mergeCell ref="C129:C130"/>
    <mergeCell ref="C131:C132"/>
    <mergeCell ref="P76:P77"/>
    <mergeCell ref="L135:L136"/>
    <mergeCell ref="C114:C115"/>
    <mergeCell ref="L114:L115"/>
    <mergeCell ref="E121:E122"/>
    <mergeCell ref="C127:C128"/>
    <mergeCell ref="L127:L128"/>
    <mergeCell ref="L121:L122"/>
    <mergeCell ref="C133:C134"/>
    <mergeCell ref="P88:P89"/>
    <mergeCell ref="O80:O81"/>
    <mergeCell ref="P80:P81"/>
    <mergeCell ref="M72:M73"/>
    <mergeCell ref="N72:N73"/>
    <mergeCell ref="P72:P73"/>
    <mergeCell ref="O74:O75"/>
    <mergeCell ref="P74:P75"/>
    <mergeCell ref="N78:N79"/>
    <mergeCell ref="O78:O79"/>
    <mergeCell ref="P94:P95"/>
    <mergeCell ref="O39:O40"/>
    <mergeCell ref="O45:O46"/>
    <mergeCell ref="O43:O44"/>
    <mergeCell ref="O41:O42"/>
    <mergeCell ref="C94:C95"/>
    <mergeCell ref="L94:L95"/>
    <mergeCell ref="M94:M95"/>
    <mergeCell ref="N94:N95"/>
    <mergeCell ref="O94:O95"/>
    <mergeCell ref="C92:C93"/>
    <mergeCell ref="O82:O83"/>
    <mergeCell ref="O68:O69"/>
    <mergeCell ref="C82:C83"/>
    <mergeCell ref="C84:C85"/>
    <mergeCell ref="L92:L93"/>
    <mergeCell ref="O76:O77"/>
    <mergeCell ref="E49:E50"/>
    <mergeCell ref="E51:E52"/>
    <mergeCell ref="E53:E54"/>
    <mergeCell ref="E86:E87"/>
    <mergeCell ref="E88:E89"/>
    <mergeCell ref="E90:E91"/>
    <mergeCell ref="E92:E93"/>
    <mergeCell ref="E39:E40"/>
    <mergeCell ref="C53:C54"/>
    <mergeCell ref="C141:C142"/>
    <mergeCell ref="C88:C89"/>
    <mergeCell ref="C90:C91"/>
    <mergeCell ref="C137:C138"/>
    <mergeCell ref="C121:C122"/>
    <mergeCell ref="Q94:Q95"/>
    <mergeCell ref="C125:C126"/>
    <mergeCell ref="L123:L124"/>
    <mergeCell ref="M123:M124"/>
    <mergeCell ref="N123:N124"/>
    <mergeCell ref="Q88:Q89"/>
    <mergeCell ref="M90:M91"/>
    <mergeCell ref="M88:M89"/>
    <mergeCell ref="N88:N89"/>
    <mergeCell ref="O88:O89"/>
    <mergeCell ref="L90:L91"/>
    <mergeCell ref="P123:P124"/>
    <mergeCell ref="Q119:Q120"/>
    <mergeCell ref="Q114:Q115"/>
    <mergeCell ref="O133:O134"/>
    <mergeCell ref="L133:L134"/>
    <mergeCell ref="P137:P138"/>
    <mergeCell ref="Q137:Q138"/>
    <mergeCell ref="B119:B162"/>
    <mergeCell ref="C161:C162"/>
    <mergeCell ref="L161:L162"/>
    <mergeCell ref="M161:M162"/>
    <mergeCell ref="N161:N162"/>
    <mergeCell ref="L131:L132"/>
    <mergeCell ref="M133:M134"/>
    <mergeCell ref="N133:N134"/>
    <mergeCell ref="N143:N144"/>
    <mergeCell ref="L139:L140"/>
    <mergeCell ref="M139:M140"/>
    <mergeCell ref="N139:N140"/>
    <mergeCell ref="L141:L142"/>
    <mergeCell ref="N141:N142"/>
    <mergeCell ref="E145:E146"/>
    <mergeCell ref="E161:E162"/>
    <mergeCell ref="E127:E128"/>
    <mergeCell ref="E129:E130"/>
    <mergeCell ref="M141:M142"/>
    <mergeCell ref="L125:L126"/>
    <mergeCell ref="C119:C120"/>
    <mergeCell ref="M121:M122"/>
    <mergeCell ref="C139:C140"/>
    <mergeCell ref="C143:C144"/>
    <mergeCell ref="Q72:Q73"/>
    <mergeCell ref="Q78:Q79"/>
    <mergeCell ref="Q80:Q81"/>
    <mergeCell ref="C123:C124"/>
    <mergeCell ref="O84:O85"/>
    <mergeCell ref="Q35:Q36"/>
    <mergeCell ref="Q39:Q40"/>
    <mergeCell ref="Q33:Q34"/>
    <mergeCell ref="Q47:Q48"/>
    <mergeCell ref="P47:P48"/>
    <mergeCell ref="O61:O62"/>
    <mergeCell ref="M51:M52"/>
    <mergeCell ref="O37:O38"/>
    <mergeCell ref="O51:O52"/>
    <mergeCell ref="P51:P52"/>
    <mergeCell ref="P49:P50"/>
    <mergeCell ref="N35:N36"/>
    <mergeCell ref="P39:P40"/>
    <mergeCell ref="P43:P44"/>
    <mergeCell ref="Q61:Q62"/>
    <mergeCell ref="M53:M54"/>
    <mergeCell ref="N53:N54"/>
    <mergeCell ref="O53:O54"/>
    <mergeCell ref="L68:L69"/>
    <mergeCell ref="B66:B115"/>
    <mergeCell ref="L66:L67"/>
    <mergeCell ref="C47:C48"/>
    <mergeCell ref="C49:C50"/>
    <mergeCell ref="C51:C52"/>
    <mergeCell ref="M47:M48"/>
    <mergeCell ref="N47:N48"/>
    <mergeCell ref="N39:N40"/>
    <mergeCell ref="C39:C40"/>
    <mergeCell ref="C41:C42"/>
    <mergeCell ref="C43:C44"/>
    <mergeCell ref="L45:L46"/>
    <mergeCell ref="L43:L44"/>
    <mergeCell ref="M43:M44"/>
    <mergeCell ref="N43:N44"/>
    <mergeCell ref="N41:N42"/>
    <mergeCell ref="L41:L42"/>
    <mergeCell ref="M41:M42"/>
    <mergeCell ref="M70:M71"/>
    <mergeCell ref="N70:N71"/>
    <mergeCell ref="M68:M69"/>
    <mergeCell ref="N68:N69"/>
    <mergeCell ref="C78:C79"/>
    <mergeCell ref="C80:C81"/>
    <mergeCell ref="Q90:Q91"/>
    <mergeCell ref="O92:O93"/>
    <mergeCell ref="P92:P93"/>
    <mergeCell ref="Q92:Q93"/>
    <mergeCell ref="O123:O124"/>
    <mergeCell ref="Q125:Q126"/>
    <mergeCell ref="P86:P87"/>
    <mergeCell ref="Q86:Q87"/>
    <mergeCell ref="Q121:Q122"/>
    <mergeCell ref="Q108:Q109"/>
    <mergeCell ref="Q102:Q103"/>
    <mergeCell ref="O161:O162"/>
    <mergeCell ref="P161:P162"/>
    <mergeCell ref="Q161:Q162"/>
    <mergeCell ref="M127:M128"/>
    <mergeCell ref="N127:N128"/>
    <mergeCell ref="O127:O128"/>
    <mergeCell ref="P127:P128"/>
    <mergeCell ref="O135:O136"/>
    <mergeCell ref="P135:P136"/>
    <mergeCell ref="Q131:Q132"/>
    <mergeCell ref="P133:P134"/>
    <mergeCell ref="N131:N132"/>
    <mergeCell ref="O131:O132"/>
    <mergeCell ref="O145:O146"/>
    <mergeCell ref="P145:P146"/>
    <mergeCell ref="Q145:Q146"/>
    <mergeCell ref="Q143:Q144"/>
    <mergeCell ref="O143:O144"/>
    <mergeCell ref="P143:P144"/>
    <mergeCell ref="P131:P132"/>
    <mergeCell ref="Q135:Q136"/>
    <mergeCell ref="Q127:Q128"/>
    <mergeCell ref="P139:P140"/>
    <mergeCell ref="M131:M132"/>
    <mergeCell ref="B2:Q2"/>
    <mergeCell ref="Q84:Q85"/>
    <mergeCell ref="L86:L87"/>
    <mergeCell ref="M66:M67"/>
    <mergeCell ref="N66:N67"/>
    <mergeCell ref="M84:M85"/>
    <mergeCell ref="C55:C56"/>
    <mergeCell ref="L55:L56"/>
    <mergeCell ref="M55:M56"/>
    <mergeCell ref="N55:N56"/>
    <mergeCell ref="O55:O56"/>
    <mergeCell ref="L53:L54"/>
    <mergeCell ref="L61:L62"/>
    <mergeCell ref="L84:L85"/>
    <mergeCell ref="M86:M87"/>
    <mergeCell ref="N86:N87"/>
    <mergeCell ref="O86:O87"/>
    <mergeCell ref="B4:Q4"/>
    <mergeCell ref="P53:P54"/>
    <mergeCell ref="Q53:Q54"/>
    <mergeCell ref="C61:C62"/>
    <mergeCell ref="Q41:Q42"/>
    <mergeCell ref="M45:M46"/>
    <mergeCell ref="N45:N46"/>
    <mergeCell ref="Q43:Q44"/>
    <mergeCell ref="Q45:Q46"/>
    <mergeCell ref="M61:M62"/>
    <mergeCell ref="N61:N62"/>
    <mergeCell ref="P55:P56"/>
    <mergeCell ref="Q55:Q56"/>
    <mergeCell ref="N49:N50"/>
    <mergeCell ref="M49:M50"/>
    <mergeCell ref="N51:N52"/>
    <mergeCell ref="P45:P46"/>
    <mergeCell ref="O47:O48"/>
    <mergeCell ref="P61:P62"/>
    <mergeCell ref="C57:C58"/>
    <mergeCell ref="L57:L58"/>
    <mergeCell ref="M57:M58"/>
    <mergeCell ref="N57:N58"/>
    <mergeCell ref="O57:O58"/>
    <mergeCell ref="P57:P58"/>
    <mergeCell ref="B31:B62"/>
    <mergeCell ref="C10:C11"/>
    <mergeCell ref="C45:C46"/>
    <mergeCell ref="L39:L40"/>
    <mergeCell ref="M39:M40"/>
    <mergeCell ref="L49:L50"/>
    <mergeCell ref="L47:L48"/>
    <mergeCell ref="L51:L52"/>
    <mergeCell ref="L14:L15"/>
    <mergeCell ref="M35:M36"/>
    <mergeCell ref="C18:C19"/>
    <mergeCell ref="L18:L19"/>
    <mergeCell ref="B6:B27"/>
    <mergeCell ref="C26:C27"/>
    <mergeCell ref="M10:M11"/>
    <mergeCell ref="N14:N15"/>
    <mergeCell ref="C33:C34"/>
    <mergeCell ref="L10:L11"/>
    <mergeCell ref="L33:L34"/>
    <mergeCell ref="N20:N21"/>
    <mergeCell ref="O20:O21"/>
    <mergeCell ref="P20:P21"/>
    <mergeCell ref="N33:N34"/>
    <mergeCell ref="M31:M32"/>
    <mergeCell ref="N31:N32"/>
    <mergeCell ref="P33:P34"/>
    <mergeCell ref="O31:O32"/>
    <mergeCell ref="P31:P32"/>
    <mergeCell ref="M20:M21"/>
    <mergeCell ref="L26:L27"/>
    <mergeCell ref="M26:M27"/>
    <mergeCell ref="N22:N23"/>
    <mergeCell ref="O22:O23"/>
    <mergeCell ref="P22:P23"/>
    <mergeCell ref="N24:N25"/>
    <mergeCell ref="O24:O25"/>
    <mergeCell ref="P24:P25"/>
    <mergeCell ref="C35:C36"/>
    <mergeCell ref="C16:C17"/>
    <mergeCell ref="C31:C32"/>
    <mergeCell ref="C37:C38"/>
    <mergeCell ref="L16:L17"/>
    <mergeCell ref="M16:M17"/>
    <mergeCell ref="M14:M15"/>
    <mergeCell ref="L31:L32"/>
    <mergeCell ref="L35:L36"/>
    <mergeCell ref="L37:L38"/>
    <mergeCell ref="C20:C21"/>
    <mergeCell ref="L20:L21"/>
    <mergeCell ref="M18:M19"/>
    <mergeCell ref="C14:C15"/>
    <mergeCell ref="E31:E32"/>
    <mergeCell ref="E33:E34"/>
    <mergeCell ref="E35:E36"/>
    <mergeCell ref="E37:E38"/>
    <mergeCell ref="C22:C23"/>
    <mergeCell ref="L22:L23"/>
    <mergeCell ref="M22:M23"/>
    <mergeCell ref="C24:C25"/>
    <mergeCell ref="L24:L25"/>
    <mergeCell ref="M24:M25"/>
    <mergeCell ref="Q70:Q71"/>
    <mergeCell ref="N10:N11"/>
    <mergeCell ref="O10:O11"/>
    <mergeCell ref="P10:P11"/>
    <mergeCell ref="P18:P19"/>
    <mergeCell ref="Q10:Q11"/>
    <mergeCell ref="Q57:Q58"/>
    <mergeCell ref="O26:O27"/>
    <mergeCell ref="P26:P27"/>
    <mergeCell ref="Q26:Q27"/>
    <mergeCell ref="N26:N27"/>
    <mergeCell ref="Q18:Q19"/>
    <mergeCell ref="Q12:Q13"/>
    <mergeCell ref="O14:O15"/>
    <mergeCell ref="P14:P15"/>
    <mergeCell ref="O16:O17"/>
    <mergeCell ref="P16:P17"/>
    <mergeCell ref="Q16:Q17"/>
    <mergeCell ref="N16:N17"/>
    <mergeCell ref="Q20:Q21"/>
    <mergeCell ref="Q31:Q32"/>
    <mergeCell ref="Q22:Q23"/>
    <mergeCell ref="Q24:Q25"/>
    <mergeCell ref="P41:P42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  <mergeCell ref="P6:P7"/>
    <mergeCell ref="B3:Q3"/>
    <mergeCell ref="C66:C67"/>
    <mergeCell ref="C6:C7"/>
    <mergeCell ref="C8:C9"/>
    <mergeCell ref="C12:C13"/>
    <mergeCell ref="Q14:Q15"/>
    <mergeCell ref="L12:L13"/>
    <mergeCell ref="M12:M13"/>
    <mergeCell ref="N12:N13"/>
    <mergeCell ref="O12:O13"/>
    <mergeCell ref="P12:P13"/>
    <mergeCell ref="N18:N19"/>
    <mergeCell ref="O18:O19"/>
    <mergeCell ref="P37:P38"/>
    <mergeCell ref="Q37:Q38"/>
    <mergeCell ref="O35:O36"/>
    <mergeCell ref="P35:P36"/>
    <mergeCell ref="M33:M34"/>
    <mergeCell ref="O33:O34"/>
    <mergeCell ref="Q49:Q50"/>
    <mergeCell ref="M37:M38"/>
    <mergeCell ref="N37:N38"/>
    <mergeCell ref="Q51:Q52"/>
    <mergeCell ref="O49:O50"/>
    <mergeCell ref="Q76:Q77"/>
    <mergeCell ref="N74:N75"/>
    <mergeCell ref="C68:C69"/>
    <mergeCell ref="C70:C71"/>
    <mergeCell ref="L72:L73"/>
    <mergeCell ref="L70:L71"/>
    <mergeCell ref="C72:C73"/>
    <mergeCell ref="N84:N85"/>
    <mergeCell ref="E61:E62"/>
    <mergeCell ref="N76:N77"/>
    <mergeCell ref="L78:L79"/>
    <mergeCell ref="E82:E83"/>
    <mergeCell ref="E84:E85"/>
    <mergeCell ref="L76:L77"/>
    <mergeCell ref="M76:M77"/>
    <mergeCell ref="L74:L75"/>
    <mergeCell ref="P84:P85"/>
    <mergeCell ref="O72:O73"/>
    <mergeCell ref="Q74:Q75"/>
    <mergeCell ref="Q68:Q69"/>
    <mergeCell ref="O66:O67"/>
    <mergeCell ref="Q66:Q67"/>
    <mergeCell ref="O70:O71"/>
    <mergeCell ref="P70:P71"/>
    <mergeCell ref="M80:M81"/>
    <mergeCell ref="L88:L89"/>
    <mergeCell ref="E114:E115"/>
    <mergeCell ref="E119:E120"/>
    <mergeCell ref="M114:M115"/>
    <mergeCell ref="C86:C87"/>
    <mergeCell ref="L80:L81"/>
    <mergeCell ref="M92:M93"/>
    <mergeCell ref="M78:M79"/>
    <mergeCell ref="C100:C101"/>
    <mergeCell ref="L100:L101"/>
    <mergeCell ref="M100:M101"/>
    <mergeCell ref="E78:E79"/>
    <mergeCell ref="E80:E81"/>
    <mergeCell ref="L108:L109"/>
    <mergeCell ref="M108:M109"/>
    <mergeCell ref="L119:L120"/>
    <mergeCell ref="C102:C103"/>
    <mergeCell ref="L102:L103"/>
    <mergeCell ref="C110:C111"/>
    <mergeCell ref="L110:L111"/>
    <mergeCell ref="C112:C113"/>
    <mergeCell ref="L112:L113"/>
    <mergeCell ref="M112:M113"/>
    <mergeCell ref="E123:E124"/>
    <mergeCell ref="E125:E126"/>
    <mergeCell ref="M129:M130"/>
    <mergeCell ref="N129:N130"/>
    <mergeCell ref="O129:O130"/>
    <mergeCell ref="P129:P130"/>
    <mergeCell ref="Q129:Q130"/>
    <mergeCell ref="Q133:Q134"/>
    <mergeCell ref="Q123:Q124"/>
    <mergeCell ref="E131:E132"/>
    <mergeCell ref="E133:E134"/>
    <mergeCell ref="O139:O140"/>
    <mergeCell ref="O141:O142"/>
    <mergeCell ref="P141:P142"/>
    <mergeCell ref="E6:E7"/>
    <mergeCell ref="E8:E9"/>
    <mergeCell ref="E10:E11"/>
    <mergeCell ref="E12:E13"/>
    <mergeCell ref="E14:E15"/>
    <mergeCell ref="E16:E17"/>
    <mergeCell ref="E18:E19"/>
    <mergeCell ref="E20:E21"/>
    <mergeCell ref="E26:E27"/>
    <mergeCell ref="E41:E42"/>
    <mergeCell ref="E43:E44"/>
    <mergeCell ref="E45:E46"/>
    <mergeCell ref="E47:E48"/>
    <mergeCell ref="E137:E138"/>
    <mergeCell ref="E55:E56"/>
    <mergeCell ref="E66:E67"/>
    <mergeCell ref="E68:E69"/>
    <mergeCell ref="E70:E71"/>
    <mergeCell ref="E72:E73"/>
    <mergeCell ref="E74:E75"/>
    <mergeCell ref="E76:E77"/>
    <mergeCell ref="E135:E136"/>
    <mergeCell ref="Q100:Q101"/>
    <mergeCell ref="C96:C97"/>
    <mergeCell ref="L96:L97"/>
    <mergeCell ref="M96:M97"/>
    <mergeCell ref="N96:N97"/>
    <mergeCell ref="O96:O97"/>
    <mergeCell ref="P96:P97"/>
    <mergeCell ref="Q96:Q97"/>
    <mergeCell ref="C98:C99"/>
    <mergeCell ref="L98:L99"/>
    <mergeCell ref="M98:M99"/>
    <mergeCell ref="N98:N99"/>
    <mergeCell ref="O98:O99"/>
    <mergeCell ref="P98:P99"/>
    <mergeCell ref="Q98:Q99"/>
    <mergeCell ref="C106:C107"/>
    <mergeCell ref="L106:L107"/>
    <mergeCell ref="M106:M107"/>
    <mergeCell ref="N106:N107"/>
    <mergeCell ref="O106:O107"/>
    <mergeCell ref="P106:P107"/>
    <mergeCell ref="Q106:Q107"/>
    <mergeCell ref="C108:C109"/>
    <mergeCell ref="M110:M111"/>
    <mergeCell ref="N110:N111"/>
    <mergeCell ref="O110:O111"/>
    <mergeCell ref="P110:P111"/>
    <mergeCell ref="Q110:Q111"/>
    <mergeCell ref="C59:C60"/>
    <mergeCell ref="L59:L60"/>
    <mergeCell ref="M59:M60"/>
    <mergeCell ref="N59:N60"/>
    <mergeCell ref="O59:O60"/>
    <mergeCell ref="P59:P60"/>
    <mergeCell ref="Q59:Q60"/>
    <mergeCell ref="C104:C105"/>
    <mergeCell ref="L104:L105"/>
    <mergeCell ref="M104:M105"/>
    <mergeCell ref="N104:N105"/>
    <mergeCell ref="O104:O105"/>
    <mergeCell ref="P104:P105"/>
    <mergeCell ref="Q104:Q105"/>
    <mergeCell ref="C74:C75"/>
    <mergeCell ref="C76:C77"/>
    <mergeCell ref="L82:L83"/>
    <mergeCell ref="M82:M83"/>
    <mergeCell ref="M74:M75"/>
  </mergeCells>
  <conditionalFormatting sqref="Q6:Q27">
    <cfRule type="cellIs" dxfId="1" priority="4" operator="greaterThan">
      <formula>0.95</formula>
    </cfRule>
  </conditionalFormatting>
  <conditionalFormatting sqref="Q66:Q115">
    <cfRule type="cellIs" dxfId="0" priority="1" operator="greaterThan">
      <formula>1</formula>
    </cfRule>
  </conditionalFormatting>
  <pageMargins left="0.7" right="0.7" top="0.75" bottom="0.75" header="0.3" footer="0.3"/>
  <pageSetup paperSize="173" orientation="portrait" r:id="rId1"/>
  <ignoredErrors>
    <ignoredError sqref="N31:N48 H143:H144 N6:N7 H139:H140 N13 N9 N49:N52 N14:N1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9"/>
  <sheetViews>
    <sheetView showGridLines="0" tabSelected="1" topLeftCell="A199" zoomScaleNormal="100" workbookViewId="0">
      <selection activeCell="D213" sqref="D213"/>
    </sheetView>
  </sheetViews>
  <sheetFormatPr baseColWidth="10" defaultColWidth="11.42578125" defaultRowHeight="12"/>
  <cols>
    <col min="1" max="1" width="16.140625" style="19" customWidth="1"/>
    <col min="2" max="2" width="23" style="128" bestFit="1" customWidth="1"/>
    <col min="3" max="3" width="29.140625" style="128" customWidth="1"/>
    <col min="4" max="4" width="19.5703125" style="19" bestFit="1" customWidth="1"/>
    <col min="5" max="6" width="21.5703125" style="19" bestFit="1" customWidth="1"/>
    <col min="7" max="7" width="18" style="41" bestFit="1" customWidth="1"/>
    <col min="8" max="8" width="17.5703125" style="36" bestFit="1" customWidth="1"/>
    <col min="9" max="9" width="12" style="19" bestFit="1" customWidth="1"/>
    <col min="10" max="10" width="14.5703125" style="19" bestFit="1" customWidth="1"/>
    <col min="11" max="16384" width="11.42578125" style="19"/>
  </cols>
  <sheetData>
    <row r="1" spans="2:10" ht="7.9" customHeight="1">
      <c r="B1" s="53"/>
      <c r="C1" s="53"/>
      <c r="D1" s="52"/>
      <c r="E1" s="52"/>
      <c r="F1" s="52"/>
      <c r="G1" s="53"/>
      <c r="H1" s="54"/>
      <c r="I1" s="52"/>
      <c r="J1" s="52"/>
    </row>
    <row r="2" spans="2:10" ht="17.45" customHeight="1">
      <c r="B2" s="209" t="s">
        <v>299</v>
      </c>
      <c r="C2" s="210"/>
      <c r="D2" s="210"/>
      <c r="E2" s="210"/>
      <c r="F2" s="210"/>
      <c r="G2" s="210"/>
      <c r="H2" s="210"/>
      <c r="I2" s="210"/>
      <c r="J2" s="211"/>
    </row>
    <row r="3" spans="2:10">
      <c r="B3" s="212">
        <f>+RESUMEN!B3</f>
        <v>44895</v>
      </c>
      <c r="C3" s="213"/>
      <c r="D3" s="213"/>
      <c r="E3" s="213"/>
      <c r="F3" s="213"/>
      <c r="G3" s="213"/>
      <c r="H3" s="213"/>
      <c r="I3" s="213"/>
      <c r="J3" s="214"/>
    </row>
    <row r="4" spans="2:10">
      <c r="B4" s="216"/>
      <c r="C4" s="216"/>
      <c r="D4" s="216"/>
      <c r="E4" s="216"/>
      <c r="F4" s="216"/>
      <c r="G4" s="216"/>
      <c r="H4" s="216"/>
      <c r="I4" s="216"/>
      <c r="J4" s="216"/>
    </row>
    <row r="5" spans="2:10" ht="12" customHeight="1"/>
    <row r="6" spans="2:10" ht="13.5" customHeight="1"/>
    <row r="7" spans="2:10">
      <c r="B7" s="38" t="s">
        <v>85</v>
      </c>
      <c r="C7" s="38" t="s">
        <v>86</v>
      </c>
      <c r="D7" s="38" t="s">
        <v>87</v>
      </c>
      <c r="E7" s="38" t="s">
        <v>168</v>
      </c>
      <c r="F7" s="40" t="s">
        <v>94</v>
      </c>
      <c r="G7" s="38" t="s">
        <v>110</v>
      </c>
      <c r="H7" s="38" t="s">
        <v>167</v>
      </c>
      <c r="I7" s="38" t="s">
        <v>111</v>
      </c>
      <c r="J7" s="38" t="s">
        <v>91</v>
      </c>
    </row>
    <row r="8" spans="2:10">
      <c r="B8" s="217" t="s">
        <v>7</v>
      </c>
      <c r="C8" s="180">
        <v>681</v>
      </c>
      <c r="D8" s="202">
        <v>44648</v>
      </c>
      <c r="E8" s="180">
        <v>28451</v>
      </c>
      <c r="F8" s="25" t="s">
        <v>196</v>
      </c>
      <c r="G8" s="30">
        <v>11201.039000000001</v>
      </c>
      <c r="H8" s="174">
        <f>G8+G9+G10</f>
        <v>28451</v>
      </c>
      <c r="I8" s="174">
        <f>E8-H8</f>
        <v>0</v>
      </c>
      <c r="J8" s="215">
        <f>H8/E8</f>
        <v>1</v>
      </c>
    </row>
    <row r="9" spans="2:10">
      <c r="B9" s="218"/>
      <c r="C9" s="180"/>
      <c r="D9" s="202"/>
      <c r="E9" s="180"/>
      <c r="F9" s="25" t="s">
        <v>197</v>
      </c>
      <c r="G9" s="30">
        <v>7562.32</v>
      </c>
      <c r="H9" s="180"/>
      <c r="I9" s="180"/>
      <c r="J9" s="215"/>
    </row>
    <row r="10" spans="2:10">
      <c r="B10" s="218"/>
      <c r="C10" s="180"/>
      <c r="D10" s="202"/>
      <c r="E10" s="180"/>
      <c r="F10" s="25" t="s">
        <v>198</v>
      </c>
      <c r="G10" s="30">
        <v>9687.6409999999996</v>
      </c>
      <c r="H10" s="180"/>
      <c r="I10" s="180"/>
      <c r="J10" s="215"/>
    </row>
    <row r="11" spans="2:10" hidden="1">
      <c r="B11" s="218"/>
      <c r="C11" s="180"/>
      <c r="D11" s="202"/>
      <c r="E11" s="180"/>
      <c r="F11" s="25"/>
      <c r="G11" s="30"/>
      <c r="H11" s="174">
        <f>G11+G12+G13</f>
        <v>0</v>
      </c>
      <c r="I11" s="174">
        <f>E11-H11</f>
        <v>0</v>
      </c>
      <c r="J11" s="220" t="e">
        <f>H11/E11</f>
        <v>#DIV/0!</v>
      </c>
    </row>
    <row r="12" spans="2:10" hidden="1">
      <c r="B12" s="218"/>
      <c r="C12" s="180"/>
      <c r="D12" s="202"/>
      <c r="E12" s="180"/>
      <c r="F12" s="25"/>
      <c r="G12" s="30"/>
      <c r="H12" s="180"/>
      <c r="I12" s="180"/>
      <c r="J12" s="220"/>
    </row>
    <row r="13" spans="2:10" hidden="1">
      <c r="B13" s="218"/>
      <c r="C13" s="180"/>
      <c r="D13" s="202"/>
      <c r="E13" s="180"/>
      <c r="F13" s="25"/>
      <c r="G13" s="30"/>
      <c r="H13" s="180"/>
      <c r="I13" s="180"/>
      <c r="J13" s="220"/>
    </row>
    <row r="14" spans="2:10" hidden="1">
      <c r="B14" s="218"/>
      <c r="C14" s="180"/>
      <c r="D14" s="202"/>
      <c r="E14" s="180"/>
      <c r="F14" s="25"/>
      <c r="G14" s="30"/>
      <c r="H14" s="174">
        <f>G14+G15+G16</f>
        <v>0</v>
      </c>
      <c r="I14" s="174">
        <f>E14-H14</f>
        <v>0</v>
      </c>
      <c r="J14" s="220" t="e">
        <f>H14/E14</f>
        <v>#DIV/0!</v>
      </c>
    </row>
    <row r="15" spans="2:10" hidden="1">
      <c r="B15" s="218"/>
      <c r="C15" s="180"/>
      <c r="D15" s="202"/>
      <c r="E15" s="180"/>
      <c r="F15" s="25"/>
      <c r="G15" s="30"/>
      <c r="H15" s="180"/>
      <c r="I15" s="180"/>
      <c r="J15" s="220"/>
    </row>
    <row r="16" spans="2:10" hidden="1">
      <c r="B16" s="219"/>
      <c r="C16" s="180"/>
      <c r="D16" s="202"/>
      <c r="E16" s="180"/>
      <c r="F16" s="25"/>
      <c r="G16" s="30"/>
      <c r="H16" s="180"/>
      <c r="I16" s="180"/>
      <c r="J16" s="220"/>
    </row>
    <row r="17" spans="2:10">
      <c r="B17" s="152" t="s">
        <v>6</v>
      </c>
      <c r="C17" s="180">
        <v>666</v>
      </c>
      <c r="D17" s="202">
        <v>44643</v>
      </c>
      <c r="E17" s="180">
        <v>6374</v>
      </c>
      <c r="F17" s="25" t="s">
        <v>200</v>
      </c>
      <c r="G17" s="30">
        <v>1197.7650000000001</v>
      </c>
      <c r="H17" s="174">
        <f>G17+G18+G19+G20+G21</f>
        <v>6373.9999999999991</v>
      </c>
      <c r="I17" s="174">
        <f>E17-H17</f>
        <v>0</v>
      </c>
      <c r="J17" s="215">
        <f>H17/E17</f>
        <v>0.99999999999999989</v>
      </c>
    </row>
    <row r="18" spans="2:10">
      <c r="B18" s="153"/>
      <c r="C18" s="180"/>
      <c r="D18" s="202"/>
      <c r="E18" s="180"/>
      <c r="F18" s="25" t="s">
        <v>201</v>
      </c>
      <c r="G18" s="30">
        <v>1586.83</v>
      </c>
      <c r="H18" s="174"/>
      <c r="I18" s="174"/>
      <c r="J18" s="215"/>
    </row>
    <row r="19" spans="2:10">
      <c r="B19" s="153"/>
      <c r="C19" s="180"/>
      <c r="D19" s="202"/>
      <c r="E19" s="180"/>
      <c r="F19" s="25" t="s">
        <v>202</v>
      </c>
      <c r="G19" s="30">
        <v>1420.27</v>
      </c>
      <c r="H19" s="174"/>
      <c r="I19" s="174"/>
      <c r="J19" s="215"/>
    </row>
    <row r="20" spans="2:10">
      <c r="B20" s="153"/>
      <c r="C20" s="180"/>
      <c r="D20" s="202"/>
      <c r="E20" s="180"/>
      <c r="F20" s="25" t="s">
        <v>203</v>
      </c>
      <c r="G20" s="30">
        <v>676.35500000000002</v>
      </c>
      <c r="H20" s="174"/>
      <c r="I20" s="174"/>
      <c r="J20" s="215"/>
    </row>
    <row r="21" spans="2:10">
      <c r="B21" s="153"/>
      <c r="C21" s="180"/>
      <c r="D21" s="202"/>
      <c r="E21" s="180"/>
      <c r="F21" s="25" t="s">
        <v>204</v>
      </c>
      <c r="G21" s="30">
        <v>1492.78</v>
      </c>
      <c r="H21" s="174"/>
      <c r="I21" s="174"/>
      <c r="J21" s="215"/>
    </row>
    <row r="22" spans="2:10">
      <c r="B22" s="153"/>
      <c r="C22" s="152">
        <v>680</v>
      </c>
      <c r="D22" s="221">
        <v>44648</v>
      </c>
      <c r="E22" s="152">
        <v>7400</v>
      </c>
      <c r="F22" s="25" t="s">
        <v>200</v>
      </c>
      <c r="G22" s="30">
        <v>1397.529</v>
      </c>
      <c r="H22" s="174">
        <f>G22+G23+G24+G25+G26</f>
        <v>7399.9999999999991</v>
      </c>
      <c r="I22" s="174">
        <f>E22-H22</f>
        <v>0</v>
      </c>
      <c r="J22" s="215">
        <f>H22/E22</f>
        <v>0.99999999999999989</v>
      </c>
    </row>
    <row r="23" spans="2:10">
      <c r="B23" s="153"/>
      <c r="C23" s="153"/>
      <c r="D23" s="222"/>
      <c r="E23" s="153"/>
      <c r="F23" s="25" t="s">
        <v>201</v>
      </c>
      <c r="G23" s="30">
        <v>1779.278</v>
      </c>
      <c r="H23" s="174"/>
      <c r="I23" s="174"/>
      <c r="J23" s="215"/>
    </row>
    <row r="24" spans="2:10">
      <c r="B24" s="153"/>
      <c r="C24" s="153"/>
      <c r="D24" s="222"/>
      <c r="E24" s="153"/>
      <c r="F24" s="25" t="s">
        <v>202</v>
      </c>
      <c r="G24" s="30">
        <v>1378.4749999999999</v>
      </c>
      <c r="H24" s="174"/>
      <c r="I24" s="174"/>
      <c r="J24" s="215"/>
    </row>
    <row r="25" spans="2:10">
      <c r="B25" s="153"/>
      <c r="C25" s="153"/>
      <c r="D25" s="222"/>
      <c r="E25" s="153"/>
      <c r="F25" s="25" t="s">
        <v>203</v>
      </c>
      <c r="G25" s="30">
        <v>452.02199999999999</v>
      </c>
      <c r="H25" s="174"/>
      <c r="I25" s="174"/>
      <c r="J25" s="215"/>
    </row>
    <row r="26" spans="2:10">
      <c r="B26" s="153"/>
      <c r="C26" s="154"/>
      <c r="D26" s="223"/>
      <c r="E26" s="154"/>
      <c r="F26" s="25" t="s">
        <v>204</v>
      </c>
      <c r="G26" s="30">
        <v>2392.6959999999999</v>
      </c>
      <c r="H26" s="174"/>
      <c r="I26" s="174"/>
      <c r="J26" s="215"/>
    </row>
    <row r="27" spans="2:10" hidden="1">
      <c r="B27" s="153"/>
      <c r="C27" s="152"/>
      <c r="D27" s="221"/>
      <c r="E27" s="152"/>
      <c r="F27" s="25"/>
      <c r="G27" s="30"/>
      <c r="H27" s="174">
        <f>G27+G28+G29+G30+G31</f>
        <v>0</v>
      </c>
      <c r="I27" s="174">
        <f>E27-H27</f>
        <v>0</v>
      </c>
      <c r="J27" s="220" t="e">
        <f>H27/E27</f>
        <v>#DIV/0!</v>
      </c>
    </row>
    <row r="28" spans="2:10" hidden="1">
      <c r="B28" s="153"/>
      <c r="C28" s="153"/>
      <c r="D28" s="222"/>
      <c r="E28" s="153"/>
      <c r="F28" s="25"/>
      <c r="G28" s="30"/>
      <c r="H28" s="174"/>
      <c r="I28" s="174"/>
      <c r="J28" s="220"/>
    </row>
    <row r="29" spans="2:10" hidden="1">
      <c r="B29" s="153"/>
      <c r="C29" s="153"/>
      <c r="D29" s="222"/>
      <c r="E29" s="153"/>
      <c r="F29" s="25"/>
      <c r="G29" s="30"/>
      <c r="H29" s="174"/>
      <c r="I29" s="174"/>
      <c r="J29" s="220"/>
    </row>
    <row r="30" spans="2:10" hidden="1">
      <c r="B30" s="153"/>
      <c r="C30" s="153"/>
      <c r="D30" s="222"/>
      <c r="E30" s="153"/>
      <c r="F30" s="25"/>
      <c r="G30" s="30"/>
      <c r="H30" s="174"/>
      <c r="I30" s="174"/>
      <c r="J30" s="220"/>
    </row>
    <row r="31" spans="2:10" hidden="1">
      <c r="B31" s="153"/>
      <c r="C31" s="154"/>
      <c r="D31" s="223"/>
      <c r="E31" s="154"/>
      <c r="F31" s="25"/>
      <c r="G31" s="30"/>
      <c r="H31" s="174"/>
      <c r="I31" s="174"/>
      <c r="J31" s="220"/>
    </row>
    <row r="32" spans="2:10" hidden="1">
      <c r="B32" s="153"/>
      <c r="C32" s="152"/>
      <c r="D32" s="221"/>
      <c r="E32" s="152"/>
      <c r="F32" s="25"/>
      <c r="G32" s="30"/>
      <c r="H32" s="174">
        <f>G32+G33+G34+G35+G36</f>
        <v>0</v>
      </c>
      <c r="I32" s="174">
        <f>E32-H32</f>
        <v>0</v>
      </c>
      <c r="J32" s="220" t="e">
        <f>H32/E32</f>
        <v>#DIV/0!</v>
      </c>
    </row>
    <row r="33" spans="2:10" hidden="1">
      <c r="B33" s="153"/>
      <c r="C33" s="153"/>
      <c r="D33" s="222"/>
      <c r="E33" s="153"/>
      <c r="F33" s="25"/>
      <c r="G33" s="30"/>
      <c r="H33" s="174"/>
      <c r="I33" s="174"/>
      <c r="J33" s="220"/>
    </row>
    <row r="34" spans="2:10" hidden="1">
      <c r="B34" s="153"/>
      <c r="C34" s="153"/>
      <c r="D34" s="222"/>
      <c r="E34" s="153"/>
      <c r="F34" s="25"/>
      <c r="G34" s="30"/>
      <c r="H34" s="174"/>
      <c r="I34" s="174"/>
      <c r="J34" s="220"/>
    </row>
    <row r="35" spans="2:10" hidden="1">
      <c r="B35" s="153"/>
      <c r="C35" s="153"/>
      <c r="D35" s="222"/>
      <c r="E35" s="153"/>
      <c r="F35" s="25"/>
      <c r="G35" s="30"/>
      <c r="H35" s="174"/>
      <c r="I35" s="174"/>
      <c r="J35" s="220"/>
    </row>
    <row r="36" spans="2:10" hidden="1">
      <c r="B36" s="154"/>
      <c r="C36" s="154"/>
      <c r="D36" s="223"/>
      <c r="E36" s="154"/>
      <c r="F36" s="25"/>
      <c r="G36" s="30"/>
      <c r="H36" s="174"/>
      <c r="I36" s="174"/>
      <c r="J36" s="220"/>
    </row>
    <row r="37" spans="2:10">
      <c r="B37" s="152" t="s">
        <v>170</v>
      </c>
      <c r="C37" s="180">
        <v>664</v>
      </c>
      <c r="D37" s="202">
        <v>44643</v>
      </c>
      <c r="E37" s="180">
        <v>4000</v>
      </c>
      <c r="F37" s="25" t="s">
        <v>192</v>
      </c>
      <c r="G37" s="30">
        <v>2246.134</v>
      </c>
      <c r="H37" s="174">
        <f>G37+G38+G39</f>
        <v>4000</v>
      </c>
      <c r="I37" s="174">
        <f>E37-H37</f>
        <v>0</v>
      </c>
      <c r="J37" s="215">
        <f>H37/E37</f>
        <v>1</v>
      </c>
    </row>
    <row r="38" spans="2:10">
      <c r="B38" s="153"/>
      <c r="C38" s="180"/>
      <c r="D38" s="202"/>
      <c r="E38" s="180"/>
      <c r="F38" s="25" t="s">
        <v>193</v>
      </c>
      <c r="G38" s="30">
        <v>1753.866</v>
      </c>
      <c r="H38" s="174"/>
      <c r="I38" s="174"/>
      <c r="J38" s="215"/>
    </row>
    <row r="39" spans="2:10">
      <c r="B39" s="153"/>
      <c r="C39" s="180"/>
      <c r="D39" s="202"/>
      <c r="E39" s="180"/>
      <c r="F39" s="25" t="s">
        <v>194</v>
      </c>
      <c r="G39" s="30"/>
      <c r="H39" s="174"/>
      <c r="I39" s="174"/>
      <c r="J39" s="215"/>
    </row>
    <row r="40" spans="2:10">
      <c r="B40" s="153"/>
      <c r="C40" s="180">
        <v>1031</v>
      </c>
      <c r="D40" s="202">
        <v>44700</v>
      </c>
      <c r="E40" s="180">
        <v>3180</v>
      </c>
      <c r="F40" s="25" t="s">
        <v>192</v>
      </c>
      <c r="G40" s="30">
        <v>1685.6479999999999</v>
      </c>
      <c r="H40" s="174">
        <f>G40+G41+G42</f>
        <v>3180</v>
      </c>
      <c r="I40" s="174">
        <f>E40-H40</f>
        <v>0</v>
      </c>
      <c r="J40" s="215">
        <f>H40/E40</f>
        <v>1</v>
      </c>
    </row>
    <row r="41" spans="2:10">
      <c r="B41" s="153"/>
      <c r="C41" s="180"/>
      <c r="D41" s="202"/>
      <c r="E41" s="180"/>
      <c r="F41" s="25" t="s">
        <v>193</v>
      </c>
      <c r="G41" s="30">
        <v>1494.3520000000001</v>
      </c>
      <c r="H41" s="174"/>
      <c r="I41" s="174"/>
      <c r="J41" s="215"/>
    </row>
    <row r="42" spans="2:10">
      <c r="B42" s="153"/>
      <c r="C42" s="180"/>
      <c r="D42" s="202"/>
      <c r="E42" s="180"/>
      <c r="F42" s="25" t="s">
        <v>208</v>
      </c>
      <c r="G42" s="30"/>
      <c r="H42" s="174"/>
      <c r="I42" s="174"/>
      <c r="J42" s="215"/>
    </row>
    <row r="43" spans="2:10" hidden="1">
      <c r="B43" s="153"/>
      <c r="C43" s="152"/>
      <c r="D43" s="221"/>
      <c r="E43" s="152"/>
      <c r="F43" s="25"/>
      <c r="G43" s="30"/>
      <c r="H43" s="174">
        <f>G43+G44+G45</f>
        <v>0</v>
      </c>
      <c r="I43" s="174">
        <f>E43-H43</f>
        <v>0</v>
      </c>
      <c r="J43" s="220" t="e">
        <f>H43/E43</f>
        <v>#DIV/0!</v>
      </c>
    </row>
    <row r="44" spans="2:10" hidden="1">
      <c r="B44" s="153"/>
      <c r="C44" s="153"/>
      <c r="D44" s="222"/>
      <c r="E44" s="153"/>
      <c r="F44" s="25"/>
      <c r="G44" s="30"/>
      <c r="H44" s="174"/>
      <c r="I44" s="174"/>
      <c r="J44" s="220"/>
    </row>
    <row r="45" spans="2:10" hidden="1">
      <c r="B45" s="153"/>
      <c r="C45" s="153"/>
      <c r="D45" s="222"/>
      <c r="E45" s="153"/>
      <c r="F45" s="25"/>
      <c r="G45" s="30"/>
      <c r="H45" s="174"/>
      <c r="I45" s="174"/>
      <c r="J45" s="220"/>
    </row>
    <row r="46" spans="2:10" hidden="1">
      <c r="B46" s="153"/>
      <c r="C46" s="180"/>
      <c r="D46" s="202"/>
      <c r="E46" s="180"/>
      <c r="F46" s="25"/>
      <c r="G46" s="30"/>
      <c r="H46" s="174">
        <f>G46+G47+G48</f>
        <v>0</v>
      </c>
      <c r="I46" s="174">
        <f>E46-H46</f>
        <v>0</v>
      </c>
      <c r="J46" s="220" t="e">
        <f>H46/E46</f>
        <v>#DIV/0!</v>
      </c>
    </row>
    <row r="47" spans="2:10" hidden="1">
      <c r="B47" s="153"/>
      <c r="C47" s="180"/>
      <c r="D47" s="202"/>
      <c r="E47" s="180"/>
      <c r="F47" s="25"/>
      <c r="G47" s="30"/>
      <c r="H47" s="174"/>
      <c r="I47" s="174"/>
      <c r="J47" s="220"/>
    </row>
    <row r="48" spans="2:10" hidden="1">
      <c r="B48" s="154"/>
      <c r="C48" s="180"/>
      <c r="D48" s="202"/>
      <c r="E48" s="180"/>
      <c r="F48" s="25"/>
      <c r="G48" s="30"/>
      <c r="H48" s="174"/>
      <c r="I48" s="174"/>
      <c r="J48" s="220"/>
    </row>
    <row r="49" spans="2:10">
      <c r="B49" s="152" t="s">
        <v>11</v>
      </c>
      <c r="C49" s="180">
        <v>1275</v>
      </c>
      <c r="D49" s="202">
        <v>44732</v>
      </c>
      <c r="E49" s="180">
        <v>12000</v>
      </c>
      <c r="F49" s="25" t="s">
        <v>219</v>
      </c>
      <c r="G49" s="30">
        <v>4166.7510000000002</v>
      </c>
      <c r="H49" s="174">
        <f>G49+G50+G51+G52</f>
        <v>12000</v>
      </c>
      <c r="I49" s="174">
        <f>E49-H49</f>
        <v>0</v>
      </c>
      <c r="J49" s="215">
        <f>H49/E49</f>
        <v>1</v>
      </c>
    </row>
    <row r="50" spans="2:10">
      <c r="B50" s="153"/>
      <c r="C50" s="180"/>
      <c r="D50" s="180"/>
      <c r="E50" s="180"/>
      <c r="F50" s="25" t="s">
        <v>220</v>
      </c>
      <c r="G50" s="30">
        <v>2355.83</v>
      </c>
      <c r="H50" s="174"/>
      <c r="I50" s="174"/>
      <c r="J50" s="215"/>
    </row>
    <row r="51" spans="2:10">
      <c r="B51" s="153"/>
      <c r="C51" s="180"/>
      <c r="D51" s="180"/>
      <c r="E51" s="180"/>
      <c r="F51" s="25" t="s">
        <v>221</v>
      </c>
      <c r="G51" s="30">
        <v>2713.4209999999998</v>
      </c>
      <c r="H51" s="174"/>
      <c r="I51" s="174"/>
      <c r="J51" s="215"/>
    </row>
    <row r="52" spans="2:10">
      <c r="B52" s="153"/>
      <c r="C52" s="180"/>
      <c r="D52" s="180"/>
      <c r="E52" s="180"/>
      <c r="F52" s="25" t="s">
        <v>222</v>
      </c>
      <c r="G52" s="30">
        <v>2763.998</v>
      </c>
      <c r="H52" s="174"/>
      <c r="I52" s="174"/>
      <c r="J52" s="215"/>
    </row>
    <row r="53" spans="2:10">
      <c r="B53" s="153"/>
      <c r="C53" s="180">
        <v>1643</v>
      </c>
      <c r="D53" s="202">
        <v>44783</v>
      </c>
      <c r="E53" s="180">
        <v>10000</v>
      </c>
      <c r="F53" s="25" t="s">
        <v>219</v>
      </c>
      <c r="G53" s="136">
        <v>2501.962</v>
      </c>
      <c r="H53" s="174">
        <f>G53+G54+G55+G56</f>
        <v>6057.3370000000004</v>
      </c>
      <c r="I53" s="174">
        <f>E53-H53</f>
        <v>3942.6629999999996</v>
      </c>
      <c r="J53" s="220">
        <f>H53/E53</f>
        <v>0.60573370000000004</v>
      </c>
    </row>
    <row r="54" spans="2:10">
      <c r="B54" s="153"/>
      <c r="C54" s="180"/>
      <c r="D54" s="202"/>
      <c r="E54" s="180"/>
      <c r="F54" s="25" t="s">
        <v>220</v>
      </c>
      <c r="G54" s="136">
        <v>1394.8920000000001</v>
      </c>
      <c r="H54" s="174"/>
      <c r="I54" s="174"/>
      <c r="J54" s="220"/>
    </row>
    <row r="55" spans="2:10">
      <c r="B55" s="153"/>
      <c r="C55" s="180"/>
      <c r="D55" s="202"/>
      <c r="E55" s="180"/>
      <c r="F55" s="25" t="s">
        <v>221</v>
      </c>
      <c r="G55" s="136"/>
      <c r="H55" s="174"/>
      <c r="I55" s="174"/>
      <c r="J55" s="220"/>
    </row>
    <row r="56" spans="2:10">
      <c r="B56" s="153"/>
      <c r="C56" s="180"/>
      <c r="D56" s="180"/>
      <c r="E56" s="180"/>
      <c r="F56" s="25" t="s">
        <v>222</v>
      </c>
      <c r="G56" s="136">
        <v>2160.4830000000002</v>
      </c>
      <c r="H56" s="174"/>
      <c r="I56" s="174"/>
      <c r="J56" s="220"/>
    </row>
    <row r="57" spans="2:10" hidden="1">
      <c r="B57" s="153"/>
      <c r="C57" s="180"/>
      <c r="D57" s="202"/>
      <c r="E57" s="180"/>
      <c r="F57" s="25"/>
      <c r="G57" s="30"/>
      <c r="H57" s="174">
        <f>G57+G58+G59+G60+G61</f>
        <v>0</v>
      </c>
      <c r="I57" s="174">
        <f>E57-H57</f>
        <v>0</v>
      </c>
      <c r="J57" s="220" t="e">
        <f>H57/E57</f>
        <v>#DIV/0!</v>
      </c>
    </row>
    <row r="58" spans="2:10" hidden="1">
      <c r="B58" s="153"/>
      <c r="C58" s="180"/>
      <c r="D58" s="202"/>
      <c r="E58" s="180"/>
      <c r="F58" s="25"/>
      <c r="G58" s="30"/>
      <c r="H58" s="174"/>
      <c r="I58" s="174"/>
      <c r="J58" s="220"/>
    </row>
    <row r="59" spans="2:10" hidden="1">
      <c r="B59" s="153"/>
      <c r="C59" s="180"/>
      <c r="D59" s="202"/>
      <c r="E59" s="180"/>
      <c r="F59" s="25"/>
      <c r="G59" s="30"/>
      <c r="H59" s="174"/>
      <c r="I59" s="174"/>
      <c r="J59" s="220"/>
    </row>
    <row r="60" spans="2:10" hidden="1">
      <c r="B60" s="153"/>
      <c r="C60" s="180"/>
      <c r="D60" s="180"/>
      <c r="E60" s="180"/>
      <c r="F60" s="25"/>
      <c r="G60" s="30"/>
      <c r="H60" s="174"/>
      <c r="I60" s="174"/>
      <c r="J60" s="220"/>
    </row>
    <row r="61" spans="2:10" ht="12.6" hidden="1" customHeight="1">
      <c r="B61" s="153"/>
      <c r="C61" s="180"/>
      <c r="D61" s="180"/>
      <c r="E61" s="180"/>
      <c r="F61" s="25"/>
      <c r="G61" s="30"/>
      <c r="H61" s="174"/>
      <c r="I61" s="174"/>
      <c r="J61" s="220"/>
    </row>
    <row r="62" spans="2:10" ht="12.6" hidden="1" customHeight="1">
      <c r="B62" s="153"/>
      <c r="C62" s="180"/>
      <c r="D62" s="202"/>
      <c r="E62" s="180"/>
      <c r="F62" s="25"/>
      <c r="G62" s="30"/>
      <c r="H62" s="174">
        <f>G62+G63+G64+G65+G66</f>
        <v>0</v>
      </c>
      <c r="I62" s="174">
        <f>E62-H62</f>
        <v>0</v>
      </c>
      <c r="J62" s="220" t="e">
        <f>H62/E62</f>
        <v>#DIV/0!</v>
      </c>
    </row>
    <row r="63" spans="2:10" ht="12.6" hidden="1" customHeight="1">
      <c r="B63" s="153"/>
      <c r="C63" s="180"/>
      <c r="D63" s="180"/>
      <c r="E63" s="180"/>
      <c r="F63" s="25"/>
      <c r="G63" s="30"/>
      <c r="H63" s="174"/>
      <c r="I63" s="174"/>
      <c r="J63" s="220"/>
    </row>
    <row r="64" spans="2:10" ht="12.6" hidden="1" customHeight="1">
      <c r="B64" s="153"/>
      <c r="C64" s="180"/>
      <c r="D64" s="180"/>
      <c r="E64" s="180"/>
      <c r="F64" s="25"/>
      <c r="G64" s="30"/>
      <c r="H64" s="174"/>
      <c r="I64" s="174"/>
      <c r="J64" s="220"/>
    </row>
    <row r="65" spans="2:10" ht="12.6" hidden="1" customHeight="1">
      <c r="B65" s="153"/>
      <c r="C65" s="180"/>
      <c r="D65" s="180"/>
      <c r="E65" s="180"/>
      <c r="F65" s="25"/>
      <c r="G65" s="30"/>
      <c r="H65" s="174"/>
      <c r="I65" s="174"/>
      <c r="J65" s="220"/>
    </row>
    <row r="66" spans="2:10" ht="12.6" hidden="1" customHeight="1">
      <c r="B66" s="153"/>
      <c r="C66" s="180"/>
      <c r="D66" s="180"/>
      <c r="E66" s="180"/>
      <c r="F66" s="25"/>
      <c r="G66" s="30"/>
      <c r="H66" s="174"/>
      <c r="I66" s="174"/>
      <c r="J66" s="220"/>
    </row>
    <row r="67" spans="2:10" ht="12.6" hidden="1" customHeight="1">
      <c r="B67" s="153"/>
      <c r="C67" s="152"/>
      <c r="D67" s="221"/>
      <c r="E67" s="152"/>
      <c r="F67" s="25"/>
      <c r="G67" s="30"/>
      <c r="H67" s="174">
        <f>G67+G68+G69+G70+G71</f>
        <v>0</v>
      </c>
      <c r="I67" s="174">
        <f>E67-H67</f>
        <v>0</v>
      </c>
      <c r="J67" s="220" t="e">
        <f>H67/E67</f>
        <v>#DIV/0!</v>
      </c>
    </row>
    <row r="68" spans="2:10" ht="12.6" hidden="1" customHeight="1">
      <c r="B68" s="153"/>
      <c r="C68" s="153"/>
      <c r="D68" s="153"/>
      <c r="E68" s="153"/>
      <c r="F68" s="25"/>
      <c r="G68" s="30"/>
      <c r="H68" s="174"/>
      <c r="I68" s="174"/>
      <c r="J68" s="220"/>
    </row>
    <row r="69" spans="2:10" ht="12.6" hidden="1" customHeight="1">
      <c r="B69" s="153"/>
      <c r="C69" s="153"/>
      <c r="D69" s="153"/>
      <c r="E69" s="153"/>
      <c r="F69" s="25"/>
      <c r="G69" s="30"/>
      <c r="H69" s="174"/>
      <c r="I69" s="174"/>
      <c r="J69" s="220"/>
    </row>
    <row r="70" spans="2:10" ht="12.6" hidden="1" customHeight="1">
      <c r="B70" s="153"/>
      <c r="C70" s="153"/>
      <c r="D70" s="153"/>
      <c r="E70" s="153"/>
      <c r="F70" s="25"/>
      <c r="G70" s="30"/>
      <c r="H70" s="174"/>
      <c r="I70" s="174"/>
      <c r="J70" s="220"/>
    </row>
    <row r="71" spans="2:10" ht="12.6" hidden="1" customHeight="1">
      <c r="B71" s="153"/>
      <c r="C71" s="153"/>
      <c r="D71" s="153"/>
      <c r="E71" s="153"/>
      <c r="F71" s="25"/>
      <c r="G71" s="30"/>
      <c r="H71" s="174"/>
      <c r="I71" s="174"/>
      <c r="J71" s="220"/>
    </row>
    <row r="72" spans="2:10" ht="12.6" hidden="1" customHeight="1">
      <c r="B72" s="153"/>
      <c r="C72" s="180"/>
      <c r="D72" s="221"/>
      <c r="E72" s="152"/>
      <c r="F72" s="25"/>
      <c r="G72" s="30"/>
      <c r="H72" s="174">
        <f>G72+G73+G74+G75+G76</f>
        <v>0</v>
      </c>
      <c r="I72" s="174">
        <f>E72-H72</f>
        <v>0</v>
      </c>
      <c r="J72" s="220" t="e">
        <f>H72/E72</f>
        <v>#DIV/0!</v>
      </c>
    </row>
    <row r="73" spans="2:10" ht="12.6" hidden="1" customHeight="1">
      <c r="B73" s="153"/>
      <c r="C73" s="180"/>
      <c r="D73" s="153"/>
      <c r="E73" s="153"/>
      <c r="F73" s="25"/>
      <c r="G73" s="30"/>
      <c r="H73" s="174"/>
      <c r="I73" s="174"/>
      <c r="J73" s="220"/>
    </row>
    <row r="74" spans="2:10" ht="12.6" hidden="1" customHeight="1">
      <c r="B74" s="153"/>
      <c r="C74" s="180"/>
      <c r="D74" s="153"/>
      <c r="E74" s="153"/>
      <c r="F74" s="25"/>
      <c r="G74" s="30"/>
      <c r="H74" s="174"/>
      <c r="I74" s="174"/>
      <c r="J74" s="220"/>
    </row>
    <row r="75" spans="2:10" ht="12.6" hidden="1" customHeight="1">
      <c r="B75" s="153"/>
      <c r="C75" s="180"/>
      <c r="D75" s="153"/>
      <c r="E75" s="153"/>
      <c r="F75" s="25"/>
      <c r="G75" s="30"/>
      <c r="H75" s="174"/>
      <c r="I75" s="174"/>
      <c r="J75" s="220"/>
    </row>
    <row r="76" spans="2:10" ht="12.6" hidden="1" customHeight="1">
      <c r="B76" s="153"/>
      <c r="C76" s="180"/>
      <c r="D76" s="153"/>
      <c r="E76" s="153"/>
      <c r="F76" s="25"/>
      <c r="G76" s="30"/>
      <c r="H76" s="174"/>
      <c r="I76" s="174"/>
      <c r="J76" s="220"/>
    </row>
    <row r="77" spans="2:10" ht="12.6" hidden="1" customHeight="1">
      <c r="B77" s="153"/>
      <c r="C77" s="180"/>
      <c r="D77" s="221"/>
      <c r="E77" s="152"/>
      <c r="F77" s="25"/>
      <c r="G77" s="30"/>
      <c r="H77" s="174">
        <f>G77+G78+G79+G80+G81</f>
        <v>0</v>
      </c>
      <c r="I77" s="174">
        <f>E77-H77</f>
        <v>0</v>
      </c>
      <c r="J77" s="220" t="e">
        <f>H77/E77</f>
        <v>#DIV/0!</v>
      </c>
    </row>
    <row r="78" spans="2:10" ht="12.6" hidden="1" customHeight="1">
      <c r="B78" s="153"/>
      <c r="C78" s="180"/>
      <c r="D78" s="153"/>
      <c r="E78" s="153"/>
      <c r="F78" s="25"/>
      <c r="G78" s="30"/>
      <c r="H78" s="174"/>
      <c r="I78" s="174"/>
      <c r="J78" s="220"/>
    </row>
    <row r="79" spans="2:10" ht="12.6" hidden="1" customHeight="1">
      <c r="B79" s="153"/>
      <c r="C79" s="180"/>
      <c r="D79" s="153"/>
      <c r="E79" s="153"/>
      <c r="F79" s="25"/>
      <c r="G79" s="30"/>
      <c r="H79" s="174"/>
      <c r="I79" s="174"/>
      <c r="J79" s="220"/>
    </row>
    <row r="80" spans="2:10" ht="12.6" hidden="1" customHeight="1">
      <c r="B80" s="153"/>
      <c r="C80" s="180"/>
      <c r="D80" s="153"/>
      <c r="E80" s="153"/>
      <c r="F80" s="25"/>
      <c r="G80" s="30"/>
      <c r="H80" s="174"/>
      <c r="I80" s="174"/>
      <c r="J80" s="220"/>
    </row>
    <row r="81" spans="2:10" ht="12.6" hidden="1" customHeight="1">
      <c r="B81" s="154"/>
      <c r="C81" s="180"/>
      <c r="D81" s="153"/>
      <c r="E81" s="153"/>
      <c r="F81" s="25"/>
      <c r="G81" s="30"/>
      <c r="H81" s="174"/>
      <c r="I81" s="174"/>
      <c r="J81" s="220"/>
    </row>
    <row r="82" spans="2:10">
      <c r="B82" s="152" t="s">
        <v>4</v>
      </c>
      <c r="C82" s="152">
        <v>835</v>
      </c>
      <c r="D82" s="221">
        <v>44679</v>
      </c>
      <c r="E82" s="152">
        <v>3000</v>
      </c>
      <c r="F82" s="25" t="s">
        <v>211</v>
      </c>
      <c r="G82" s="30">
        <v>924.11</v>
      </c>
      <c r="H82" s="174">
        <f>SUM(G82:G87)</f>
        <v>3000</v>
      </c>
      <c r="I82" s="174">
        <f>E82-H82</f>
        <v>0</v>
      </c>
      <c r="J82" s="215">
        <f>H82/E82</f>
        <v>1</v>
      </c>
    </row>
    <row r="83" spans="2:10">
      <c r="B83" s="153"/>
      <c r="C83" s="153"/>
      <c r="D83" s="222"/>
      <c r="E83" s="153"/>
      <c r="F83" s="25" t="s">
        <v>212</v>
      </c>
      <c r="G83" s="30">
        <v>501</v>
      </c>
      <c r="H83" s="174"/>
      <c r="I83" s="174"/>
      <c r="J83" s="215"/>
    </row>
    <row r="84" spans="2:10">
      <c r="B84" s="153"/>
      <c r="C84" s="153"/>
      <c r="D84" s="222"/>
      <c r="E84" s="153"/>
      <c r="F84" s="25" t="s">
        <v>213</v>
      </c>
      <c r="G84" s="30">
        <v>743.97</v>
      </c>
      <c r="H84" s="174"/>
      <c r="I84" s="174"/>
      <c r="J84" s="215"/>
    </row>
    <row r="85" spans="2:10">
      <c r="B85" s="153"/>
      <c r="C85" s="153"/>
      <c r="D85" s="222"/>
      <c r="E85" s="153"/>
      <c r="F85" s="25" t="s">
        <v>214</v>
      </c>
      <c r="G85" s="30"/>
      <c r="H85" s="174"/>
      <c r="I85" s="174"/>
      <c r="J85" s="215"/>
    </row>
    <row r="86" spans="2:10">
      <c r="B86" s="153"/>
      <c r="C86" s="153"/>
      <c r="D86" s="222"/>
      <c r="E86" s="153"/>
      <c r="F86" s="25" t="s">
        <v>215</v>
      </c>
      <c r="G86" s="30">
        <v>830.92</v>
      </c>
      <c r="H86" s="174"/>
      <c r="I86" s="174"/>
      <c r="J86" s="215"/>
    </row>
    <row r="87" spans="2:10">
      <c r="B87" s="153"/>
      <c r="C87" s="154"/>
      <c r="D87" s="223"/>
      <c r="E87" s="154"/>
      <c r="F87" s="25" t="s">
        <v>216</v>
      </c>
      <c r="G87" s="30"/>
      <c r="H87" s="174"/>
      <c r="I87" s="174"/>
      <c r="J87" s="215"/>
    </row>
    <row r="88" spans="2:10" ht="12" hidden="1" customHeight="1">
      <c r="B88" s="153"/>
      <c r="C88" s="152"/>
      <c r="D88" s="221"/>
      <c r="E88" s="180"/>
      <c r="F88" s="25"/>
      <c r="G88" s="30"/>
      <c r="H88" s="174">
        <f>SUM(G88:G93)</f>
        <v>0</v>
      </c>
      <c r="I88" s="174">
        <f>E88-H88</f>
        <v>0</v>
      </c>
      <c r="J88" s="220" t="e">
        <f>H88/E88</f>
        <v>#DIV/0!</v>
      </c>
    </row>
    <row r="89" spans="2:10" ht="12" hidden="1" customHeight="1">
      <c r="B89" s="153"/>
      <c r="C89" s="153"/>
      <c r="D89" s="153"/>
      <c r="E89" s="180"/>
      <c r="F89" s="25"/>
      <c r="G89" s="30"/>
      <c r="H89" s="174"/>
      <c r="I89" s="174"/>
      <c r="J89" s="220"/>
    </row>
    <row r="90" spans="2:10" ht="12" hidden="1" customHeight="1">
      <c r="B90" s="153"/>
      <c r="C90" s="153"/>
      <c r="D90" s="153"/>
      <c r="E90" s="180"/>
      <c r="F90" s="25"/>
      <c r="G90" s="30"/>
      <c r="H90" s="174"/>
      <c r="I90" s="174"/>
      <c r="J90" s="220"/>
    </row>
    <row r="91" spans="2:10" ht="12" hidden="1" customHeight="1">
      <c r="B91" s="153"/>
      <c r="C91" s="153"/>
      <c r="D91" s="153"/>
      <c r="E91" s="180"/>
      <c r="F91" s="25"/>
      <c r="G91" s="30"/>
      <c r="H91" s="174"/>
      <c r="I91" s="174"/>
      <c r="J91" s="220"/>
    </row>
    <row r="92" spans="2:10" ht="12" hidden="1" customHeight="1">
      <c r="B92" s="153"/>
      <c r="C92" s="153"/>
      <c r="D92" s="153"/>
      <c r="E92" s="180"/>
      <c r="F92" s="25"/>
      <c r="G92" s="30"/>
      <c r="H92" s="174"/>
      <c r="I92" s="174"/>
      <c r="J92" s="220"/>
    </row>
    <row r="93" spans="2:10" ht="12" hidden="1" customHeight="1">
      <c r="B93" s="153"/>
      <c r="C93" s="154"/>
      <c r="D93" s="154"/>
      <c r="E93" s="180"/>
      <c r="F93" s="25"/>
      <c r="G93" s="30"/>
      <c r="H93" s="174"/>
      <c r="I93" s="174"/>
      <c r="J93" s="220"/>
    </row>
    <row r="94" spans="2:10" ht="12" hidden="1" customHeight="1">
      <c r="B94" s="153"/>
      <c r="C94" s="152"/>
      <c r="D94" s="221"/>
      <c r="E94" s="180"/>
      <c r="F94" s="25"/>
      <c r="G94" s="30"/>
      <c r="H94" s="174">
        <f>SUM(G94:G99)</f>
        <v>0</v>
      </c>
      <c r="I94" s="174">
        <f>E94-H94</f>
        <v>0</v>
      </c>
      <c r="J94" s="220" t="e">
        <f>H94/E94</f>
        <v>#DIV/0!</v>
      </c>
    </row>
    <row r="95" spans="2:10" ht="12" hidden="1" customHeight="1">
      <c r="B95" s="153"/>
      <c r="C95" s="153"/>
      <c r="D95" s="153"/>
      <c r="E95" s="180"/>
      <c r="F95" s="25"/>
      <c r="G95" s="30"/>
      <c r="H95" s="174"/>
      <c r="I95" s="174"/>
      <c r="J95" s="220"/>
    </row>
    <row r="96" spans="2:10" ht="12" hidden="1" customHeight="1">
      <c r="B96" s="153"/>
      <c r="C96" s="153"/>
      <c r="D96" s="153"/>
      <c r="E96" s="180"/>
      <c r="F96" s="25"/>
      <c r="G96" s="30"/>
      <c r="H96" s="174"/>
      <c r="I96" s="174"/>
      <c r="J96" s="220"/>
    </row>
    <row r="97" spans="2:10" ht="12" hidden="1" customHeight="1">
      <c r="B97" s="153"/>
      <c r="C97" s="153"/>
      <c r="D97" s="153"/>
      <c r="E97" s="180"/>
      <c r="F97" s="25"/>
      <c r="G97" s="30"/>
      <c r="H97" s="174"/>
      <c r="I97" s="174"/>
      <c r="J97" s="220"/>
    </row>
    <row r="98" spans="2:10" ht="12" hidden="1" customHeight="1">
      <c r="B98" s="153"/>
      <c r="C98" s="153"/>
      <c r="D98" s="153"/>
      <c r="E98" s="180"/>
      <c r="F98" s="25"/>
      <c r="G98" s="30"/>
      <c r="H98" s="174"/>
      <c r="I98" s="174"/>
      <c r="J98" s="220"/>
    </row>
    <row r="99" spans="2:10" ht="12" hidden="1" customHeight="1">
      <c r="B99" s="153"/>
      <c r="C99" s="154"/>
      <c r="D99" s="154"/>
      <c r="E99" s="180"/>
      <c r="F99" s="25"/>
      <c r="G99" s="30"/>
      <c r="H99" s="174"/>
      <c r="I99" s="174"/>
      <c r="J99" s="220"/>
    </row>
    <row r="100" spans="2:10" ht="12" hidden="1" customHeight="1">
      <c r="B100" s="153"/>
      <c r="C100" s="152"/>
      <c r="D100" s="221"/>
      <c r="E100" s="180"/>
      <c r="F100" s="25"/>
      <c r="G100" s="30"/>
      <c r="H100" s="174">
        <f>SUM(G100:G105)</f>
        <v>0</v>
      </c>
      <c r="I100" s="174">
        <f>E100-H100</f>
        <v>0</v>
      </c>
      <c r="J100" s="220" t="e">
        <f>H100/E100</f>
        <v>#DIV/0!</v>
      </c>
    </row>
    <row r="101" spans="2:10" ht="12" hidden="1" customHeight="1">
      <c r="B101" s="153"/>
      <c r="C101" s="153"/>
      <c r="D101" s="153"/>
      <c r="E101" s="180"/>
      <c r="F101" s="25"/>
      <c r="G101" s="30"/>
      <c r="H101" s="174"/>
      <c r="I101" s="174"/>
      <c r="J101" s="220"/>
    </row>
    <row r="102" spans="2:10" ht="12" hidden="1" customHeight="1">
      <c r="B102" s="153"/>
      <c r="C102" s="153"/>
      <c r="D102" s="153"/>
      <c r="E102" s="180"/>
      <c r="F102" s="25"/>
      <c r="G102" s="30"/>
      <c r="H102" s="174"/>
      <c r="I102" s="174"/>
      <c r="J102" s="220"/>
    </row>
    <row r="103" spans="2:10" ht="12" hidden="1" customHeight="1">
      <c r="B103" s="153"/>
      <c r="C103" s="153"/>
      <c r="D103" s="153"/>
      <c r="E103" s="180"/>
      <c r="F103" s="25"/>
      <c r="G103" s="30"/>
      <c r="H103" s="174"/>
      <c r="I103" s="174"/>
      <c r="J103" s="220"/>
    </row>
    <row r="104" spans="2:10" ht="12" hidden="1" customHeight="1">
      <c r="B104" s="153"/>
      <c r="C104" s="153"/>
      <c r="D104" s="153"/>
      <c r="E104" s="180"/>
      <c r="F104" s="25"/>
      <c r="G104" s="30"/>
      <c r="H104" s="174"/>
      <c r="I104" s="174"/>
      <c r="J104" s="220"/>
    </row>
    <row r="105" spans="2:10" ht="12" hidden="1" customHeight="1">
      <c r="B105" s="153"/>
      <c r="C105" s="154"/>
      <c r="D105" s="154"/>
      <c r="E105" s="180"/>
      <c r="F105" s="25"/>
      <c r="G105" s="30"/>
      <c r="H105" s="174"/>
      <c r="I105" s="174"/>
      <c r="J105" s="220"/>
    </row>
    <row r="106" spans="2:10" ht="12" hidden="1" customHeight="1">
      <c r="B106" s="153"/>
      <c r="C106" s="152"/>
      <c r="D106" s="221"/>
      <c r="E106" s="152"/>
      <c r="F106" s="25"/>
      <c r="G106" s="30"/>
      <c r="H106" s="224">
        <f>SUM(G106:G111)</f>
        <v>0</v>
      </c>
      <c r="I106" s="224">
        <f>E106-H106</f>
        <v>0</v>
      </c>
      <c r="J106" s="227" t="e">
        <f>H106/E106</f>
        <v>#DIV/0!</v>
      </c>
    </row>
    <row r="107" spans="2:10" ht="12" hidden="1" customHeight="1">
      <c r="B107" s="153"/>
      <c r="C107" s="153"/>
      <c r="D107" s="222"/>
      <c r="E107" s="153"/>
      <c r="F107" s="25"/>
      <c r="G107" s="30"/>
      <c r="H107" s="225"/>
      <c r="I107" s="225"/>
      <c r="J107" s="228"/>
    </row>
    <row r="108" spans="2:10" ht="12" hidden="1" customHeight="1">
      <c r="B108" s="153"/>
      <c r="C108" s="153"/>
      <c r="D108" s="222"/>
      <c r="E108" s="153"/>
      <c r="F108" s="25"/>
      <c r="G108" s="30"/>
      <c r="H108" s="225"/>
      <c r="I108" s="225"/>
      <c r="J108" s="228"/>
    </row>
    <row r="109" spans="2:10" ht="12" hidden="1" customHeight="1">
      <c r="B109" s="153"/>
      <c r="C109" s="153"/>
      <c r="D109" s="222"/>
      <c r="E109" s="153"/>
      <c r="F109" s="25"/>
      <c r="G109" s="30"/>
      <c r="H109" s="225"/>
      <c r="I109" s="225"/>
      <c r="J109" s="228"/>
    </row>
    <row r="110" spans="2:10" ht="12" hidden="1" customHeight="1">
      <c r="B110" s="153"/>
      <c r="C110" s="153"/>
      <c r="D110" s="222"/>
      <c r="E110" s="153"/>
      <c r="F110" s="25"/>
      <c r="G110" s="30"/>
      <c r="H110" s="225"/>
      <c r="I110" s="225"/>
      <c r="J110" s="228"/>
    </row>
    <row r="111" spans="2:10" ht="12" hidden="1" customHeight="1">
      <c r="B111" s="153"/>
      <c r="C111" s="153"/>
      <c r="D111" s="222"/>
      <c r="E111" s="153"/>
      <c r="F111" s="25"/>
      <c r="G111" s="30"/>
      <c r="H111" s="225"/>
      <c r="I111" s="225"/>
      <c r="J111" s="228"/>
    </row>
    <row r="112" spans="2:10" ht="12" hidden="1" customHeight="1">
      <c r="B112" s="153"/>
      <c r="C112" s="153"/>
      <c r="D112" s="222"/>
      <c r="E112" s="153"/>
      <c r="F112" s="25"/>
      <c r="G112" s="30"/>
      <c r="H112" s="225"/>
      <c r="I112" s="225"/>
      <c r="J112" s="228"/>
    </row>
    <row r="113" spans="2:10" ht="12" hidden="1" customHeight="1">
      <c r="B113" s="153"/>
      <c r="C113" s="153"/>
      <c r="D113" s="222"/>
      <c r="E113" s="153"/>
      <c r="F113" s="25"/>
      <c r="G113" s="30"/>
      <c r="H113" s="225"/>
      <c r="I113" s="225"/>
      <c r="J113" s="228"/>
    </row>
    <row r="114" spans="2:10" ht="12" hidden="1" customHeight="1">
      <c r="B114" s="154"/>
      <c r="C114" s="154"/>
      <c r="D114" s="223"/>
      <c r="E114" s="154"/>
      <c r="F114" s="25"/>
      <c r="G114" s="30"/>
      <c r="H114" s="226"/>
      <c r="I114" s="226"/>
      <c r="J114" s="229"/>
    </row>
    <row r="115" spans="2:10">
      <c r="B115" s="180" t="s">
        <v>177</v>
      </c>
      <c r="C115" s="180">
        <v>930</v>
      </c>
      <c r="D115" s="202">
        <v>44687</v>
      </c>
      <c r="E115" s="180">
        <v>9978</v>
      </c>
      <c r="F115" s="25" t="s">
        <v>192</v>
      </c>
      <c r="G115" s="136">
        <v>4873.277</v>
      </c>
      <c r="H115" s="174">
        <f>SUM(G115+G116+G117)</f>
        <v>8444.7209999999995</v>
      </c>
      <c r="I115" s="174">
        <f>E115-H115</f>
        <v>1533.2790000000005</v>
      </c>
      <c r="J115" s="220">
        <f>H115/E115</f>
        <v>0.84633403487672876</v>
      </c>
    </row>
    <row r="116" spans="2:10">
      <c r="B116" s="180"/>
      <c r="C116" s="180"/>
      <c r="D116" s="180"/>
      <c r="E116" s="180"/>
      <c r="F116" s="25" t="s">
        <v>193</v>
      </c>
      <c r="G116" s="136">
        <v>3571.444</v>
      </c>
      <c r="H116" s="174"/>
      <c r="I116" s="174"/>
      <c r="J116" s="220"/>
    </row>
    <row r="117" spans="2:10">
      <c r="B117" s="180"/>
      <c r="C117" s="180"/>
      <c r="D117" s="180"/>
      <c r="E117" s="180"/>
      <c r="F117" s="25" t="s">
        <v>223</v>
      </c>
      <c r="G117" s="136"/>
      <c r="H117" s="174"/>
      <c r="I117" s="174"/>
      <c r="J117" s="220"/>
    </row>
    <row r="118" spans="2:10" s="41" customFormat="1" ht="24" customHeight="1">
      <c r="B118" s="180"/>
      <c r="C118" s="180"/>
      <c r="D118" s="180"/>
      <c r="E118" s="33">
        <f>SUM(E8:E117)</f>
        <v>84383</v>
      </c>
      <c r="F118" s="33"/>
      <c r="G118" s="30">
        <f>SUM(G8:G117)</f>
        <v>78907.058000000005</v>
      </c>
      <c r="H118" s="30">
        <f>SUM(H8:H117)</f>
        <v>78907.058000000005</v>
      </c>
      <c r="I118" s="30">
        <f>+E118-H118</f>
        <v>5475.9419999999955</v>
      </c>
      <c r="J118" s="32">
        <f>H118/E118</f>
        <v>0.93510609956981861</v>
      </c>
    </row>
    <row r="119" spans="2:10" s="41" customFormat="1">
      <c r="B119" s="128"/>
      <c r="C119" s="128"/>
      <c r="G119" s="42"/>
      <c r="H119" s="42"/>
      <c r="I119" s="42"/>
      <c r="J119" s="68"/>
    </row>
    <row r="125" spans="2:10" s="134" customFormat="1">
      <c r="B125" s="133"/>
      <c r="C125" s="133"/>
      <c r="D125" s="133"/>
      <c r="E125" s="133"/>
      <c r="F125" s="133"/>
      <c r="G125" s="133"/>
      <c r="H125" s="133"/>
      <c r="I125" s="133"/>
    </row>
    <row r="127" spans="2:10">
      <c r="B127" s="130"/>
      <c r="C127" s="130"/>
      <c r="G127" s="130"/>
    </row>
    <row r="128" spans="2:10">
      <c r="B128" s="38" t="s">
        <v>86</v>
      </c>
      <c r="C128" s="38" t="s">
        <v>168</v>
      </c>
      <c r="D128" s="38" t="s">
        <v>298</v>
      </c>
      <c r="E128" s="38" t="s">
        <v>165</v>
      </c>
      <c r="F128" s="38" t="s">
        <v>110</v>
      </c>
      <c r="G128" s="38" t="s">
        <v>167</v>
      </c>
      <c r="H128" s="38" t="s">
        <v>111</v>
      </c>
      <c r="I128" s="38" t="s">
        <v>91</v>
      </c>
    </row>
    <row r="129" spans="2:9">
      <c r="B129" s="152" t="s">
        <v>262</v>
      </c>
      <c r="C129" s="203">
        <v>22000</v>
      </c>
      <c r="D129" s="135">
        <v>698955</v>
      </c>
      <c r="E129" s="129" t="s">
        <v>233</v>
      </c>
      <c r="F129" s="127">
        <v>40.880000000000003</v>
      </c>
      <c r="G129" s="152">
        <f>SUM(F129:F162)</f>
        <v>2351.1100000000006</v>
      </c>
      <c r="H129" s="203">
        <f>C129-G129</f>
        <v>19648.89</v>
      </c>
      <c r="I129" s="206">
        <f>G129/C129</f>
        <v>0.10686863636363639</v>
      </c>
    </row>
    <row r="130" spans="2:9">
      <c r="B130" s="153"/>
      <c r="C130" s="204"/>
      <c r="D130" s="135">
        <v>963710</v>
      </c>
      <c r="E130" s="129" t="s">
        <v>234</v>
      </c>
      <c r="F130" s="127">
        <v>158.935</v>
      </c>
      <c r="G130" s="153"/>
      <c r="H130" s="204"/>
      <c r="I130" s="207"/>
    </row>
    <row r="131" spans="2:9">
      <c r="B131" s="153"/>
      <c r="C131" s="204"/>
      <c r="D131" s="135">
        <v>697270</v>
      </c>
      <c r="E131" s="129" t="s">
        <v>235</v>
      </c>
      <c r="F131" s="135"/>
      <c r="G131" s="153"/>
      <c r="H131" s="204"/>
      <c r="I131" s="207"/>
    </row>
    <row r="132" spans="2:9">
      <c r="B132" s="153"/>
      <c r="C132" s="204"/>
      <c r="D132" s="135">
        <v>963744</v>
      </c>
      <c r="E132" s="129" t="s">
        <v>236</v>
      </c>
      <c r="F132" s="127">
        <v>32.713999999999999</v>
      </c>
      <c r="G132" s="153"/>
      <c r="H132" s="204"/>
      <c r="I132" s="207"/>
    </row>
    <row r="133" spans="2:9">
      <c r="B133" s="153"/>
      <c r="C133" s="204"/>
      <c r="D133" s="135">
        <v>963744</v>
      </c>
      <c r="E133" s="129" t="s">
        <v>237</v>
      </c>
      <c r="F133" s="135"/>
      <c r="G133" s="153"/>
      <c r="H133" s="204"/>
      <c r="I133" s="207"/>
    </row>
    <row r="134" spans="2:9">
      <c r="B134" s="153"/>
      <c r="C134" s="204"/>
      <c r="D134" s="135">
        <v>968468</v>
      </c>
      <c r="E134" s="129" t="s">
        <v>238</v>
      </c>
      <c r="F134" s="127">
        <v>135.61500000000001</v>
      </c>
      <c r="G134" s="153"/>
      <c r="H134" s="204"/>
      <c r="I134" s="207"/>
    </row>
    <row r="135" spans="2:9">
      <c r="B135" s="153"/>
      <c r="C135" s="204"/>
      <c r="D135" s="135">
        <v>967700</v>
      </c>
      <c r="E135" s="129" t="s">
        <v>239</v>
      </c>
      <c r="F135" s="135"/>
      <c r="G135" s="153"/>
      <c r="H135" s="204"/>
      <c r="I135" s="207"/>
    </row>
    <row r="136" spans="2:9">
      <c r="B136" s="153"/>
      <c r="C136" s="204"/>
      <c r="D136" s="135">
        <v>969691</v>
      </c>
      <c r="E136" s="129" t="s">
        <v>240</v>
      </c>
      <c r="F136" s="127">
        <v>29.78</v>
      </c>
      <c r="G136" s="153"/>
      <c r="H136" s="204"/>
      <c r="I136" s="207"/>
    </row>
    <row r="137" spans="2:9">
      <c r="B137" s="153"/>
      <c r="C137" s="204"/>
      <c r="D137" s="135">
        <v>967677</v>
      </c>
      <c r="E137" s="129" t="s">
        <v>241</v>
      </c>
      <c r="F137" s="127">
        <v>347.07499999999999</v>
      </c>
      <c r="G137" s="153"/>
      <c r="H137" s="204"/>
      <c r="I137" s="207"/>
    </row>
    <row r="138" spans="2:9">
      <c r="B138" s="153"/>
      <c r="C138" s="204"/>
      <c r="D138" s="135">
        <v>961267</v>
      </c>
      <c r="E138" s="129" t="s">
        <v>242</v>
      </c>
      <c r="F138" s="127">
        <v>35.450000000000003</v>
      </c>
      <c r="G138" s="153"/>
      <c r="H138" s="204"/>
      <c r="I138" s="207"/>
    </row>
    <row r="139" spans="2:9">
      <c r="B139" s="153"/>
      <c r="C139" s="204"/>
      <c r="D139" s="135">
        <v>950657</v>
      </c>
      <c r="E139" s="129" t="s">
        <v>243</v>
      </c>
      <c r="F139" s="127">
        <v>59.625</v>
      </c>
      <c r="G139" s="153"/>
      <c r="H139" s="204"/>
      <c r="I139" s="207"/>
    </row>
    <row r="140" spans="2:9">
      <c r="B140" s="153"/>
      <c r="C140" s="204"/>
      <c r="D140" s="135">
        <v>953967</v>
      </c>
      <c r="E140" s="129" t="s">
        <v>244</v>
      </c>
      <c r="F140" s="127">
        <v>8.7550000000000008</v>
      </c>
      <c r="G140" s="153"/>
      <c r="H140" s="204"/>
      <c r="I140" s="207"/>
    </row>
    <row r="141" spans="2:9">
      <c r="B141" s="153"/>
      <c r="C141" s="204"/>
      <c r="D141" s="135">
        <v>699495</v>
      </c>
      <c r="E141" s="129" t="s">
        <v>245</v>
      </c>
      <c r="F141" s="135"/>
      <c r="G141" s="153"/>
      <c r="H141" s="204"/>
      <c r="I141" s="207"/>
    </row>
    <row r="142" spans="2:9">
      <c r="B142" s="153"/>
      <c r="C142" s="204"/>
      <c r="D142" s="135">
        <v>955847</v>
      </c>
      <c r="E142" s="129" t="s">
        <v>246</v>
      </c>
      <c r="F142" s="127">
        <v>209.54300000000001</v>
      </c>
      <c r="G142" s="153"/>
      <c r="H142" s="204"/>
      <c r="I142" s="207"/>
    </row>
    <row r="143" spans="2:9">
      <c r="B143" s="153"/>
      <c r="C143" s="204"/>
      <c r="D143" s="135">
        <v>955947</v>
      </c>
      <c r="E143" s="129" t="s">
        <v>247</v>
      </c>
      <c r="F143" s="127">
        <v>182.19</v>
      </c>
      <c r="G143" s="153"/>
      <c r="H143" s="204"/>
      <c r="I143" s="207"/>
    </row>
    <row r="144" spans="2:9">
      <c r="B144" s="153"/>
      <c r="C144" s="204"/>
      <c r="D144" s="135">
        <v>968467</v>
      </c>
      <c r="E144" s="129" t="s">
        <v>248</v>
      </c>
      <c r="F144" s="127">
        <v>32.08</v>
      </c>
      <c r="G144" s="153"/>
      <c r="H144" s="204"/>
      <c r="I144" s="207"/>
    </row>
    <row r="145" spans="2:9">
      <c r="B145" s="153"/>
      <c r="C145" s="204"/>
      <c r="D145" s="135">
        <v>951110</v>
      </c>
      <c r="E145" s="129" t="s">
        <v>249</v>
      </c>
      <c r="F145" s="127">
        <v>165.405</v>
      </c>
      <c r="G145" s="153"/>
      <c r="H145" s="204"/>
      <c r="I145" s="207"/>
    </row>
    <row r="146" spans="2:9">
      <c r="B146" s="153"/>
      <c r="C146" s="204"/>
      <c r="D146" s="135">
        <v>966244</v>
      </c>
      <c r="E146" s="129" t="s">
        <v>250</v>
      </c>
      <c r="F146" s="127">
        <v>71.665000000000006</v>
      </c>
      <c r="G146" s="153"/>
      <c r="H146" s="204"/>
      <c r="I146" s="207"/>
    </row>
    <row r="147" spans="2:9">
      <c r="B147" s="153"/>
      <c r="C147" s="204"/>
      <c r="D147" s="135">
        <v>960352</v>
      </c>
      <c r="E147" s="129" t="s">
        <v>251</v>
      </c>
      <c r="F147" s="127">
        <v>125.25</v>
      </c>
      <c r="G147" s="153"/>
      <c r="H147" s="204"/>
      <c r="I147" s="207"/>
    </row>
    <row r="148" spans="2:9">
      <c r="B148" s="153"/>
      <c r="C148" s="204"/>
      <c r="D148" s="135">
        <v>969269</v>
      </c>
      <c r="E148" s="129" t="s">
        <v>252</v>
      </c>
      <c r="F148" s="127">
        <v>342.83800000000002</v>
      </c>
      <c r="G148" s="153"/>
      <c r="H148" s="204"/>
      <c r="I148" s="207"/>
    </row>
    <row r="149" spans="2:9">
      <c r="B149" s="153"/>
      <c r="C149" s="204"/>
      <c r="D149" s="135">
        <v>697575</v>
      </c>
      <c r="E149" s="129" t="s">
        <v>253</v>
      </c>
      <c r="F149" s="135"/>
      <c r="G149" s="153"/>
      <c r="H149" s="204"/>
      <c r="I149" s="207"/>
    </row>
    <row r="150" spans="2:9">
      <c r="B150" s="153"/>
      <c r="C150" s="204"/>
      <c r="D150" s="135">
        <v>921881</v>
      </c>
      <c r="E150" s="129" t="s">
        <v>254</v>
      </c>
      <c r="F150" s="127">
        <v>60.11</v>
      </c>
      <c r="G150" s="153"/>
      <c r="H150" s="204"/>
      <c r="I150" s="207"/>
    </row>
    <row r="151" spans="2:9">
      <c r="B151" s="153"/>
      <c r="C151" s="204"/>
      <c r="D151" s="135">
        <v>699300</v>
      </c>
      <c r="E151" s="129" t="s">
        <v>255</v>
      </c>
      <c r="F151" s="135"/>
      <c r="G151" s="153"/>
      <c r="H151" s="204"/>
      <c r="I151" s="207"/>
    </row>
    <row r="152" spans="2:9">
      <c r="B152" s="153"/>
      <c r="C152" s="204"/>
      <c r="D152" s="135">
        <v>969394</v>
      </c>
      <c r="E152" s="129" t="s">
        <v>256</v>
      </c>
      <c r="F152" s="127">
        <v>51.134999999999998</v>
      </c>
      <c r="G152" s="153"/>
      <c r="H152" s="204"/>
      <c r="I152" s="207"/>
    </row>
    <row r="153" spans="2:9">
      <c r="B153" s="153"/>
      <c r="C153" s="204"/>
      <c r="D153" s="135">
        <v>951184</v>
      </c>
      <c r="E153" s="129" t="s">
        <v>257</v>
      </c>
      <c r="F153" s="127">
        <v>101.155</v>
      </c>
      <c r="G153" s="153"/>
      <c r="H153" s="204"/>
      <c r="I153" s="207"/>
    </row>
    <row r="154" spans="2:9">
      <c r="B154" s="153"/>
      <c r="C154" s="204"/>
      <c r="D154" s="135">
        <v>968796</v>
      </c>
      <c r="E154" s="129" t="s">
        <v>258</v>
      </c>
      <c r="F154" s="135"/>
      <c r="G154" s="153"/>
      <c r="H154" s="204"/>
      <c r="I154" s="207"/>
    </row>
    <row r="155" spans="2:9">
      <c r="B155" s="153"/>
      <c r="C155" s="204"/>
      <c r="D155" s="135">
        <v>699343</v>
      </c>
      <c r="E155" s="129" t="s">
        <v>259</v>
      </c>
      <c r="F155" s="127">
        <v>6.1950000000000003</v>
      </c>
      <c r="G155" s="153"/>
      <c r="H155" s="204"/>
      <c r="I155" s="207"/>
    </row>
    <row r="156" spans="2:9">
      <c r="B156" s="153"/>
      <c r="C156" s="204"/>
      <c r="D156" s="135">
        <v>965905</v>
      </c>
      <c r="E156" s="129" t="s">
        <v>260</v>
      </c>
      <c r="F156" s="127">
        <v>14.005000000000001</v>
      </c>
      <c r="G156" s="153"/>
      <c r="H156" s="204"/>
      <c r="I156" s="207"/>
    </row>
    <row r="157" spans="2:9">
      <c r="B157" s="153"/>
      <c r="C157" s="204"/>
      <c r="D157" s="135">
        <v>699245</v>
      </c>
      <c r="E157" s="129" t="s">
        <v>261</v>
      </c>
      <c r="F157" s="127">
        <v>140.71</v>
      </c>
      <c r="G157" s="153"/>
      <c r="H157" s="204"/>
      <c r="I157" s="207"/>
    </row>
    <row r="158" spans="2:9">
      <c r="B158" s="153"/>
      <c r="C158" s="204"/>
      <c r="D158" s="135"/>
      <c r="E158" s="129" t="s">
        <v>200</v>
      </c>
      <c r="F158" s="127"/>
      <c r="G158" s="153"/>
      <c r="H158" s="204"/>
      <c r="I158" s="207"/>
    </row>
    <row r="159" spans="2:9">
      <c r="B159" s="153"/>
      <c r="C159" s="204"/>
      <c r="D159" s="135"/>
      <c r="E159" s="129" t="s">
        <v>201</v>
      </c>
      <c r="F159" s="127"/>
      <c r="G159" s="153"/>
      <c r="H159" s="204"/>
      <c r="I159" s="207"/>
    </row>
    <row r="160" spans="2:9">
      <c r="B160" s="153"/>
      <c r="C160" s="204"/>
      <c r="D160" s="135"/>
      <c r="E160" s="129" t="s">
        <v>202</v>
      </c>
      <c r="F160" s="127"/>
      <c r="G160" s="153"/>
      <c r="H160" s="204"/>
      <c r="I160" s="207"/>
    </row>
    <row r="161" spans="2:9">
      <c r="B161" s="153"/>
      <c r="C161" s="204"/>
      <c r="D161" s="135"/>
      <c r="E161" s="129" t="s">
        <v>203</v>
      </c>
      <c r="F161" s="127"/>
      <c r="G161" s="153"/>
      <c r="H161" s="204"/>
      <c r="I161" s="207"/>
    </row>
    <row r="162" spans="2:9">
      <c r="B162" s="154"/>
      <c r="C162" s="205"/>
      <c r="D162" s="135"/>
      <c r="E162" s="129" t="s">
        <v>204</v>
      </c>
      <c r="F162" s="127"/>
      <c r="G162" s="154"/>
      <c r="H162" s="205"/>
      <c r="I162" s="208"/>
    </row>
    <row r="163" spans="2:9" s="134" customFormat="1">
      <c r="B163" s="139"/>
      <c r="C163" s="140"/>
      <c r="D163" s="139"/>
      <c r="E163" s="141"/>
      <c r="F163" s="139"/>
      <c r="G163" s="139"/>
      <c r="H163" s="139"/>
      <c r="I163" s="68"/>
    </row>
    <row r="166" spans="2:9">
      <c r="B166" s="130"/>
      <c r="C166" s="130"/>
      <c r="G166" s="130"/>
    </row>
    <row r="167" spans="2:9">
      <c r="B167" s="38" t="s">
        <v>86</v>
      </c>
      <c r="C167" s="38" t="s">
        <v>168</v>
      </c>
      <c r="D167" s="38" t="s">
        <v>84</v>
      </c>
      <c r="E167" s="38" t="s">
        <v>165</v>
      </c>
      <c r="F167" s="38" t="s">
        <v>110</v>
      </c>
      <c r="G167" s="38" t="s">
        <v>167</v>
      </c>
      <c r="H167" s="38" t="s">
        <v>111</v>
      </c>
      <c r="I167" s="38" t="s">
        <v>91</v>
      </c>
    </row>
    <row r="168" spans="2:9">
      <c r="B168" s="152" t="s">
        <v>297</v>
      </c>
      <c r="C168" s="152">
        <v>8000</v>
      </c>
      <c r="D168" s="131">
        <v>968930</v>
      </c>
      <c r="E168" s="131" t="s">
        <v>263</v>
      </c>
      <c r="F168" s="132"/>
      <c r="G168" s="152">
        <f>SUM(F168:F201)</f>
        <v>1336.8310000000001</v>
      </c>
      <c r="H168" s="152">
        <f>C168-G168</f>
        <v>6663.1689999999999</v>
      </c>
      <c r="I168" s="206">
        <f>G168/C168</f>
        <v>0.16710387500000001</v>
      </c>
    </row>
    <row r="169" spans="2:9">
      <c r="B169" s="153"/>
      <c r="C169" s="153"/>
      <c r="D169" s="131">
        <v>36113</v>
      </c>
      <c r="E169" s="131" t="s">
        <v>264</v>
      </c>
      <c r="F169" s="132"/>
      <c r="G169" s="153"/>
      <c r="H169" s="153"/>
      <c r="I169" s="207"/>
    </row>
    <row r="170" spans="2:9">
      <c r="B170" s="153"/>
      <c r="C170" s="153"/>
      <c r="D170" s="131">
        <v>697578</v>
      </c>
      <c r="E170" s="131" t="s">
        <v>265</v>
      </c>
      <c r="F170" s="132"/>
      <c r="G170" s="153"/>
      <c r="H170" s="153"/>
      <c r="I170" s="207"/>
    </row>
    <row r="171" spans="2:9">
      <c r="B171" s="153"/>
      <c r="C171" s="153"/>
      <c r="D171" s="131">
        <v>698592</v>
      </c>
      <c r="E171" s="131" t="s">
        <v>266</v>
      </c>
      <c r="F171" s="138">
        <v>259.29000000000002</v>
      </c>
      <c r="G171" s="153"/>
      <c r="H171" s="153"/>
      <c r="I171" s="207"/>
    </row>
    <row r="172" spans="2:9">
      <c r="B172" s="153"/>
      <c r="C172" s="153"/>
      <c r="D172" s="131">
        <v>901588</v>
      </c>
      <c r="E172" s="131" t="s">
        <v>267</v>
      </c>
      <c r="F172" s="138">
        <v>47.737000000000002</v>
      </c>
      <c r="G172" s="153"/>
      <c r="H172" s="153"/>
      <c r="I172" s="207"/>
    </row>
    <row r="173" spans="2:9">
      <c r="B173" s="153"/>
      <c r="C173" s="153"/>
      <c r="D173" s="131">
        <v>923167</v>
      </c>
      <c r="E173" s="131" t="s">
        <v>268</v>
      </c>
      <c r="F173" s="132"/>
      <c r="G173" s="153"/>
      <c r="H173" s="153"/>
      <c r="I173" s="207"/>
    </row>
    <row r="174" spans="2:9">
      <c r="B174" s="153"/>
      <c r="C174" s="153"/>
      <c r="D174" s="131">
        <v>923266</v>
      </c>
      <c r="E174" s="131" t="s">
        <v>269</v>
      </c>
      <c r="F174" s="138">
        <v>188.16300000000001</v>
      </c>
      <c r="G174" s="153"/>
      <c r="H174" s="153"/>
      <c r="I174" s="207"/>
    </row>
    <row r="175" spans="2:9">
      <c r="B175" s="153"/>
      <c r="C175" s="153"/>
      <c r="D175" s="131">
        <v>950875</v>
      </c>
      <c r="E175" s="131" t="s">
        <v>270</v>
      </c>
      <c r="F175" s="138">
        <v>119.42</v>
      </c>
      <c r="G175" s="153"/>
      <c r="H175" s="153"/>
      <c r="I175" s="207"/>
    </row>
    <row r="176" spans="2:9">
      <c r="B176" s="153"/>
      <c r="C176" s="153"/>
      <c r="D176" s="131">
        <v>951803</v>
      </c>
      <c r="E176" s="131" t="s">
        <v>271</v>
      </c>
      <c r="F176" s="138">
        <v>7.0000000000000007E-2</v>
      </c>
      <c r="G176" s="153"/>
      <c r="H176" s="153"/>
      <c r="I176" s="207"/>
    </row>
    <row r="177" spans="2:9">
      <c r="B177" s="153"/>
      <c r="C177" s="153"/>
      <c r="D177" s="131">
        <v>953023</v>
      </c>
      <c r="E177" s="131" t="s">
        <v>272</v>
      </c>
      <c r="F177" s="132"/>
      <c r="G177" s="153"/>
      <c r="H177" s="153"/>
      <c r="I177" s="207"/>
    </row>
    <row r="178" spans="2:9">
      <c r="B178" s="153"/>
      <c r="C178" s="153"/>
      <c r="D178" s="131">
        <v>956427</v>
      </c>
      <c r="E178" s="131" t="s">
        <v>273</v>
      </c>
      <c r="F178" s="138">
        <v>45.35</v>
      </c>
      <c r="G178" s="153"/>
      <c r="H178" s="153"/>
      <c r="I178" s="207"/>
    </row>
    <row r="179" spans="2:9">
      <c r="B179" s="153"/>
      <c r="C179" s="153"/>
      <c r="D179" s="131">
        <v>957989</v>
      </c>
      <c r="E179" s="131" t="s">
        <v>274</v>
      </c>
      <c r="F179" s="138">
        <v>174.21600000000001</v>
      </c>
      <c r="G179" s="153"/>
      <c r="H179" s="153"/>
      <c r="I179" s="207"/>
    </row>
    <row r="180" spans="2:9">
      <c r="B180" s="153"/>
      <c r="C180" s="153"/>
      <c r="D180" s="131">
        <v>958708</v>
      </c>
      <c r="E180" s="131" t="s">
        <v>275</v>
      </c>
      <c r="F180" s="138">
        <v>65.930000000000007</v>
      </c>
      <c r="G180" s="153"/>
      <c r="H180" s="153"/>
      <c r="I180" s="207"/>
    </row>
    <row r="181" spans="2:9">
      <c r="B181" s="153"/>
      <c r="C181" s="153"/>
      <c r="D181" s="131">
        <v>960563</v>
      </c>
      <c r="E181" s="131" t="s">
        <v>276</v>
      </c>
      <c r="F181" s="138">
        <v>148.69999999999999</v>
      </c>
      <c r="G181" s="153"/>
      <c r="H181" s="153"/>
      <c r="I181" s="207"/>
    </row>
    <row r="182" spans="2:9">
      <c r="B182" s="153"/>
      <c r="C182" s="153"/>
      <c r="D182" s="131">
        <v>960673</v>
      </c>
      <c r="E182" s="131" t="s">
        <v>277</v>
      </c>
      <c r="F182" s="132"/>
      <c r="G182" s="153"/>
      <c r="H182" s="153"/>
      <c r="I182" s="207"/>
    </row>
    <row r="183" spans="2:9">
      <c r="B183" s="153"/>
      <c r="C183" s="153"/>
      <c r="D183" s="131">
        <v>963139</v>
      </c>
      <c r="E183" s="131" t="s">
        <v>278</v>
      </c>
      <c r="F183" s="132"/>
      <c r="G183" s="153"/>
      <c r="H183" s="153"/>
      <c r="I183" s="207"/>
    </row>
    <row r="184" spans="2:9">
      <c r="B184" s="153"/>
      <c r="C184" s="153"/>
      <c r="D184" s="131">
        <v>964673</v>
      </c>
      <c r="E184" s="131" t="s">
        <v>279</v>
      </c>
      <c r="F184" s="132"/>
      <c r="G184" s="153"/>
      <c r="H184" s="153"/>
      <c r="I184" s="207"/>
    </row>
    <row r="185" spans="2:9">
      <c r="B185" s="153"/>
      <c r="C185" s="153"/>
      <c r="D185" s="131">
        <v>964933</v>
      </c>
      <c r="E185" s="131" t="s">
        <v>280</v>
      </c>
      <c r="F185" s="138">
        <v>59.822000000000003</v>
      </c>
      <c r="G185" s="153"/>
      <c r="H185" s="153"/>
      <c r="I185" s="207"/>
    </row>
    <row r="186" spans="2:9">
      <c r="B186" s="153"/>
      <c r="C186" s="153"/>
      <c r="D186" s="131">
        <v>966095</v>
      </c>
      <c r="E186" s="131" t="s">
        <v>281</v>
      </c>
      <c r="F186" s="132"/>
      <c r="G186" s="153"/>
      <c r="H186" s="153"/>
      <c r="I186" s="207"/>
    </row>
    <row r="187" spans="2:9">
      <c r="B187" s="153"/>
      <c r="C187" s="153"/>
      <c r="D187" s="131">
        <v>966397</v>
      </c>
      <c r="E187" s="131" t="s">
        <v>282</v>
      </c>
      <c r="F187" s="138">
        <v>43.417999999999999</v>
      </c>
      <c r="G187" s="153"/>
      <c r="H187" s="153"/>
      <c r="I187" s="207"/>
    </row>
    <row r="188" spans="2:9">
      <c r="B188" s="153"/>
      <c r="C188" s="153"/>
      <c r="D188" s="131">
        <v>966707</v>
      </c>
      <c r="E188" s="131" t="s">
        <v>283</v>
      </c>
      <c r="F188" s="138">
        <v>164.25399999999999</v>
      </c>
      <c r="G188" s="153"/>
      <c r="H188" s="153"/>
      <c r="I188" s="207"/>
    </row>
    <row r="189" spans="2:9">
      <c r="B189" s="153"/>
      <c r="C189" s="153"/>
      <c r="D189" s="131">
        <v>966826</v>
      </c>
      <c r="E189" s="131" t="s">
        <v>284</v>
      </c>
      <c r="F189" s="132"/>
      <c r="G189" s="153"/>
      <c r="H189" s="153"/>
      <c r="I189" s="207"/>
    </row>
    <row r="190" spans="2:9">
      <c r="B190" s="153"/>
      <c r="C190" s="153"/>
      <c r="D190" s="131">
        <v>968624</v>
      </c>
      <c r="E190" s="131" t="s">
        <v>285</v>
      </c>
      <c r="F190" s="132"/>
      <c r="G190" s="153"/>
      <c r="H190" s="153"/>
      <c r="I190" s="207"/>
    </row>
    <row r="191" spans="2:9">
      <c r="B191" s="153"/>
      <c r="C191" s="153"/>
      <c r="D191" s="131">
        <v>968871</v>
      </c>
      <c r="E191" s="131" t="s">
        <v>286</v>
      </c>
      <c r="F191" s="132"/>
      <c r="G191" s="153"/>
      <c r="H191" s="153"/>
      <c r="I191" s="207"/>
    </row>
    <row r="192" spans="2:9">
      <c r="B192" s="153"/>
      <c r="C192" s="153"/>
      <c r="D192" s="131">
        <v>969501</v>
      </c>
      <c r="E192" s="131" t="s">
        <v>287</v>
      </c>
      <c r="F192" s="132"/>
      <c r="G192" s="153"/>
      <c r="H192" s="153"/>
      <c r="I192" s="207"/>
    </row>
    <row r="193" spans="2:9">
      <c r="B193" s="153"/>
      <c r="C193" s="153"/>
      <c r="D193" s="131">
        <v>697903</v>
      </c>
      <c r="E193" s="131" t="s">
        <v>288</v>
      </c>
      <c r="F193" s="132"/>
      <c r="G193" s="153"/>
      <c r="H193" s="153"/>
      <c r="I193" s="207"/>
    </row>
    <row r="194" spans="2:9">
      <c r="B194" s="153"/>
      <c r="C194" s="153"/>
      <c r="D194" s="131">
        <v>698764</v>
      </c>
      <c r="E194" s="131" t="s">
        <v>289</v>
      </c>
      <c r="F194" s="138">
        <v>20.460999999999999</v>
      </c>
      <c r="G194" s="153"/>
      <c r="H194" s="153"/>
      <c r="I194" s="207"/>
    </row>
    <row r="195" spans="2:9">
      <c r="B195" s="153"/>
      <c r="C195" s="153"/>
      <c r="D195" s="131">
        <v>950370</v>
      </c>
      <c r="E195" s="131" t="s">
        <v>290</v>
      </c>
      <c r="F195" s="132"/>
      <c r="G195" s="153"/>
      <c r="H195" s="153"/>
      <c r="I195" s="207"/>
    </row>
    <row r="196" spans="2:9">
      <c r="B196" s="153"/>
      <c r="C196" s="153"/>
      <c r="D196" s="131">
        <v>699979</v>
      </c>
      <c r="E196" s="131" t="s">
        <v>291</v>
      </c>
      <c r="F196" s="132"/>
      <c r="G196" s="153"/>
      <c r="H196" s="153"/>
      <c r="I196" s="207"/>
    </row>
    <row r="197" spans="2:9">
      <c r="B197" s="153"/>
      <c r="C197" s="153"/>
      <c r="D197" s="131">
        <v>963858</v>
      </c>
      <c r="E197" s="131" t="s">
        <v>292</v>
      </c>
      <c r="F197" s="132"/>
      <c r="G197" s="153"/>
      <c r="H197" s="153"/>
      <c r="I197" s="207"/>
    </row>
    <row r="198" spans="2:9">
      <c r="B198" s="153"/>
      <c r="C198" s="153"/>
      <c r="D198" s="131">
        <v>965267</v>
      </c>
      <c r="E198" s="131" t="s">
        <v>293</v>
      </c>
      <c r="F198" s="132"/>
      <c r="G198" s="153"/>
      <c r="H198" s="153"/>
      <c r="I198" s="207"/>
    </row>
    <row r="199" spans="2:9">
      <c r="B199" s="153"/>
      <c r="C199" s="153"/>
      <c r="D199" s="131">
        <v>968704</v>
      </c>
      <c r="E199" s="131" t="s">
        <v>294</v>
      </c>
      <c r="F199" s="132"/>
      <c r="G199" s="153"/>
      <c r="H199" s="153"/>
      <c r="I199" s="207"/>
    </row>
    <row r="200" spans="2:9">
      <c r="B200" s="153"/>
      <c r="C200" s="153"/>
      <c r="D200" s="131">
        <v>969425</v>
      </c>
      <c r="E200" s="131" t="s">
        <v>295</v>
      </c>
      <c r="F200" s="132"/>
      <c r="G200" s="153"/>
      <c r="H200" s="153"/>
      <c r="I200" s="207"/>
    </row>
    <row r="201" spans="2:9">
      <c r="B201" s="154"/>
      <c r="C201" s="154"/>
      <c r="D201" s="131">
        <v>969467</v>
      </c>
      <c r="E201" s="131" t="s">
        <v>296</v>
      </c>
      <c r="F201" s="132"/>
      <c r="G201" s="154"/>
      <c r="H201" s="154"/>
      <c r="I201" s="208"/>
    </row>
    <row r="206" spans="2:9">
      <c r="B206" s="38" t="s">
        <v>86</v>
      </c>
      <c r="C206" s="38" t="s">
        <v>168</v>
      </c>
      <c r="D206" s="38" t="s">
        <v>84</v>
      </c>
      <c r="E206" s="38" t="s">
        <v>165</v>
      </c>
      <c r="F206" s="38" t="s">
        <v>110</v>
      </c>
      <c r="G206" s="38" t="s">
        <v>167</v>
      </c>
      <c r="H206" s="38" t="s">
        <v>111</v>
      </c>
      <c r="I206" s="38" t="s">
        <v>91</v>
      </c>
    </row>
    <row r="207" spans="2:9">
      <c r="B207" s="180" t="s">
        <v>300</v>
      </c>
      <c r="C207" s="180">
        <v>12000</v>
      </c>
      <c r="D207" s="131">
        <v>697288</v>
      </c>
      <c r="E207" s="131" t="s">
        <v>301</v>
      </c>
      <c r="F207" s="132">
        <v>24.58</v>
      </c>
      <c r="G207" s="180">
        <f>SUM(F207:F240)</f>
        <v>1711.8060000000003</v>
      </c>
      <c r="H207" s="180">
        <f>C207-G207</f>
        <v>10288.194</v>
      </c>
      <c r="I207" s="242">
        <f>G207/C207</f>
        <v>0.14265050000000001</v>
      </c>
    </row>
    <row r="208" spans="2:9">
      <c r="B208" s="180"/>
      <c r="C208" s="180"/>
      <c r="D208" s="131">
        <v>697454</v>
      </c>
      <c r="E208" s="131" t="s">
        <v>302</v>
      </c>
      <c r="F208" s="132">
        <v>54.564999999999998</v>
      </c>
      <c r="G208" s="180"/>
      <c r="H208" s="180"/>
      <c r="I208" s="242"/>
    </row>
    <row r="209" spans="2:9">
      <c r="B209" s="180"/>
      <c r="C209" s="180"/>
      <c r="D209" s="131">
        <v>698731</v>
      </c>
      <c r="E209" s="131" t="s">
        <v>303</v>
      </c>
      <c r="F209" s="132">
        <v>66.89</v>
      </c>
      <c r="G209" s="180"/>
      <c r="H209" s="180"/>
      <c r="I209" s="242"/>
    </row>
    <row r="210" spans="2:9">
      <c r="B210" s="180"/>
      <c r="C210" s="180"/>
      <c r="D210" s="131">
        <v>700014</v>
      </c>
      <c r="E210" s="131" t="s">
        <v>304</v>
      </c>
      <c r="F210" s="132">
        <v>71.66</v>
      </c>
      <c r="G210" s="180"/>
      <c r="H210" s="180"/>
      <c r="I210" s="242"/>
    </row>
    <row r="211" spans="2:9">
      <c r="B211" s="180"/>
      <c r="C211" s="180"/>
      <c r="D211" s="131">
        <v>700140</v>
      </c>
      <c r="E211" s="131" t="s">
        <v>305</v>
      </c>
      <c r="F211" s="132">
        <v>87.62</v>
      </c>
      <c r="G211" s="180"/>
      <c r="H211" s="180"/>
      <c r="I211" s="242"/>
    </row>
    <row r="212" spans="2:9">
      <c r="B212" s="180"/>
      <c r="C212" s="180"/>
      <c r="D212" s="131">
        <v>700254</v>
      </c>
      <c r="E212" s="131" t="s">
        <v>306</v>
      </c>
      <c r="F212" s="132">
        <v>41.81</v>
      </c>
      <c r="G212" s="180"/>
      <c r="H212" s="180"/>
      <c r="I212" s="242"/>
    </row>
    <row r="213" spans="2:9">
      <c r="B213" s="180"/>
      <c r="C213" s="180"/>
      <c r="D213" s="131">
        <v>910612</v>
      </c>
      <c r="E213" s="131" t="s">
        <v>307</v>
      </c>
      <c r="F213" s="132">
        <v>71.613</v>
      </c>
      <c r="G213" s="180"/>
      <c r="H213" s="180"/>
      <c r="I213" s="242"/>
    </row>
    <row r="214" spans="2:9">
      <c r="B214" s="180"/>
      <c r="C214" s="180"/>
      <c r="D214" s="131">
        <v>922993</v>
      </c>
      <c r="E214" s="131" t="s">
        <v>308</v>
      </c>
      <c r="F214" s="132">
        <v>86.390999999999991</v>
      </c>
      <c r="G214" s="180"/>
      <c r="H214" s="180"/>
      <c r="I214" s="242"/>
    </row>
    <row r="215" spans="2:9">
      <c r="B215" s="180"/>
      <c r="C215" s="180"/>
      <c r="D215" s="131">
        <v>926655</v>
      </c>
      <c r="E215" s="131" t="s">
        <v>309</v>
      </c>
      <c r="F215" s="243">
        <v>90.474999999999994</v>
      </c>
      <c r="G215" s="180"/>
      <c r="H215" s="180"/>
      <c r="I215" s="242"/>
    </row>
    <row r="216" spans="2:9">
      <c r="B216" s="180"/>
      <c r="C216" s="180"/>
      <c r="D216" s="131">
        <v>950818</v>
      </c>
      <c r="E216" s="131" t="s">
        <v>310</v>
      </c>
      <c r="F216" s="132">
        <v>64.12</v>
      </c>
      <c r="G216" s="180"/>
      <c r="H216" s="180"/>
      <c r="I216" s="242"/>
    </row>
    <row r="217" spans="2:9">
      <c r="B217" s="180"/>
      <c r="C217" s="180"/>
      <c r="D217" s="131">
        <v>951974</v>
      </c>
      <c r="E217" s="131" t="s">
        <v>311</v>
      </c>
      <c r="F217" s="132">
        <v>68.069999999999993</v>
      </c>
      <c r="G217" s="180"/>
      <c r="H217" s="180"/>
      <c r="I217" s="242"/>
    </row>
    <row r="218" spans="2:9">
      <c r="B218" s="180"/>
      <c r="C218" s="180"/>
      <c r="D218" s="131">
        <v>952296</v>
      </c>
      <c r="E218" s="131" t="s">
        <v>312</v>
      </c>
      <c r="F218" s="132">
        <v>70.617000000000004</v>
      </c>
      <c r="G218" s="180"/>
      <c r="H218" s="180"/>
      <c r="I218" s="242"/>
    </row>
    <row r="219" spans="2:9">
      <c r="B219" s="180"/>
      <c r="C219" s="180"/>
      <c r="D219" s="131">
        <v>952452</v>
      </c>
      <c r="E219" s="131" t="s">
        <v>313</v>
      </c>
      <c r="F219" s="132">
        <v>67.599999999999994</v>
      </c>
      <c r="G219" s="180"/>
      <c r="H219" s="180"/>
      <c r="I219" s="242"/>
    </row>
    <row r="220" spans="2:9">
      <c r="B220" s="180"/>
      <c r="C220" s="180"/>
      <c r="D220" s="131">
        <v>960538</v>
      </c>
      <c r="E220" s="131" t="s">
        <v>314</v>
      </c>
      <c r="F220" s="132">
        <v>83.695000000000007</v>
      </c>
      <c r="G220" s="180"/>
      <c r="H220" s="180"/>
      <c r="I220" s="242"/>
    </row>
    <row r="221" spans="2:9">
      <c r="B221" s="180"/>
      <c r="C221" s="180"/>
      <c r="D221" s="131">
        <v>960545</v>
      </c>
      <c r="E221" s="131" t="s">
        <v>315</v>
      </c>
      <c r="F221" s="132">
        <v>18.045000000000002</v>
      </c>
      <c r="G221" s="180"/>
      <c r="H221" s="180"/>
      <c r="I221" s="242"/>
    </row>
    <row r="222" spans="2:9">
      <c r="B222" s="180"/>
      <c r="C222" s="180"/>
      <c r="D222" s="131">
        <v>960670</v>
      </c>
      <c r="E222" s="131" t="s">
        <v>316</v>
      </c>
      <c r="F222" s="132">
        <v>19.745000000000001</v>
      </c>
      <c r="G222" s="180"/>
      <c r="H222" s="180"/>
      <c r="I222" s="242"/>
    </row>
    <row r="223" spans="2:9">
      <c r="B223" s="180"/>
      <c r="C223" s="180"/>
      <c r="D223" s="131">
        <v>961126</v>
      </c>
      <c r="E223" s="131" t="s">
        <v>317</v>
      </c>
      <c r="F223" s="132">
        <v>21.594999999999999</v>
      </c>
      <c r="G223" s="180"/>
      <c r="H223" s="180"/>
      <c r="I223" s="242"/>
    </row>
    <row r="224" spans="2:9">
      <c r="B224" s="180"/>
      <c r="C224" s="180"/>
      <c r="D224" s="131">
        <v>962102</v>
      </c>
      <c r="E224" s="131" t="s">
        <v>318</v>
      </c>
      <c r="F224" s="132">
        <v>53.8</v>
      </c>
      <c r="G224" s="180"/>
      <c r="H224" s="180"/>
      <c r="I224" s="242"/>
    </row>
    <row r="225" spans="2:9">
      <c r="B225" s="180"/>
      <c r="C225" s="180"/>
      <c r="D225" s="131">
        <v>963197</v>
      </c>
      <c r="E225" s="131" t="s">
        <v>319</v>
      </c>
      <c r="F225" s="132">
        <v>67.334999999999994</v>
      </c>
      <c r="G225" s="180"/>
      <c r="H225" s="180"/>
      <c r="I225" s="242"/>
    </row>
    <row r="226" spans="2:9">
      <c r="B226" s="180"/>
      <c r="C226" s="180"/>
      <c r="D226" s="131">
        <v>965677</v>
      </c>
      <c r="E226" s="131" t="s">
        <v>320</v>
      </c>
      <c r="F226" s="132">
        <v>72.305000000000007</v>
      </c>
      <c r="G226" s="180"/>
      <c r="H226" s="180"/>
      <c r="I226" s="242"/>
    </row>
    <row r="227" spans="2:9">
      <c r="B227" s="180"/>
      <c r="C227" s="180"/>
      <c r="D227" s="131">
        <v>966410</v>
      </c>
      <c r="E227" s="131" t="s">
        <v>321</v>
      </c>
      <c r="F227" s="132">
        <v>45.67</v>
      </c>
      <c r="G227" s="180"/>
      <c r="H227" s="180"/>
      <c r="I227" s="242"/>
    </row>
    <row r="228" spans="2:9">
      <c r="B228" s="180"/>
      <c r="C228" s="180"/>
      <c r="D228" s="131">
        <v>966475</v>
      </c>
      <c r="E228" s="131" t="s">
        <v>322</v>
      </c>
      <c r="F228" s="132">
        <v>36.174999999999997</v>
      </c>
      <c r="G228" s="180"/>
      <c r="H228" s="180"/>
      <c r="I228" s="242"/>
    </row>
    <row r="229" spans="2:9">
      <c r="B229" s="180"/>
      <c r="C229" s="180"/>
      <c r="D229" s="131">
        <v>967281</v>
      </c>
      <c r="E229" s="131" t="s">
        <v>323</v>
      </c>
      <c r="F229" s="132">
        <v>9.23</v>
      </c>
      <c r="G229" s="180"/>
      <c r="H229" s="180"/>
      <c r="I229" s="242"/>
    </row>
    <row r="230" spans="2:9">
      <c r="B230" s="180"/>
      <c r="C230" s="180"/>
      <c r="D230" s="131">
        <v>967342</v>
      </c>
      <c r="E230" s="131" t="s">
        <v>324</v>
      </c>
      <c r="F230" s="132">
        <v>28.36</v>
      </c>
      <c r="G230" s="180"/>
      <c r="H230" s="180"/>
      <c r="I230" s="242"/>
    </row>
    <row r="231" spans="2:9">
      <c r="B231" s="180"/>
      <c r="C231" s="180"/>
      <c r="D231" s="131">
        <v>967898</v>
      </c>
      <c r="E231" s="131" t="s">
        <v>325</v>
      </c>
      <c r="F231" s="132">
        <v>12.029</v>
      </c>
      <c r="G231" s="180"/>
      <c r="H231" s="180"/>
      <c r="I231" s="242"/>
    </row>
    <row r="232" spans="2:9">
      <c r="B232" s="180"/>
      <c r="C232" s="180"/>
      <c r="D232" s="131">
        <v>968132</v>
      </c>
      <c r="E232" s="131" t="s">
        <v>326</v>
      </c>
      <c r="F232" s="132">
        <v>5.1210000000000004</v>
      </c>
      <c r="G232" s="180"/>
      <c r="H232" s="180"/>
      <c r="I232" s="242"/>
    </row>
    <row r="233" spans="2:9">
      <c r="B233" s="180"/>
      <c r="C233" s="180"/>
      <c r="D233" s="131">
        <v>968520</v>
      </c>
      <c r="E233" s="131" t="s">
        <v>327</v>
      </c>
      <c r="F233" s="132">
        <v>22.373000000000001</v>
      </c>
      <c r="G233" s="180"/>
      <c r="H233" s="180"/>
      <c r="I233" s="242"/>
    </row>
    <row r="234" spans="2:9">
      <c r="B234" s="180"/>
      <c r="C234" s="180"/>
      <c r="D234" s="131">
        <v>968681</v>
      </c>
      <c r="E234" s="131" t="s">
        <v>328</v>
      </c>
      <c r="F234" s="132">
        <v>65.215000000000003</v>
      </c>
      <c r="G234" s="180"/>
      <c r="H234" s="180"/>
      <c r="I234" s="242"/>
    </row>
    <row r="235" spans="2:9">
      <c r="B235" s="180"/>
      <c r="C235" s="180"/>
      <c r="D235" s="131">
        <v>968857</v>
      </c>
      <c r="E235" s="131" t="s">
        <v>329</v>
      </c>
      <c r="F235" s="132">
        <v>12.032</v>
      </c>
      <c r="G235" s="180"/>
      <c r="H235" s="180"/>
      <c r="I235" s="242"/>
    </row>
    <row r="236" spans="2:9">
      <c r="B236" s="180"/>
      <c r="C236" s="180"/>
      <c r="D236" s="131">
        <v>969257</v>
      </c>
      <c r="E236" s="131" t="s">
        <v>330</v>
      </c>
      <c r="F236" s="132">
        <v>67.334999999999994</v>
      </c>
      <c r="G236" s="180"/>
      <c r="H236" s="180"/>
      <c r="I236" s="242"/>
    </row>
    <row r="237" spans="2:9">
      <c r="B237" s="180"/>
      <c r="C237" s="180"/>
      <c r="D237" s="131">
        <v>969362</v>
      </c>
      <c r="E237" s="131" t="s">
        <v>331</v>
      </c>
      <c r="F237" s="132">
        <v>58.01</v>
      </c>
      <c r="G237" s="180"/>
      <c r="H237" s="180"/>
      <c r="I237" s="242"/>
    </row>
    <row r="238" spans="2:9">
      <c r="B238" s="180"/>
      <c r="C238" s="180"/>
      <c r="D238" s="131">
        <v>969602</v>
      </c>
      <c r="E238" s="131" t="s">
        <v>332</v>
      </c>
      <c r="F238" s="132">
        <v>79.504999999999995</v>
      </c>
      <c r="G238" s="180"/>
      <c r="H238" s="180"/>
      <c r="I238" s="242"/>
    </row>
    <row r="239" spans="2:9">
      <c r="B239" s="180"/>
      <c r="C239" s="180"/>
      <c r="D239" s="131">
        <v>969685</v>
      </c>
      <c r="E239" s="131" t="s">
        <v>333</v>
      </c>
      <c r="F239" s="132">
        <v>68.22</v>
      </c>
      <c r="G239" s="180"/>
      <c r="H239" s="180"/>
      <c r="I239" s="242"/>
    </row>
  </sheetData>
  <mergeCells count="169">
    <mergeCell ref="B207:B239"/>
    <mergeCell ref="C207:C239"/>
    <mergeCell ref="G207:G239"/>
    <mergeCell ref="H207:H239"/>
    <mergeCell ref="I207:I239"/>
    <mergeCell ref="I37:I39"/>
    <mergeCell ref="D82:D87"/>
    <mergeCell ref="C67:C71"/>
    <mergeCell ref="B115:B117"/>
    <mergeCell ref="C72:C76"/>
    <mergeCell ref="I72:I76"/>
    <mergeCell ref="B82:B114"/>
    <mergeCell ref="C106:C114"/>
    <mergeCell ref="D106:D114"/>
    <mergeCell ref="E106:E114"/>
    <mergeCell ref="H106:H114"/>
    <mergeCell ref="J106:J114"/>
    <mergeCell ref="H46:H48"/>
    <mergeCell ref="I46:I48"/>
    <mergeCell ref="J46:J48"/>
    <mergeCell ref="J82:J87"/>
    <mergeCell ref="E82:E87"/>
    <mergeCell ref="H82:H87"/>
    <mergeCell ref="B49:B81"/>
    <mergeCell ref="C77:C81"/>
    <mergeCell ref="D53:D56"/>
    <mergeCell ref="E53:E56"/>
    <mergeCell ref="H53:H56"/>
    <mergeCell ref="I67:I71"/>
    <mergeCell ref="J67:J71"/>
    <mergeCell ref="C88:C93"/>
    <mergeCell ref="C100:C105"/>
    <mergeCell ref="D100:D105"/>
    <mergeCell ref="E100:E105"/>
    <mergeCell ref="E94:E99"/>
    <mergeCell ref="H94:H99"/>
    <mergeCell ref="I94:I99"/>
    <mergeCell ref="J94:J99"/>
    <mergeCell ref="C57:C61"/>
    <mergeCell ref="B37:B48"/>
    <mergeCell ref="B17:B36"/>
    <mergeCell ref="C32:C36"/>
    <mergeCell ref="D32:D36"/>
    <mergeCell ref="E32:E36"/>
    <mergeCell ref="H32:H36"/>
    <mergeCell ref="I32:I36"/>
    <mergeCell ref="J32:J36"/>
    <mergeCell ref="H27:H31"/>
    <mergeCell ref="I27:I31"/>
    <mergeCell ref="J27:J31"/>
    <mergeCell ref="E17:E21"/>
    <mergeCell ref="H17:H21"/>
    <mergeCell ref="I17:I21"/>
    <mergeCell ref="J17:J21"/>
    <mergeCell ref="C22:C26"/>
    <mergeCell ref="C17:C21"/>
    <mergeCell ref="D17:D21"/>
    <mergeCell ref="H22:H26"/>
    <mergeCell ref="I22:I26"/>
    <mergeCell ref="J22:J26"/>
    <mergeCell ref="C27:C31"/>
    <mergeCell ref="D27:D31"/>
    <mergeCell ref="E27:E31"/>
    <mergeCell ref="E22:E26"/>
    <mergeCell ref="J77:J81"/>
    <mergeCell ref="I100:I105"/>
    <mergeCell ref="J100:J105"/>
    <mergeCell ref="C94:C99"/>
    <mergeCell ref="D94:D99"/>
    <mergeCell ref="J88:J93"/>
    <mergeCell ref="D77:D81"/>
    <mergeCell ref="E77:E81"/>
    <mergeCell ref="H77:H81"/>
    <mergeCell ref="H100:H105"/>
    <mergeCell ref="D88:D93"/>
    <mergeCell ref="E88:E93"/>
    <mergeCell ref="H88:H93"/>
    <mergeCell ref="I88:I93"/>
    <mergeCell ref="J43:J45"/>
    <mergeCell ref="E46:E48"/>
    <mergeCell ref="J37:J39"/>
    <mergeCell ref="I49:I52"/>
    <mergeCell ref="J49:J52"/>
    <mergeCell ref="E37:E39"/>
    <mergeCell ref="D57:D61"/>
    <mergeCell ref="C62:C66"/>
    <mergeCell ref="D62:D66"/>
    <mergeCell ref="E57:E61"/>
    <mergeCell ref="H57:H61"/>
    <mergeCell ref="E62:E66"/>
    <mergeCell ref="H62:H66"/>
    <mergeCell ref="J62:J66"/>
    <mergeCell ref="H49:H52"/>
    <mergeCell ref="C40:C42"/>
    <mergeCell ref="D40:D42"/>
    <mergeCell ref="C53:C56"/>
    <mergeCell ref="C49:C52"/>
    <mergeCell ref="C46:C48"/>
    <mergeCell ref="D46:D48"/>
    <mergeCell ref="H43:H45"/>
    <mergeCell ref="I43:I45"/>
    <mergeCell ref="H40:H42"/>
    <mergeCell ref="J115:J117"/>
    <mergeCell ref="C37:C39"/>
    <mergeCell ref="E40:E42"/>
    <mergeCell ref="C43:C45"/>
    <mergeCell ref="J40:J42"/>
    <mergeCell ref="C11:C13"/>
    <mergeCell ref="D11:D13"/>
    <mergeCell ref="E11:E13"/>
    <mergeCell ref="H11:H13"/>
    <mergeCell ref="I11:I13"/>
    <mergeCell ref="J11:J13"/>
    <mergeCell ref="J53:J56"/>
    <mergeCell ref="I77:I81"/>
    <mergeCell ref="J72:J76"/>
    <mergeCell ref="I57:I61"/>
    <mergeCell ref="J57:J61"/>
    <mergeCell ref="I62:I66"/>
    <mergeCell ref="I53:I56"/>
    <mergeCell ref="D22:D26"/>
    <mergeCell ref="H37:H39"/>
    <mergeCell ref="D43:D45"/>
    <mergeCell ref="E43:E45"/>
    <mergeCell ref="D37:D39"/>
    <mergeCell ref="E67:E71"/>
    <mergeCell ref="B168:B201"/>
    <mergeCell ref="C168:C201"/>
    <mergeCell ref="G168:G201"/>
    <mergeCell ref="H168:H201"/>
    <mergeCell ref="I168:I201"/>
    <mergeCell ref="D115:D117"/>
    <mergeCell ref="E115:E117"/>
    <mergeCell ref="I82:I87"/>
    <mergeCell ref="B2:J2"/>
    <mergeCell ref="B3:J3"/>
    <mergeCell ref="C8:C10"/>
    <mergeCell ref="D8:D10"/>
    <mergeCell ref="E8:E10"/>
    <mergeCell ref="H8:H10"/>
    <mergeCell ref="I8:I10"/>
    <mergeCell ref="J8:J10"/>
    <mergeCell ref="B4:J4"/>
    <mergeCell ref="B8:B16"/>
    <mergeCell ref="C14:C16"/>
    <mergeCell ref="D14:D16"/>
    <mergeCell ref="E14:E16"/>
    <mergeCell ref="H14:H16"/>
    <mergeCell ref="I14:I16"/>
    <mergeCell ref="J14:J16"/>
    <mergeCell ref="C115:C117"/>
    <mergeCell ref="C82:C87"/>
    <mergeCell ref="H115:H117"/>
    <mergeCell ref="I40:I42"/>
    <mergeCell ref="I115:I117"/>
    <mergeCell ref="D49:D52"/>
    <mergeCell ref="E49:E52"/>
    <mergeCell ref="B129:B162"/>
    <mergeCell ref="C129:C162"/>
    <mergeCell ref="G129:G162"/>
    <mergeCell ref="H129:H162"/>
    <mergeCell ref="I129:I162"/>
    <mergeCell ref="H67:H71"/>
    <mergeCell ref="D67:D71"/>
    <mergeCell ref="D72:D76"/>
    <mergeCell ref="E72:E76"/>
    <mergeCell ref="H72:H76"/>
    <mergeCell ref="I106:I114"/>
    <mergeCell ref="B118:D1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F10" activeCellId="2" sqref="F6 F8 F10"/>
    </sheetView>
  </sheetViews>
  <sheetFormatPr baseColWidth="10" defaultColWidth="11.42578125" defaultRowHeight="12"/>
  <cols>
    <col min="1" max="1" width="26.140625" style="19" customWidth="1"/>
    <col min="2" max="2" width="14" style="19" customWidth="1"/>
    <col min="3" max="3" width="14.140625" style="19" customWidth="1"/>
    <col min="4" max="4" width="22.5703125" style="19" customWidth="1"/>
    <col min="5" max="5" width="12" style="19" customWidth="1"/>
    <col min="6" max="6" width="14" style="41" customWidth="1"/>
    <col min="7" max="7" width="12.140625" style="19" customWidth="1"/>
    <col min="8" max="16384" width="11.42578125" style="19"/>
  </cols>
  <sheetData>
    <row r="1" spans="2:8" ht="21" customHeight="1"/>
    <row r="2" spans="2:8" ht="16.149999999999999" customHeight="1">
      <c r="B2" s="230" t="s">
        <v>185</v>
      </c>
      <c r="C2" s="231"/>
      <c r="D2" s="231"/>
      <c r="E2" s="231"/>
      <c r="F2" s="231"/>
      <c r="G2" s="231"/>
      <c r="H2" s="232"/>
    </row>
    <row r="3" spans="2:8" ht="12" customHeight="1">
      <c r="B3" s="233">
        <f>RESUMEN!B3</f>
        <v>44895</v>
      </c>
      <c r="C3" s="234"/>
      <c r="D3" s="234"/>
      <c r="E3" s="234"/>
      <c r="F3" s="234"/>
      <c r="G3" s="234"/>
      <c r="H3" s="235"/>
    </row>
    <row r="4" spans="2:8" ht="25.5" customHeight="1">
      <c r="B4" s="166"/>
      <c r="C4" s="167"/>
      <c r="D4" s="167"/>
      <c r="E4" s="167"/>
      <c r="F4" s="167"/>
      <c r="G4" s="167"/>
      <c r="H4" s="167"/>
    </row>
    <row r="5" spans="2:8">
      <c r="B5" s="38" t="s">
        <v>161</v>
      </c>
      <c r="C5" s="38" t="s">
        <v>84</v>
      </c>
      <c r="D5" s="38" t="s">
        <v>165</v>
      </c>
      <c r="E5" s="38" t="s">
        <v>166</v>
      </c>
      <c r="F5" s="38" t="s">
        <v>110</v>
      </c>
      <c r="G5" s="38" t="s">
        <v>111</v>
      </c>
      <c r="H5" s="38" t="s">
        <v>91</v>
      </c>
    </row>
    <row r="6" spans="2:8">
      <c r="B6" s="33">
        <v>174</v>
      </c>
      <c r="C6" s="33">
        <v>950818</v>
      </c>
      <c r="D6" s="33" t="s">
        <v>190</v>
      </c>
      <c r="E6" s="33">
        <v>300</v>
      </c>
      <c r="F6" s="127">
        <v>290.07</v>
      </c>
      <c r="G6" s="33">
        <f>E6-F6</f>
        <v>9.9300000000000068</v>
      </c>
      <c r="H6" s="32">
        <f>F6/E6</f>
        <v>0.96689999999999998</v>
      </c>
    </row>
    <row r="7" spans="2:8">
      <c r="B7" s="33">
        <v>541</v>
      </c>
      <c r="C7" s="33">
        <v>952296</v>
      </c>
      <c r="D7" s="33" t="s">
        <v>191</v>
      </c>
      <c r="E7" s="33">
        <f>150-150</f>
        <v>0</v>
      </c>
      <c r="F7" s="33"/>
      <c r="G7" s="33">
        <f t="shared" ref="G7:G10" si="0">E7-F7</f>
        <v>0</v>
      </c>
      <c r="H7" s="32" t="e">
        <f t="shared" ref="H7:H10" si="1">F7/E7</f>
        <v>#DIV/0!</v>
      </c>
    </row>
    <row r="8" spans="2:8">
      <c r="B8" s="33">
        <v>609</v>
      </c>
      <c r="C8" s="33">
        <v>950818</v>
      </c>
      <c r="D8" s="33" t="s">
        <v>190</v>
      </c>
      <c r="E8" s="33">
        <v>187</v>
      </c>
      <c r="F8" s="127">
        <v>187</v>
      </c>
      <c r="G8" s="33">
        <f t="shared" si="0"/>
        <v>0</v>
      </c>
      <c r="H8" s="32">
        <f t="shared" si="1"/>
        <v>1</v>
      </c>
    </row>
    <row r="9" spans="2:8">
      <c r="B9" s="33">
        <v>1292</v>
      </c>
      <c r="C9" s="33">
        <v>697288</v>
      </c>
      <c r="D9" s="33" t="s">
        <v>217</v>
      </c>
      <c r="E9" s="33">
        <v>300</v>
      </c>
      <c r="F9" s="33"/>
      <c r="G9" s="33">
        <f t="shared" si="0"/>
        <v>300</v>
      </c>
      <c r="H9" s="32">
        <f t="shared" si="1"/>
        <v>0</v>
      </c>
    </row>
    <row r="10" spans="2:8">
      <c r="B10" s="33">
        <v>1306</v>
      </c>
      <c r="C10" s="33">
        <v>967898</v>
      </c>
      <c r="D10" s="33" t="s">
        <v>218</v>
      </c>
      <c r="E10" s="33">
        <v>21</v>
      </c>
      <c r="F10" s="127">
        <v>20.8</v>
      </c>
      <c r="G10" s="33">
        <f t="shared" si="0"/>
        <v>0.19999999999999929</v>
      </c>
      <c r="H10" s="32">
        <f t="shared" si="1"/>
        <v>0.99047619047619051</v>
      </c>
    </row>
    <row r="11" spans="2:8">
      <c r="B11" s="33">
        <v>1306</v>
      </c>
      <c r="C11" s="33">
        <v>697288</v>
      </c>
      <c r="D11" s="33" t="s">
        <v>217</v>
      </c>
      <c r="E11" s="33">
        <v>200</v>
      </c>
      <c r="F11" s="33"/>
      <c r="G11" s="33">
        <f>E11-F11</f>
        <v>200</v>
      </c>
      <c r="H11" s="32">
        <f>F11/E11</f>
        <v>0</v>
      </c>
    </row>
    <row r="12" spans="2:8">
      <c r="B12" s="33"/>
      <c r="C12" s="33"/>
      <c r="D12" s="33"/>
      <c r="E12" s="33"/>
      <c r="F12" s="33"/>
      <c r="G12" s="33">
        <f>E12-F12-F13-F14</f>
        <v>0</v>
      </c>
      <c r="H12" s="32" t="e">
        <f t="shared" ref="H12:H14" si="2">F12/E12</f>
        <v>#DIV/0!</v>
      </c>
    </row>
    <row r="13" spans="2:8">
      <c r="B13" s="33"/>
      <c r="C13" s="33"/>
      <c r="D13" s="33"/>
      <c r="E13" s="33"/>
      <c r="F13" s="33"/>
      <c r="G13" s="33"/>
      <c r="H13" s="32" t="e">
        <f t="shared" si="2"/>
        <v>#DIV/0!</v>
      </c>
    </row>
    <row r="14" spans="2:8">
      <c r="B14" s="33"/>
      <c r="C14" s="33"/>
      <c r="D14" s="33"/>
      <c r="E14" s="33"/>
      <c r="F14" s="33"/>
      <c r="G14" s="33"/>
      <c r="H14" s="32" t="e">
        <f t="shared" si="2"/>
        <v>#DIV/0!</v>
      </c>
    </row>
    <row r="15" spans="2:8">
      <c r="B15" s="33"/>
      <c r="C15" s="33"/>
      <c r="D15" s="33"/>
      <c r="E15" s="33"/>
      <c r="F15" s="33"/>
      <c r="G15" s="33">
        <f>E15-F15</f>
        <v>0</v>
      </c>
      <c r="H15" s="32">
        <v>0</v>
      </c>
    </row>
    <row r="16" spans="2:8">
      <c r="B16" s="33"/>
      <c r="C16" s="33"/>
      <c r="D16" s="33"/>
      <c r="E16" s="33"/>
      <c r="F16" s="33"/>
      <c r="G16" s="33">
        <f>E16-F16</f>
        <v>0</v>
      </c>
      <c r="H16" s="32">
        <v>0</v>
      </c>
    </row>
    <row r="17" spans="2:8">
      <c r="B17" s="236" t="s">
        <v>97</v>
      </c>
      <c r="C17" s="237"/>
      <c r="D17" s="238"/>
      <c r="E17" s="93">
        <f>SUM(E6:E16)</f>
        <v>1008</v>
      </c>
      <c r="F17" s="93">
        <f>SUM(F6:F16)</f>
        <v>497.87</v>
      </c>
      <c r="G17" s="93">
        <f>+E17-F17</f>
        <v>510.13</v>
      </c>
      <c r="H17" s="108">
        <f>+F17/E17</f>
        <v>0.49391865079365077</v>
      </c>
    </row>
  </sheetData>
  <mergeCells count="4">
    <mergeCell ref="B2:H2"/>
    <mergeCell ref="B3:H3"/>
    <mergeCell ref="B4:H4"/>
    <mergeCell ref="B17:D1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showGridLines="0" topLeftCell="B1" workbookViewId="0">
      <selection activeCell="J37" sqref="J37"/>
    </sheetView>
  </sheetViews>
  <sheetFormatPr baseColWidth="10" defaultColWidth="11.42578125" defaultRowHeight="12"/>
  <cols>
    <col min="1" max="1" width="25.85546875" style="41" customWidth="1"/>
    <col min="2" max="2" width="16.5703125" style="41" customWidth="1"/>
    <col min="3" max="3" width="16.28515625" style="41" bestFit="1" customWidth="1"/>
    <col min="4" max="4" width="17.7109375" style="41" bestFit="1" customWidth="1"/>
    <col min="5" max="5" width="19.42578125" style="41" customWidth="1"/>
    <col min="6" max="6" width="18.28515625" style="41" customWidth="1"/>
    <col min="7" max="7" width="15.85546875" style="41" customWidth="1"/>
    <col min="8" max="8" width="19.28515625" style="41" customWidth="1"/>
    <col min="9" max="9" width="11.28515625" style="41" bestFit="1" customWidth="1"/>
    <col min="10" max="10" width="13.140625" style="41" bestFit="1" customWidth="1"/>
    <col min="11" max="16384" width="11.42578125" style="41"/>
  </cols>
  <sheetData>
    <row r="2" spans="3:10" ht="15.6" customHeight="1">
      <c r="C2" s="230" t="s">
        <v>184</v>
      </c>
      <c r="D2" s="231"/>
      <c r="E2" s="231"/>
      <c r="F2" s="231"/>
      <c r="G2" s="231"/>
      <c r="H2" s="231"/>
      <c r="I2" s="231"/>
      <c r="J2" s="232"/>
    </row>
    <row r="3" spans="3:10" ht="15" customHeight="1">
      <c r="C3" s="233">
        <f>+RESUMEN!B3</f>
        <v>44895</v>
      </c>
      <c r="D3" s="234"/>
      <c r="E3" s="234"/>
      <c r="F3" s="234"/>
      <c r="G3" s="234"/>
      <c r="H3" s="234"/>
      <c r="I3" s="234"/>
      <c r="J3" s="235"/>
    </row>
    <row r="4" spans="3:10">
      <c r="C4" s="166"/>
      <c r="D4" s="166"/>
      <c r="E4" s="166"/>
      <c r="F4" s="166"/>
      <c r="G4" s="166"/>
      <c r="H4" s="166"/>
    </row>
    <row r="5" spans="3:10">
      <c r="C5" s="239" t="s">
        <v>158</v>
      </c>
      <c r="D5" s="240"/>
      <c r="E5" s="240"/>
      <c r="F5" s="240"/>
      <c r="G5" s="241"/>
    </row>
    <row r="6" spans="3:10">
      <c r="C6" s="38" t="s">
        <v>159</v>
      </c>
      <c r="D6" s="38" t="s">
        <v>107</v>
      </c>
      <c r="E6" s="57" t="s">
        <v>110</v>
      </c>
      <c r="F6" s="57" t="s">
        <v>111</v>
      </c>
      <c r="G6" s="38" t="s">
        <v>91</v>
      </c>
    </row>
    <row r="7" spans="3:10">
      <c r="C7" s="33" t="s">
        <v>57</v>
      </c>
      <c r="D7" s="30">
        <v>5810</v>
      </c>
      <c r="E7" s="30">
        <v>5452.5569999999998</v>
      </c>
      <c r="F7" s="30">
        <f>D7-E7</f>
        <v>357.44300000000021</v>
      </c>
      <c r="G7" s="29">
        <f>E7/D7</f>
        <v>0.93847796901893288</v>
      </c>
    </row>
    <row r="8" spans="3:10">
      <c r="I8" s="55"/>
    </row>
    <row r="10" spans="3:10">
      <c r="C10" s="58" t="s">
        <v>160</v>
      </c>
      <c r="D10" s="59" t="s">
        <v>161</v>
      </c>
      <c r="E10" s="58" t="s">
        <v>162</v>
      </c>
      <c r="F10" s="58" t="s">
        <v>107</v>
      </c>
      <c r="G10" s="58" t="s">
        <v>110</v>
      </c>
      <c r="H10" s="58" t="s">
        <v>111</v>
      </c>
      <c r="I10" s="60" t="s">
        <v>163</v>
      </c>
      <c r="J10" s="58" t="s">
        <v>164</v>
      </c>
    </row>
    <row r="11" spans="3:10">
      <c r="C11" s="33" t="s">
        <v>180</v>
      </c>
      <c r="D11" s="33" t="s">
        <v>180</v>
      </c>
      <c r="E11" s="33" t="s">
        <v>57</v>
      </c>
      <c r="F11" s="30"/>
      <c r="G11" s="30"/>
      <c r="H11" s="30">
        <f>+F11-G11</f>
        <v>0</v>
      </c>
      <c r="I11" s="56" t="e">
        <f>G11/F11</f>
        <v>#DIV/0!</v>
      </c>
      <c r="J11" s="34"/>
    </row>
    <row r="12" spans="3:10">
      <c r="C12" s="33" t="s">
        <v>180</v>
      </c>
      <c r="D12" s="33" t="s">
        <v>180</v>
      </c>
      <c r="E12" s="33" t="s">
        <v>57</v>
      </c>
      <c r="F12" s="30"/>
      <c r="G12" s="30"/>
      <c r="H12" s="30">
        <f t="shared" ref="H12:H23" si="0">+F12-G12</f>
        <v>0</v>
      </c>
      <c r="I12" s="56" t="e">
        <f>G12/F12</f>
        <v>#DIV/0!</v>
      </c>
      <c r="J12" s="34"/>
    </row>
    <row r="13" spans="3:10">
      <c r="C13" s="33" t="s">
        <v>180</v>
      </c>
      <c r="D13" s="33" t="s">
        <v>180</v>
      </c>
      <c r="E13" s="33" t="s">
        <v>57</v>
      </c>
      <c r="F13" s="30"/>
      <c r="G13" s="30"/>
      <c r="H13" s="30">
        <f t="shared" si="0"/>
        <v>0</v>
      </c>
      <c r="I13" s="56" t="e">
        <f t="shared" ref="I13:I19" si="1">G13/F13</f>
        <v>#DIV/0!</v>
      </c>
      <c r="J13" s="34"/>
    </row>
    <row r="14" spans="3:10">
      <c r="C14" s="33" t="s">
        <v>180</v>
      </c>
      <c r="D14" s="33" t="s">
        <v>180</v>
      </c>
      <c r="E14" s="33" t="s">
        <v>57</v>
      </c>
      <c r="F14" s="30"/>
      <c r="G14" s="30"/>
      <c r="H14" s="30">
        <f t="shared" si="0"/>
        <v>0</v>
      </c>
      <c r="I14" s="56" t="e">
        <f t="shared" si="1"/>
        <v>#DIV/0!</v>
      </c>
      <c r="J14" s="34"/>
    </row>
    <row r="15" spans="3:10">
      <c r="C15" s="33" t="s">
        <v>180</v>
      </c>
      <c r="D15" s="33" t="s">
        <v>180</v>
      </c>
      <c r="E15" s="33" t="s">
        <v>57</v>
      </c>
      <c r="F15" s="30"/>
      <c r="G15" s="30"/>
      <c r="H15" s="30">
        <f t="shared" si="0"/>
        <v>0</v>
      </c>
      <c r="I15" s="56" t="e">
        <f t="shared" si="1"/>
        <v>#DIV/0!</v>
      </c>
      <c r="J15" s="34"/>
    </row>
    <row r="16" spans="3:10">
      <c r="C16" s="33" t="s">
        <v>180</v>
      </c>
      <c r="D16" s="33" t="s">
        <v>180</v>
      </c>
      <c r="E16" s="33" t="s">
        <v>57</v>
      </c>
      <c r="F16" s="30"/>
      <c r="G16" s="30"/>
      <c r="H16" s="30">
        <f t="shared" si="0"/>
        <v>0</v>
      </c>
      <c r="I16" s="56" t="e">
        <f t="shared" si="1"/>
        <v>#DIV/0!</v>
      </c>
      <c r="J16" s="34"/>
    </row>
    <row r="17" spans="3:10">
      <c r="C17" s="33" t="s">
        <v>180</v>
      </c>
      <c r="D17" s="33" t="s">
        <v>180</v>
      </c>
      <c r="E17" s="33" t="s">
        <v>57</v>
      </c>
      <c r="F17" s="30"/>
      <c r="G17" s="30"/>
      <c r="H17" s="30">
        <f t="shared" si="0"/>
        <v>0</v>
      </c>
      <c r="I17" s="56" t="e">
        <f t="shared" si="1"/>
        <v>#DIV/0!</v>
      </c>
      <c r="J17" s="34"/>
    </row>
    <row r="18" spans="3:10">
      <c r="C18" s="33" t="s">
        <v>180</v>
      </c>
      <c r="D18" s="33" t="s">
        <v>180</v>
      </c>
      <c r="E18" s="33" t="s">
        <v>57</v>
      </c>
      <c r="F18" s="30"/>
      <c r="G18" s="30"/>
      <c r="H18" s="30">
        <f t="shared" si="0"/>
        <v>0</v>
      </c>
      <c r="I18" s="56" t="e">
        <f t="shared" si="1"/>
        <v>#DIV/0!</v>
      </c>
      <c r="J18" s="34"/>
    </row>
    <row r="19" spans="3:10">
      <c r="C19" s="33" t="s">
        <v>180</v>
      </c>
      <c r="D19" s="33" t="s">
        <v>180</v>
      </c>
      <c r="E19" s="33" t="s">
        <v>57</v>
      </c>
      <c r="F19" s="30"/>
      <c r="G19" s="30"/>
      <c r="H19" s="30">
        <f t="shared" si="0"/>
        <v>0</v>
      </c>
      <c r="I19" s="56" t="e">
        <f t="shared" si="1"/>
        <v>#DIV/0!</v>
      </c>
      <c r="J19" s="34"/>
    </row>
    <row r="20" spans="3:10">
      <c r="C20" s="33" t="s">
        <v>180</v>
      </c>
      <c r="D20" s="33" t="s">
        <v>180</v>
      </c>
      <c r="E20" s="33" t="s">
        <v>57</v>
      </c>
      <c r="F20" s="30"/>
      <c r="G20" s="30"/>
      <c r="H20" s="30">
        <f t="shared" si="0"/>
        <v>0</v>
      </c>
      <c r="I20" s="56" t="e">
        <f>G20/F20</f>
        <v>#DIV/0!</v>
      </c>
      <c r="J20" s="34"/>
    </row>
    <row r="21" spans="3:10">
      <c r="C21" s="33" t="s">
        <v>180</v>
      </c>
      <c r="D21" s="33" t="s">
        <v>180</v>
      </c>
      <c r="E21" s="33" t="s">
        <v>57</v>
      </c>
      <c r="F21" s="30"/>
      <c r="G21" s="30"/>
      <c r="H21" s="30">
        <f t="shared" si="0"/>
        <v>0</v>
      </c>
      <c r="I21" s="56" t="e">
        <f>G21/F21</f>
        <v>#DIV/0!</v>
      </c>
      <c r="J21" s="34"/>
    </row>
    <row r="22" spans="3:10">
      <c r="C22" s="33" t="s">
        <v>186</v>
      </c>
      <c r="D22" s="33" t="s">
        <v>180</v>
      </c>
      <c r="E22" s="33" t="s">
        <v>57</v>
      </c>
      <c r="F22" s="30"/>
      <c r="G22" s="30"/>
      <c r="H22" s="30">
        <f t="shared" si="0"/>
        <v>0</v>
      </c>
      <c r="I22" s="56" t="e">
        <f>G22/F22</f>
        <v>#DIV/0!</v>
      </c>
      <c r="J22" s="34"/>
    </row>
    <row r="23" spans="3:10">
      <c r="C23" s="33" t="s">
        <v>180</v>
      </c>
      <c r="D23" s="33" t="s">
        <v>180</v>
      </c>
      <c r="E23" s="33" t="s">
        <v>57</v>
      </c>
      <c r="F23" s="30"/>
      <c r="G23" s="30"/>
      <c r="H23" s="30">
        <f t="shared" si="0"/>
        <v>0</v>
      </c>
      <c r="I23" s="56" t="e">
        <f>G23/F23</f>
        <v>#DIV/0!</v>
      </c>
      <c r="J23" s="34"/>
    </row>
  </sheetData>
  <mergeCells count="4">
    <mergeCell ref="C4:H4"/>
    <mergeCell ref="C2:J2"/>
    <mergeCell ref="C3:J3"/>
    <mergeCell ref="C5:G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13"/>
  <sheetViews>
    <sheetView showGridLines="0" topLeftCell="F1" zoomScale="90" zoomScaleNormal="90" workbookViewId="0">
      <pane ySplit="1" topLeftCell="A175" activePane="bottomLeft" state="frozen"/>
      <selection pane="bottomLeft" activeCell="A2" sqref="A2:Q213"/>
    </sheetView>
  </sheetViews>
  <sheetFormatPr baseColWidth="10" defaultColWidth="11.42578125" defaultRowHeight="15"/>
  <cols>
    <col min="1" max="1" width="11.5703125" style="6" customWidth="1"/>
    <col min="2" max="2" width="8.7109375" style="6" bestFit="1" customWidth="1"/>
    <col min="3" max="3" width="9.140625" style="6" customWidth="1"/>
    <col min="4" max="4" width="17.140625" style="6" bestFit="1" customWidth="1"/>
    <col min="5" max="5" width="54.85546875" style="6" customWidth="1"/>
    <col min="6" max="6" width="14.5703125" style="6" bestFit="1" customWidth="1"/>
    <col min="7" max="7" width="20.140625" style="6" customWidth="1"/>
    <col min="8" max="8" width="12.42578125" style="6" bestFit="1" customWidth="1"/>
    <col min="9" max="9" width="21.42578125" style="6" bestFit="1" customWidth="1"/>
    <col min="10" max="10" width="15.140625" style="6" bestFit="1" customWidth="1"/>
    <col min="11" max="11" width="14.5703125" style="6" bestFit="1" customWidth="1"/>
    <col min="12" max="12" width="12.42578125" style="6" bestFit="1" customWidth="1"/>
    <col min="13" max="13" width="17.7109375" style="67" bestFit="1" customWidth="1"/>
    <col min="14" max="14" width="11.28515625" style="14" bestFit="1" customWidth="1"/>
    <col min="15" max="15" width="14.85546875" style="6" customWidth="1"/>
    <col min="16" max="16384" width="11.42578125" style="6"/>
  </cols>
  <sheetData>
    <row r="1" spans="1:17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101</v>
      </c>
      <c r="L1" s="8" t="s">
        <v>52</v>
      </c>
      <c r="M1" s="65" t="s">
        <v>53</v>
      </c>
      <c r="N1" s="9" t="s">
        <v>54</v>
      </c>
      <c r="O1" s="10" t="s">
        <v>55</v>
      </c>
      <c r="P1" s="10" t="s">
        <v>95</v>
      </c>
      <c r="Q1" s="10" t="s">
        <v>96</v>
      </c>
    </row>
    <row r="2" spans="1:17">
      <c r="A2" s="2" t="s">
        <v>56</v>
      </c>
      <c r="B2" s="1" t="s">
        <v>57</v>
      </c>
      <c r="C2" s="1" t="s">
        <v>30</v>
      </c>
      <c r="D2" s="1" t="s">
        <v>58</v>
      </c>
      <c r="E2" s="1" t="str">
        <f>+'CUOTA INDUSTRIAL'!C$6</f>
        <v>CORPESCA S.A</v>
      </c>
      <c r="F2" s="1" t="s">
        <v>59</v>
      </c>
      <c r="G2" s="1" t="s">
        <v>60</v>
      </c>
      <c r="H2" s="3">
        <f>'CUOTA INDUSTRIAL'!$F$6</f>
        <v>55742.423313200001</v>
      </c>
      <c r="I2" s="3">
        <f>'CUOTA INDUSTRIAL'!G6</f>
        <v>0</v>
      </c>
      <c r="J2" s="3">
        <f>'CUOTA INDUSTRIAL'!H6</f>
        <v>55742.423313200001</v>
      </c>
      <c r="K2" s="3">
        <f>'CUOTA INDUSTRIAL'!I6</f>
        <v>42520.22</v>
      </c>
      <c r="L2" s="3">
        <f>'CUOTA INDUSTRIAL'!J6</f>
        <v>13222.2033132</v>
      </c>
      <c r="M2" s="66">
        <f>'CUOTA INDUSTRIAL'!K6</f>
        <v>0.76279819700502804</v>
      </c>
      <c r="N2" s="4" t="s">
        <v>82</v>
      </c>
      <c r="O2" s="5">
        <f>RESUMEN!$B$3</f>
        <v>44895</v>
      </c>
      <c r="P2" s="1">
        <f t="shared" ref="P2:P65" si="0">YEAR(O2)</f>
        <v>2022</v>
      </c>
      <c r="Q2" s="1"/>
    </row>
    <row r="3" spans="1:17">
      <c r="A3" s="2" t="s">
        <v>56</v>
      </c>
      <c r="B3" s="1" t="s">
        <v>57</v>
      </c>
      <c r="C3" s="1" t="s">
        <v>30</v>
      </c>
      <c r="D3" s="1" t="s">
        <v>58</v>
      </c>
      <c r="E3" s="1" t="str">
        <f>+'CUOTA INDUSTRIAL'!C$6</f>
        <v>CORPESCA S.A</v>
      </c>
      <c r="F3" s="1" t="s">
        <v>61</v>
      </c>
      <c r="G3" s="1" t="s">
        <v>62</v>
      </c>
      <c r="H3" s="3">
        <f>'CUOTA INDUSTRIAL'!$F$7</f>
        <v>1137.7436278</v>
      </c>
      <c r="I3" s="3">
        <f>'CUOTA INDUSTRIAL'!G7</f>
        <v>0</v>
      </c>
      <c r="J3" s="3">
        <f>'CUOTA INDUSTRIAL'!H7</f>
        <v>14359.946941</v>
      </c>
      <c r="K3" s="3">
        <f>'CUOTA INDUSTRIAL'!I7</f>
        <v>10683.737999999999</v>
      </c>
      <c r="L3" s="3">
        <f>'CUOTA INDUSTRIAL'!J7</f>
        <v>3676.2089410000008</v>
      </c>
      <c r="M3" s="66">
        <f>'CUOTA INDUSTRIAL'!K7</f>
        <v>0.74399564593767253</v>
      </c>
      <c r="N3" s="4" t="s">
        <v>82</v>
      </c>
      <c r="O3" s="5">
        <f>RESUMEN!$B$3</f>
        <v>44895</v>
      </c>
      <c r="P3" s="1">
        <f t="shared" si="0"/>
        <v>2022</v>
      </c>
      <c r="Q3" s="1"/>
    </row>
    <row r="4" spans="1:17">
      <c r="A4" s="2" t="s">
        <v>56</v>
      </c>
      <c r="B4" s="1" t="s">
        <v>57</v>
      </c>
      <c r="C4" s="1" t="s">
        <v>30</v>
      </c>
      <c r="D4" s="1" t="s">
        <v>58</v>
      </c>
      <c r="E4" s="1" t="str">
        <f>+'CUOTA INDUSTRIAL'!C$6</f>
        <v>CORPESCA S.A</v>
      </c>
      <c r="F4" s="1" t="s">
        <v>59</v>
      </c>
      <c r="G4" s="1" t="s">
        <v>62</v>
      </c>
      <c r="H4" s="3">
        <f>'CUOTA INDUSTRIAL'!L6</f>
        <v>56880.166941000003</v>
      </c>
      <c r="I4" s="3">
        <f>'CUOTA INDUSTRIAL'!M6</f>
        <v>0</v>
      </c>
      <c r="J4" s="3">
        <f>'CUOTA INDUSTRIAL'!N6</f>
        <v>56880.166941000003</v>
      </c>
      <c r="K4" s="3">
        <f>'CUOTA INDUSTRIAL'!O6</f>
        <v>53203.957999999999</v>
      </c>
      <c r="L4" s="3">
        <f>'CUOTA INDUSTRIAL'!P6</f>
        <v>3676.2089410000044</v>
      </c>
      <c r="M4" s="66">
        <f>'CUOTA INDUSTRIAL'!Q6</f>
        <v>0.93536923081092183</v>
      </c>
      <c r="N4" s="4" t="s">
        <v>82</v>
      </c>
      <c r="O4" s="5">
        <f>RESUMEN!$B$3</f>
        <v>44895</v>
      </c>
      <c r="P4" s="1">
        <f t="shared" si="0"/>
        <v>2022</v>
      </c>
      <c r="Q4" s="1"/>
    </row>
    <row r="5" spans="1:17">
      <c r="A5" s="2" t="s">
        <v>56</v>
      </c>
      <c r="B5" s="1" t="s">
        <v>57</v>
      </c>
      <c r="C5" s="1" t="s">
        <v>30</v>
      </c>
      <c r="D5" s="1" t="s">
        <v>58</v>
      </c>
      <c r="E5" s="1" t="str">
        <f>+'CUOTA INDUSTRIAL'!C$8</f>
        <v>CAMANCHACA PESCA SUR S.A.</v>
      </c>
      <c r="F5" s="1" t="s">
        <v>59</v>
      </c>
      <c r="G5" s="1" t="s">
        <v>60</v>
      </c>
      <c r="H5" s="3">
        <f>'CUOTA INDUSTRIAL'!F8</f>
        <v>3695.2620000000002</v>
      </c>
      <c r="I5" s="3">
        <f>'CUOTA INDUSTRIAL'!G8</f>
        <v>-3770.6849999999999</v>
      </c>
      <c r="J5" s="3">
        <f>'CUOTA INDUSTRIAL'!H8</f>
        <v>-75.422999999999774</v>
      </c>
      <c r="K5" s="3">
        <f>'CUOTA INDUSTRIAL'!I8</f>
        <v>0</v>
      </c>
      <c r="L5" s="3">
        <f>'CUOTA INDUSTRIAL'!J8</f>
        <v>-75.422999999999774</v>
      </c>
      <c r="M5" s="66">
        <f>'CUOTA INDUSTRIAL'!K8</f>
        <v>0</v>
      </c>
      <c r="N5" s="4" t="s">
        <v>82</v>
      </c>
      <c r="O5" s="5">
        <f>RESUMEN!$B$3</f>
        <v>44895</v>
      </c>
      <c r="P5" s="1">
        <f t="shared" si="0"/>
        <v>2022</v>
      </c>
      <c r="Q5" s="1"/>
    </row>
    <row r="6" spans="1:17">
      <c r="A6" s="2" t="s">
        <v>56</v>
      </c>
      <c r="B6" s="1" t="s">
        <v>57</v>
      </c>
      <c r="C6" s="1" t="s">
        <v>30</v>
      </c>
      <c r="D6" s="1" t="s">
        <v>58</v>
      </c>
      <c r="E6" s="1" t="str">
        <f>+'CUOTA INDUSTRIAL'!C$8</f>
        <v>CAMANCHACA PESCA SUR S.A.</v>
      </c>
      <c r="F6" s="1" t="s">
        <v>61</v>
      </c>
      <c r="G6" s="1" t="s">
        <v>62</v>
      </c>
      <c r="H6" s="3">
        <f>'CUOTA INDUSTRIAL'!F9</f>
        <v>75.423000000000002</v>
      </c>
      <c r="I6" s="3">
        <f>'CUOTA INDUSTRIAL'!G9</f>
        <v>0</v>
      </c>
      <c r="J6" s="3">
        <f>'CUOTA INDUSTRIAL'!H9</f>
        <v>2.2737367544323206E-13</v>
      </c>
      <c r="K6" s="3">
        <f>'CUOTA INDUSTRIAL'!I9</f>
        <v>0</v>
      </c>
      <c r="L6" s="3">
        <f>'CUOTA INDUSTRIAL'!J9</f>
        <v>2.2737367544323206E-13</v>
      </c>
      <c r="M6" s="66">
        <f>'CUOTA INDUSTRIAL'!K9</f>
        <v>0</v>
      </c>
      <c r="N6" s="4" t="s">
        <v>82</v>
      </c>
      <c r="O6" s="5">
        <f>RESUMEN!$B$3</f>
        <v>44895</v>
      </c>
      <c r="P6" s="1">
        <f t="shared" si="0"/>
        <v>2022</v>
      </c>
      <c r="Q6" s="1"/>
    </row>
    <row r="7" spans="1:17">
      <c r="A7" s="2" t="s">
        <v>56</v>
      </c>
      <c r="B7" s="1" t="s">
        <v>57</v>
      </c>
      <c r="C7" s="1" t="s">
        <v>30</v>
      </c>
      <c r="D7" s="1" t="s">
        <v>58</v>
      </c>
      <c r="E7" s="1" t="str">
        <f>+'CUOTA INDUSTRIAL'!C$8</f>
        <v>CAMANCHACA PESCA SUR S.A.</v>
      </c>
      <c r="F7" s="1" t="s">
        <v>59</v>
      </c>
      <c r="G7" s="1" t="s">
        <v>62</v>
      </c>
      <c r="H7" s="3">
        <f>'CUOTA INDUSTRIAL'!L8</f>
        <v>3770.6850000000004</v>
      </c>
      <c r="I7" s="3">
        <f>'CUOTA INDUSTRIAL'!M8</f>
        <v>-3770.6849999999999</v>
      </c>
      <c r="J7" s="3">
        <f>'CUOTA INDUSTRIAL'!N8</f>
        <v>0</v>
      </c>
      <c r="K7" s="3">
        <f>'CUOTA INDUSTRIAL'!O8</f>
        <v>0</v>
      </c>
      <c r="L7" s="3">
        <f>'CUOTA INDUSTRIAL'!P8</f>
        <v>0</v>
      </c>
      <c r="M7" s="66">
        <f>'CUOTA INDUSTRIAL'!Q8</f>
        <v>0</v>
      </c>
      <c r="N7" s="4" t="s">
        <v>82</v>
      </c>
      <c r="O7" s="5">
        <f>RESUMEN!$B$3</f>
        <v>44895</v>
      </c>
      <c r="P7" s="1">
        <f t="shared" si="0"/>
        <v>2022</v>
      </c>
      <c r="Q7" s="1"/>
    </row>
    <row r="8" spans="1:17">
      <c r="A8" s="2" t="s">
        <v>56</v>
      </c>
      <c r="B8" s="1" t="s">
        <v>57</v>
      </c>
      <c r="C8" s="1" t="s">
        <v>30</v>
      </c>
      <c r="D8" s="1" t="s">
        <v>58</v>
      </c>
      <c r="E8" s="1" t="str">
        <f>'CUOTA INDUSTRIAL'!C10</f>
        <v>CAMANCHACA S.A.</v>
      </c>
      <c r="F8" s="1" t="s">
        <v>59</v>
      </c>
      <c r="G8" s="1" t="s">
        <v>60</v>
      </c>
      <c r="H8" s="3">
        <f>'CUOTA INDUSTRIAL'!F10</f>
        <v>11805.3766868</v>
      </c>
      <c r="I8" s="3">
        <f>'CUOTA INDUSTRIAL'!G10</f>
        <v>-3627.9670000000001</v>
      </c>
      <c r="J8" s="3">
        <f>'CUOTA INDUSTRIAL'!H10</f>
        <v>8177.4096867999997</v>
      </c>
      <c r="K8" s="3">
        <f>'CUOTA INDUSTRIAL'!I10</f>
        <v>5176.5230000000001</v>
      </c>
      <c r="L8" s="3">
        <f>'CUOTA INDUSTRIAL'!J10</f>
        <v>3000.8866867999996</v>
      </c>
      <c r="M8" s="66">
        <f>'CUOTA INDUSTRIAL'!K10</f>
        <v>0.63302722968080705</v>
      </c>
      <c r="N8" s="4" t="s">
        <v>82</v>
      </c>
      <c r="O8" s="5">
        <f>RESUMEN!$B$3</f>
        <v>44895</v>
      </c>
      <c r="P8" s="1">
        <f t="shared" si="0"/>
        <v>2022</v>
      </c>
      <c r="Q8" s="1"/>
    </row>
    <row r="9" spans="1:17">
      <c r="A9" s="2" t="s">
        <v>56</v>
      </c>
      <c r="B9" s="1" t="s">
        <v>57</v>
      </c>
      <c r="C9" s="1" t="s">
        <v>30</v>
      </c>
      <c r="D9" s="1" t="s">
        <v>58</v>
      </c>
      <c r="E9" s="1" t="str">
        <f>'CUOTA INDUSTRIAL'!C10</f>
        <v>CAMANCHACA S.A.</v>
      </c>
      <c r="F9" s="1" t="s">
        <v>61</v>
      </c>
      <c r="G9" s="1" t="s">
        <v>62</v>
      </c>
      <c r="H9" s="3">
        <f>'CUOTA INDUSTRIAL'!F11</f>
        <v>240.9563722</v>
      </c>
      <c r="I9" s="3">
        <f>'CUOTA INDUSTRIAL'!G11</f>
        <v>0</v>
      </c>
      <c r="J9" s="3">
        <f>'CUOTA INDUSTRIAL'!H11</f>
        <v>3241.8430589999994</v>
      </c>
      <c r="K9" s="3">
        <f>'CUOTA INDUSTRIAL'!I11</f>
        <v>1620.807</v>
      </c>
      <c r="L9" s="3">
        <f>'CUOTA INDUSTRIAL'!J11</f>
        <v>1621.0360589999993</v>
      </c>
      <c r="M9" s="66">
        <f>'CUOTA INDUSTRIAL'!K11</f>
        <v>0.49996467148535101</v>
      </c>
      <c r="N9" s="4" t="s">
        <v>82</v>
      </c>
      <c r="O9" s="5">
        <f>RESUMEN!$B$3</f>
        <v>44895</v>
      </c>
      <c r="P9" s="1">
        <f t="shared" si="0"/>
        <v>2022</v>
      </c>
      <c r="Q9" s="1"/>
    </row>
    <row r="10" spans="1:17">
      <c r="A10" s="2" t="s">
        <v>56</v>
      </c>
      <c r="B10" s="1" t="s">
        <v>57</v>
      </c>
      <c r="C10" s="1" t="s">
        <v>30</v>
      </c>
      <c r="D10" s="1" t="s">
        <v>58</v>
      </c>
      <c r="E10" s="1" t="str">
        <f>'CUOTA INDUSTRIAL'!C10</f>
        <v>CAMANCHACA S.A.</v>
      </c>
      <c r="F10" s="1" t="s">
        <v>59</v>
      </c>
      <c r="G10" s="1" t="s">
        <v>62</v>
      </c>
      <c r="H10" s="3">
        <f>'CUOTA INDUSTRIAL'!L10</f>
        <v>12046.333059000001</v>
      </c>
      <c r="I10" s="3">
        <f>'CUOTA INDUSTRIAL'!M10</f>
        <v>-3627.9670000000001</v>
      </c>
      <c r="J10" s="3">
        <f>'CUOTA INDUSTRIAL'!N10</f>
        <v>8418.366059</v>
      </c>
      <c r="K10" s="3">
        <f>'CUOTA INDUSTRIAL'!O10</f>
        <v>6797.33</v>
      </c>
      <c r="L10" s="3">
        <f>'CUOTA INDUSTRIAL'!P10</f>
        <v>1621.036059</v>
      </c>
      <c r="M10" s="66">
        <f>'CUOTA INDUSTRIAL'!Q10</f>
        <v>0.80744053565276308</v>
      </c>
      <c r="N10" s="4" t="s">
        <v>82</v>
      </c>
      <c r="O10" s="5">
        <f>RESUMEN!$B$3</f>
        <v>44895</v>
      </c>
      <c r="P10" s="1">
        <f t="shared" si="0"/>
        <v>2022</v>
      </c>
      <c r="Q10" s="1"/>
    </row>
    <row r="11" spans="1:17">
      <c r="A11" s="2" t="s">
        <v>56</v>
      </c>
      <c r="B11" s="1" t="s">
        <v>57</v>
      </c>
      <c r="C11" s="1" t="s">
        <v>30</v>
      </c>
      <c r="D11" s="1" t="s">
        <v>58</v>
      </c>
      <c r="E11" s="1" t="str">
        <f>'CUOTA INDUSTRIAL'!C12</f>
        <v>ORIZON S.A</v>
      </c>
      <c r="F11" s="1" t="s">
        <v>59</v>
      </c>
      <c r="G11" s="1" t="s">
        <v>60</v>
      </c>
      <c r="H11" s="3">
        <f>'CUOTA INDUSTRIAL'!F12</f>
        <v>3278.0549999999994</v>
      </c>
      <c r="I11" s="3">
        <f>'CUOTA INDUSTRIAL'!G12</f>
        <v>-3344.9630000000006</v>
      </c>
      <c r="J11" s="3">
        <f>'CUOTA INDUSTRIAL'!H12</f>
        <v>-66.908000000001266</v>
      </c>
      <c r="K11" s="3">
        <f>'CUOTA INDUSTRIAL'!I12</f>
        <v>0</v>
      </c>
      <c r="L11" s="3">
        <f>'CUOTA INDUSTRIAL'!J12</f>
        <v>-66.908000000001266</v>
      </c>
      <c r="M11" s="66">
        <f>'CUOTA INDUSTRIAL'!K12</f>
        <v>0</v>
      </c>
      <c r="N11" s="4" t="s">
        <v>82</v>
      </c>
      <c r="O11" s="5">
        <f>RESUMEN!$B$3</f>
        <v>44895</v>
      </c>
      <c r="P11" s="1">
        <f t="shared" si="0"/>
        <v>2022</v>
      </c>
      <c r="Q11" s="1"/>
    </row>
    <row r="12" spans="1:17">
      <c r="A12" s="2" t="s">
        <v>56</v>
      </c>
      <c r="B12" s="1" t="s">
        <v>57</v>
      </c>
      <c r="C12" s="1" t="s">
        <v>30</v>
      </c>
      <c r="D12" s="1" t="s">
        <v>58</v>
      </c>
      <c r="E12" s="1" t="str">
        <f>'CUOTA INDUSTRIAL'!C12:C13</f>
        <v>ORIZON S.A</v>
      </c>
      <c r="F12" s="1" t="s">
        <v>61</v>
      </c>
      <c r="G12" s="1" t="s">
        <v>62</v>
      </c>
      <c r="H12" s="3">
        <f>'CUOTA INDUSTRIAL'!F13</f>
        <v>66.907499999999999</v>
      </c>
      <c r="I12" s="3">
        <f>'CUOTA INDUSTRIAL'!G13</f>
        <v>0</v>
      </c>
      <c r="J12" s="3">
        <f>'CUOTA INDUSTRIAL'!H13</f>
        <v>-5.0000000126715349E-4</v>
      </c>
      <c r="K12" s="3">
        <f>'CUOTA INDUSTRIAL'!I13</f>
        <v>0</v>
      </c>
      <c r="L12" s="3">
        <f>'CUOTA INDUSTRIAL'!J13</f>
        <v>-5.0000000126715349E-4</v>
      </c>
      <c r="M12" s="66">
        <f>'CUOTA INDUSTRIAL'!K13</f>
        <v>0</v>
      </c>
      <c r="N12" s="4" t="s">
        <v>82</v>
      </c>
      <c r="O12" s="5">
        <f>RESUMEN!$B$3</f>
        <v>44895</v>
      </c>
      <c r="P12" s="1">
        <f t="shared" si="0"/>
        <v>2022</v>
      </c>
      <c r="Q12" s="1"/>
    </row>
    <row r="13" spans="1:17">
      <c r="A13" s="2" t="s">
        <v>56</v>
      </c>
      <c r="B13" s="1" t="s">
        <v>57</v>
      </c>
      <c r="C13" s="1" t="s">
        <v>30</v>
      </c>
      <c r="D13" s="1" t="s">
        <v>58</v>
      </c>
      <c r="E13" s="1" t="str">
        <f>'CUOTA INDUSTRIAL'!C12</f>
        <v>ORIZON S.A</v>
      </c>
      <c r="F13" s="1" t="s">
        <v>59</v>
      </c>
      <c r="G13" s="1" t="s">
        <v>62</v>
      </c>
      <c r="H13" s="3">
        <f>'CUOTA INDUSTRIAL'!L12</f>
        <v>3344.9624999999992</v>
      </c>
      <c r="I13" s="3">
        <f>'CUOTA INDUSTRIAL'!M12</f>
        <v>-3344.9630000000006</v>
      </c>
      <c r="J13" s="3">
        <f>'CUOTA INDUSTRIAL'!N12</f>
        <v>-5.0000000146610546E-4</v>
      </c>
      <c r="K13" s="3">
        <f>'CUOTA INDUSTRIAL'!O12</f>
        <v>0</v>
      </c>
      <c r="L13" s="3">
        <f>'CUOTA INDUSTRIAL'!P12</f>
        <v>-5.0000000146610546E-4</v>
      </c>
      <c r="M13" s="66">
        <f>'CUOTA INDUSTRIAL'!Q12</f>
        <v>0</v>
      </c>
      <c r="N13" s="4" t="s">
        <v>82</v>
      </c>
      <c r="O13" s="5">
        <f>RESUMEN!$B$3</f>
        <v>44895</v>
      </c>
      <c r="P13" s="1">
        <f t="shared" si="0"/>
        <v>2022</v>
      </c>
      <c r="Q13" s="1"/>
    </row>
    <row r="14" spans="1:17">
      <c r="A14" s="2" t="s">
        <v>56</v>
      </c>
      <c r="B14" s="1" t="s">
        <v>57</v>
      </c>
      <c r="C14" s="1" t="s">
        <v>30</v>
      </c>
      <c r="D14" s="1" t="s">
        <v>58</v>
      </c>
      <c r="E14" s="1" t="str">
        <f>'CUOTA INDUSTRIAL'!C14:C15</f>
        <v>LANDES S.A. SOC. PESQ.</v>
      </c>
      <c r="F14" s="1" t="s">
        <v>59</v>
      </c>
      <c r="G14" s="1" t="s">
        <v>60</v>
      </c>
      <c r="H14" s="3">
        <f>'CUOTA INDUSTRIAL'!F14</f>
        <v>774.81299999999999</v>
      </c>
      <c r="I14" s="3">
        <f>'CUOTA INDUSTRIAL'!G14</f>
        <v>-790.62800000000004</v>
      </c>
      <c r="J14" s="3">
        <f>'CUOTA INDUSTRIAL'!H14</f>
        <v>-15.815000000000055</v>
      </c>
      <c r="K14" s="3">
        <f>'CUOTA INDUSTRIAL'!I14</f>
        <v>0</v>
      </c>
      <c r="L14" s="3">
        <f>'CUOTA INDUSTRIAL'!J14</f>
        <v>-15.815000000000055</v>
      </c>
      <c r="M14" s="66">
        <f>'CUOTA INDUSTRIAL'!K14</f>
        <v>0</v>
      </c>
      <c r="N14" s="4" t="s">
        <v>82</v>
      </c>
      <c r="O14" s="5">
        <f>RESUMEN!$B$3</f>
        <v>44895</v>
      </c>
      <c r="P14" s="1">
        <f t="shared" si="0"/>
        <v>2022</v>
      </c>
      <c r="Q14" s="1"/>
    </row>
    <row r="15" spans="1:17">
      <c r="A15" s="2" t="s">
        <v>56</v>
      </c>
      <c r="B15" s="1" t="s">
        <v>57</v>
      </c>
      <c r="C15" s="1" t="s">
        <v>30</v>
      </c>
      <c r="D15" s="1" t="s">
        <v>58</v>
      </c>
      <c r="E15" s="1" t="str">
        <f>'CUOTA INDUSTRIAL'!C14</f>
        <v>LANDES S.A. SOC. PESQ.</v>
      </c>
      <c r="F15" s="1" t="s">
        <v>61</v>
      </c>
      <c r="G15" s="1" t="s">
        <v>62</v>
      </c>
      <c r="H15" s="3">
        <f>'CUOTA INDUSTRIAL'!F15</f>
        <v>15.814500000000001</v>
      </c>
      <c r="I15" s="3">
        <f>'CUOTA INDUSTRIAL'!G15</f>
        <v>0</v>
      </c>
      <c r="J15" s="3">
        <f>'CUOTA INDUSTRIAL'!H15</f>
        <v>-5.0000000005390177E-4</v>
      </c>
      <c r="K15" s="3">
        <f>'CUOTA INDUSTRIAL'!I15</f>
        <v>0</v>
      </c>
      <c r="L15" s="3">
        <f>'CUOTA INDUSTRIAL'!J15</f>
        <v>-5.0000000005390177E-4</v>
      </c>
      <c r="M15" s="66">
        <f>'CUOTA INDUSTRIAL'!K15</f>
        <v>0</v>
      </c>
      <c r="N15" s="4" t="s">
        <v>82</v>
      </c>
      <c r="O15" s="5">
        <f>RESUMEN!$B$3</f>
        <v>44895</v>
      </c>
      <c r="P15" s="1">
        <f t="shared" si="0"/>
        <v>2022</v>
      </c>
      <c r="Q15" s="1"/>
    </row>
    <row r="16" spans="1:17">
      <c r="A16" s="2" t="s">
        <v>56</v>
      </c>
      <c r="B16" s="1" t="s">
        <v>57</v>
      </c>
      <c r="C16" s="1" t="s">
        <v>30</v>
      </c>
      <c r="D16" s="1" t="s">
        <v>58</v>
      </c>
      <c r="E16" s="1" t="str">
        <f>'CUOTA INDUSTRIAL'!C14</f>
        <v>LANDES S.A. SOC. PESQ.</v>
      </c>
      <c r="F16" s="1" t="s">
        <v>59</v>
      </c>
      <c r="G16" s="1" t="s">
        <v>62</v>
      </c>
      <c r="H16" s="3">
        <f>'CUOTA INDUSTRIAL'!L14</f>
        <v>790.62749999999994</v>
      </c>
      <c r="I16" s="3">
        <f>'CUOTA INDUSTRIAL'!M14</f>
        <v>-790.62800000000004</v>
      </c>
      <c r="J16" s="3">
        <f>'CUOTA INDUSTRIAL'!N14</f>
        <v>-5.0000000010186341E-4</v>
      </c>
      <c r="K16" s="3">
        <f>'CUOTA INDUSTRIAL'!O14</f>
        <v>0</v>
      </c>
      <c r="L16" s="3">
        <f>'CUOTA INDUSTRIAL'!P14</f>
        <v>-5.0000000010186341E-4</v>
      </c>
      <c r="M16" s="66">
        <f>'CUOTA INDUSTRIAL'!Q14</f>
        <v>0</v>
      </c>
      <c r="N16" s="4" t="s">
        <v>82</v>
      </c>
      <c r="O16" s="5">
        <f>RESUMEN!$B$3</f>
        <v>44895</v>
      </c>
      <c r="P16" s="1">
        <f t="shared" si="0"/>
        <v>2022</v>
      </c>
      <c r="Q16" s="1"/>
    </row>
    <row r="17" spans="1:17">
      <c r="A17" s="2" t="s">
        <v>56</v>
      </c>
      <c r="B17" s="1" t="s">
        <v>57</v>
      </c>
      <c r="C17" s="1" t="s">
        <v>30</v>
      </c>
      <c r="D17" s="1" t="s">
        <v>58</v>
      </c>
      <c r="E17" s="1" t="str">
        <f>'CUOTA INDUSTRIAL'!C16</f>
        <v>FOODCORP CHILE S.A.</v>
      </c>
      <c r="F17" s="1" t="s">
        <v>59</v>
      </c>
      <c r="G17" s="1" t="s">
        <v>60</v>
      </c>
      <c r="H17" s="3">
        <f>'CUOTA INDUSTRIAL'!F16</f>
        <v>2239.4082400000002</v>
      </c>
      <c r="I17" s="3">
        <f>'CUOTA INDUSTRIAL'!G16</f>
        <v>-2285.116</v>
      </c>
      <c r="J17" s="3">
        <f>'CUOTA INDUSTRIAL'!H16</f>
        <v>-45.70775999999978</v>
      </c>
      <c r="K17" s="3">
        <f>'CUOTA INDUSTRIAL'!I16</f>
        <v>0</v>
      </c>
      <c r="L17" s="3">
        <f>'CUOTA INDUSTRIAL'!J16</f>
        <v>-45.70775999999978</v>
      </c>
      <c r="M17" s="66">
        <f>'CUOTA INDUSTRIAL'!K16</f>
        <v>0</v>
      </c>
      <c r="N17" s="4" t="s">
        <v>82</v>
      </c>
      <c r="O17" s="5">
        <f>RESUMEN!$B$3</f>
        <v>44895</v>
      </c>
      <c r="P17" s="1">
        <f t="shared" si="0"/>
        <v>2022</v>
      </c>
      <c r="Q17" s="1"/>
    </row>
    <row r="18" spans="1:17">
      <c r="A18" s="2" t="s">
        <v>56</v>
      </c>
      <c r="B18" s="1" t="s">
        <v>57</v>
      </c>
      <c r="C18" s="1" t="s">
        <v>30</v>
      </c>
      <c r="D18" s="1" t="s">
        <v>58</v>
      </c>
      <c r="E18" s="1" t="str">
        <f>'CUOTA INDUSTRIAL'!C16</f>
        <v>FOODCORP CHILE S.A.</v>
      </c>
      <c r="F18" s="1" t="s">
        <v>61</v>
      </c>
      <c r="G18" s="1" t="s">
        <v>62</v>
      </c>
      <c r="H18" s="3">
        <f>'CUOTA INDUSTRIAL'!F17</f>
        <v>45.70796</v>
      </c>
      <c r="I18" s="3">
        <f>'CUOTA INDUSTRIAL'!G17</f>
        <v>0</v>
      </c>
      <c r="J18" s="3">
        <f>'CUOTA INDUSTRIAL'!H17</f>
        <v>2.0000000021980213E-4</v>
      </c>
      <c r="K18" s="3">
        <f>'CUOTA INDUSTRIAL'!I17</f>
        <v>0</v>
      </c>
      <c r="L18" s="3">
        <f>'CUOTA INDUSTRIAL'!J17</f>
        <v>2.0000000021980213E-4</v>
      </c>
      <c r="M18" s="66">
        <f>'CUOTA INDUSTRIAL'!K17</f>
        <v>0</v>
      </c>
      <c r="N18" s="4" t="s">
        <v>82</v>
      </c>
      <c r="O18" s="5">
        <f>RESUMEN!$B$3</f>
        <v>44895</v>
      </c>
      <c r="P18" s="1">
        <f t="shared" si="0"/>
        <v>2022</v>
      </c>
      <c r="Q18" s="1"/>
    </row>
    <row r="19" spans="1:17" ht="14.25" customHeight="1">
      <c r="A19" s="2" t="s">
        <v>56</v>
      </c>
      <c r="B19" s="1" t="s">
        <v>57</v>
      </c>
      <c r="C19" s="1" t="s">
        <v>30</v>
      </c>
      <c r="D19" s="1" t="s">
        <v>58</v>
      </c>
      <c r="E19" s="1" t="str">
        <f>'CUOTA INDUSTRIAL'!C16</f>
        <v>FOODCORP CHILE S.A.</v>
      </c>
      <c r="F19" s="1" t="s">
        <v>59</v>
      </c>
      <c r="G19" s="1" t="s">
        <v>62</v>
      </c>
      <c r="H19" s="3">
        <f>'CUOTA INDUSTRIAL'!L16</f>
        <v>2285.1162000000004</v>
      </c>
      <c r="I19" s="3">
        <f>'CUOTA INDUSTRIAL'!M16</f>
        <v>-2285.116</v>
      </c>
      <c r="J19" s="3">
        <f>'CUOTA INDUSTRIAL'!N16</f>
        <v>2.0000000040454324E-4</v>
      </c>
      <c r="K19" s="3">
        <f>'CUOTA INDUSTRIAL'!O16</f>
        <v>0</v>
      </c>
      <c r="L19" s="3">
        <f>'CUOTA INDUSTRIAL'!P16</f>
        <v>2.0000000040454324E-4</v>
      </c>
      <c r="M19" s="66">
        <f>'CUOTA INDUSTRIAL'!Q16</f>
        <v>0</v>
      </c>
      <c r="N19" s="4" t="s">
        <v>82</v>
      </c>
      <c r="O19" s="5">
        <f>RESUMEN!$B$3</f>
        <v>44895</v>
      </c>
      <c r="P19" s="1">
        <f t="shared" si="0"/>
        <v>2022</v>
      </c>
      <c r="Q19" s="1"/>
    </row>
    <row r="20" spans="1:17" ht="14.25" customHeight="1">
      <c r="A20" s="2" t="s">
        <v>56</v>
      </c>
      <c r="B20" s="1" t="s">
        <v>57</v>
      </c>
      <c r="C20" s="1" t="s">
        <v>30</v>
      </c>
      <c r="D20" s="1" t="s">
        <v>58</v>
      </c>
      <c r="E20" s="1" t="str">
        <f>'CUOTA INDUSTRIAL'!C18</f>
        <v>COMERCIAL Y CONSERVERA SAN LAZARO LIMITADA</v>
      </c>
      <c r="F20" s="1" t="s">
        <v>59</v>
      </c>
      <c r="G20" s="1" t="s">
        <v>60</v>
      </c>
      <c r="H20" s="3">
        <f>'CUOTA INDUSTRIAL'!F18</f>
        <v>1907.232</v>
      </c>
      <c r="I20" s="3">
        <f>'CUOTA INDUSTRIAL'!G18</f>
        <v>-1946.1599999999999</v>
      </c>
      <c r="J20" s="3">
        <f>'CUOTA INDUSTRIAL'!H18</f>
        <v>-38.927999999999884</v>
      </c>
      <c r="K20" s="3">
        <f>'CUOTA INDUSTRIAL'!I18</f>
        <v>0</v>
      </c>
      <c r="L20" s="3">
        <f>'CUOTA INDUSTRIAL'!J18</f>
        <v>-38.927999999999884</v>
      </c>
      <c r="M20" s="66">
        <f>'CUOTA INDUSTRIAL'!K18</f>
        <v>0</v>
      </c>
      <c r="N20" s="4" t="s">
        <v>82</v>
      </c>
      <c r="O20" s="5">
        <f>RESUMEN!$B$3</f>
        <v>44895</v>
      </c>
      <c r="P20" s="1">
        <f t="shared" si="0"/>
        <v>2022</v>
      </c>
      <c r="Q20" s="1"/>
    </row>
    <row r="21" spans="1:17" ht="14.25" customHeight="1">
      <c r="A21" s="2" t="s">
        <v>56</v>
      </c>
      <c r="B21" s="1" t="s">
        <v>57</v>
      </c>
      <c r="C21" s="1" t="s">
        <v>30</v>
      </c>
      <c r="D21" s="1" t="s">
        <v>58</v>
      </c>
      <c r="E21" s="1" t="str">
        <f>'CUOTA INDUSTRIAL'!C18</f>
        <v>COMERCIAL Y CONSERVERA SAN LAZARO LIMITADA</v>
      </c>
      <c r="F21" s="1" t="s">
        <v>61</v>
      </c>
      <c r="G21" s="1" t="s">
        <v>62</v>
      </c>
      <c r="H21" s="3">
        <f>'CUOTA INDUSTRIAL'!F19</f>
        <v>38.927999999999997</v>
      </c>
      <c r="I21" s="3">
        <f>'CUOTA INDUSTRIAL'!G19</f>
        <v>0</v>
      </c>
      <c r="J21" s="3">
        <f>'CUOTA INDUSTRIAL'!H19</f>
        <v>1.1368683772161603E-13</v>
      </c>
      <c r="K21" s="3">
        <f>'CUOTA INDUSTRIAL'!I19</f>
        <v>0</v>
      </c>
      <c r="L21" s="3">
        <f>'CUOTA INDUSTRIAL'!J19</f>
        <v>1.1368683772161603E-13</v>
      </c>
      <c r="M21" s="66">
        <f>'CUOTA INDUSTRIAL'!K19</f>
        <v>0</v>
      </c>
      <c r="N21" s="4" t="s">
        <v>82</v>
      </c>
      <c r="O21" s="5">
        <f>RESUMEN!$B$3</f>
        <v>44895</v>
      </c>
      <c r="P21" s="1">
        <f t="shared" si="0"/>
        <v>2022</v>
      </c>
      <c r="Q21" s="1"/>
    </row>
    <row r="22" spans="1:17" ht="14.25" customHeight="1">
      <c r="A22" s="2" t="s">
        <v>56</v>
      </c>
      <c r="B22" s="1" t="s">
        <v>57</v>
      </c>
      <c r="C22" s="1" t="s">
        <v>30</v>
      </c>
      <c r="D22" s="1" t="s">
        <v>58</v>
      </c>
      <c r="E22" s="1" t="str">
        <f>'CUOTA INDUSTRIAL'!C18</f>
        <v>COMERCIAL Y CONSERVERA SAN LAZARO LIMITADA</v>
      </c>
      <c r="F22" s="1" t="s">
        <v>59</v>
      </c>
      <c r="G22" s="1" t="s">
        <v>62</v>
      </c>
      <c r="H22" s="3">
        <f>'CUOTA INDUSTRIAL'!L18</f>
        <v>1946.1599999999999</v>
      </c>
      <c r="I22" s="3">
        <f>'CUOTA INDUSTRIAL'!M18</f>
        <v>-1946.1599999999999</v>
      </c>
      <c r="J22" s="3">
        <f>'CUOTA INDUSTRIAL'!N18</f>
        <v>0</v>
      </c>
      <c r="K22" s="3">
        <f>'CUOTA INDUSTRIAL'!O18</f>
        <v>0</v>
      </c>
      <c r="L22" s="3">
        <f>'CUOTA INDUSTRIAL'!P18</f>
        <v>0</v>
      </c>
      <c r="M22" s="66">
        <f>'CUOTA INDUSTRIAL'!Q18</f>
        <v>0</v>
      </c>
      <c r="N22" s="4" t="s">
        <v>82</v>
      </c>
      <c r="O22" s="5">
        <f>RESUMEN!$B$3</f>
        <v>44895</v>
      </c>
      <c r="P22" s="1">
        <f t="shared" si="0"/>
        <v>2022</v>
      </c>
      <c r="Q22" s="1"/>
    </row>
    <row r="23" spans="1:17" ht="14.25" customHeight="1">
      <c r="A23" s="2" t="s">
        <v>56</v>
      </c>
      <c r="B23" s="1" t="s">
        <v>57</v>
      </c>
      <c r="C23" s="1" t="s">
        <v>30</v>
      </c>
      <c r="D23" s="1" t="s">
        <v>58</v>
      </c>
      <c r="E23" s="1" t="str">
        <f>'CUOTA INDUSTRIAL'!C20</f>
        <v>ENRIQUE GONZALEZ SALGADO</v>
      </c>
      <c r="F23" s="1" t="s">
        <v>59</v>
      </c>
      <c r="G23" s="1" t="s">
        <v>60</v>
      </c>
      <c r="H23" s="3">
        <f>'CUOTA INDUSTRIAL'!F20</f>
        <v>25.429760000000002</v>
      </c>
      <c r="I23" s="3">
        <f>'CUOTA INDUSTRIAL'!G20</f>
        <v>-25.948999999999998</v>
      </c>
      <c r="J23" s="3">
        <f>'CUOTA INDUSTRIAL'!H20</f>
        <v>-0.51923999999999637</v>
      </c>
      <c r="K23" s="3">
        <f>'CUOTA INDUSTRIAL'!I20</f>
        <v>0</v>
      </c>
      <c r="L23" s="3">
        <f>'CUOTA INDUSTRIAL'!J20</f>
        <v>-0.51923999999999637</v>
      </c>
      <c r="M23" s="66">
        <f>'CUOTA INDUSTRIAL'!K20</f>
        <v>0</v>
      </c>
      <c r="N23" s="4" t="s">
        <v>82</v>
      </c>
      <c r="O23" s="5">
        <f>RESUMEN!$B$3</f>
        <v>44895</v>
      </c>
      <c r="P23" s="1">
        <f t="shared" ref="P23:P25" si="1">YEAR(O23)</f>
        <v>2022</v>
      </c>
      <c r="Q23" s="1"/>
    </row>
    <row r="24" spans="1:17" ht="14.25" customHeight="1">
      <c r="A24" s="2" t="s">
        <v>56</v>
      </c>
      <c r="B24" s="1" t="s">
        <v>57</v>
      </c>
      <c r="C24" s="1" t="s">
        <v>30</v>
      </c>
      <c r="D24" s="1" t="s">
        <v>58</v>
      </c>
      <c r="E24" s="1" t="str">
        <f>'CUOTA INDUSTRIAL'!C20</f>
        <v>ENRIQUE GONZALEZ SALGADO</v>
      </c>
      <c r="F24" s="1" t="s">
        <v>61</v>
      </c>
      <c r="G24" s="1" t="s">
        <v>62</v>
      </c>
      <c r="H24" s="3">
        <f>'CUOTA INDUSTRIAL'!F21</f>
        <v>0.51904000000000006</v>
      </c>
      <c r="I24" s="3">
        <f>'CUOTA INDUSTRIAL'!G21</f>
        <v>0</v>
      </c>
      <c r="J24" s="3">
        <f>'CUOTA INDUSTRIAL'!H21</f>
        <v>-1.9999999999631424E-4</v>
      </c>
      <c r="K24" s="3">
        <f>'CUOTA INDUSTRIAL'!I21</f>
        <v>0</v>
      </c>
      <c r="L24" s="3">
        <f>'CUOTA INDUSTRIAL'!J21</f>
        <v>-1.9999999999631424E-4</v>
      </c>
      <c r="M24" s="66">
        <f>'CUOTA INDUSTRIAL'!K21</f>
        <v>0</v>
      </c>
      <c r="N24" s="4" t="s">
        <v>82</v>
      </c>
      <c r="O24" s="5">
        <f>RESUMEN!$B$3</f>
        <v>44895</v>
      </c>
      <c r="P24" s="1">
        <f t="shared" si="1"/>
        <v>2022</v>
      </c>
      <c r="Q24" s="1"/>
    </row>
    <row r="25" spans="1:17" ht="14.25" customHeight="1">
      <c r="A25" s="2" t="s">
        <v>56</v>
      </c>
      <c r="B25" s="1" t="s">
        <v>57</v>
      </c>
      <c r="C25" s="1" t="s">
        <v>30</v>
      </c>
      <c r="D25" s="1" t="s">
        <v>58</v>
      </c>
      <c r="E25" s="1" t="str">
        <f>'CUOTA INDUSTRIAL'!C20</f>
        <v>ENRIQUE GONZALEZ SALGADO</v>
      </c>
      <c r="F25" s="1" t="s">
        <v>59</v>
      </c>
      <c r="G25" s="1" t="s">
        <v>62</v>
      </c>
      <c r="H25" s="3">
        <f>'CUOTA INDUSTRIAL'!L20</f>
        <v>25.948800000000002</v>
      </c>
      <c r="I25" s="3">
        <f>'CUOTA INDUSTRIAL'!M20</f>
        <v>-25.948999999999998</v>
      </c>
      <c r="J25" s="3">
        <f>'CUOTA INDUSTRIAL'!N20</f>
        <v>-1.9999999999598117E-4</v>
      </c>
      <c r="K25" s="3">
        <f>'CUOTA INDUSTRIAL'!O20</f>
        <v>0</v>
      </c>
      <c r="L25" s="3">
        <f>'CUOTA INDUSTRIAL'!P20</f>
        <v>-1.9999999999598117E-4</v>
      </c>
      <c r="M25" s="66">
        <f>'CUOTA INDUSTRIAL'!Q20</f>
        <v>0</v>
      </c>
      <c r="N25" s="4" t="s">
        <v>82</v>
      </c>
      <c r="O25" s="5">
        <f>RESUMEN!$B$3</f>
        <v>44895</v>
      </c>
      <c r="P25" s="1">
        <f t="shared" si="1"/>
        <v>2022</v>
      </c>
      <c r="Q25" s="1"/>
    </row>
    <row r="26" spans="1:17">
      <c r="A26" s="2" t="s">
        <v>65</v>
      </c>
      <c r="B26" s="1" t="s">
        <v>57</v>
      </c>
      <c r="C26" s="1" t="s">
        <v>66</v>
      </c>
      <c r="D26" s="1" t="s">
        <v>58</v>
      </c>
      <c r="E26" s="1" t="str">
        <f>+'CUOTA INDUSTRIAL'!C$31</f>
        <v xml:space="preserve">ALIMENTOS MARINOS S.A.    </v>
      </c>
      <c r="F26" s="1" t="s">
        <v>59</v>
      </c>
      <c r="G26" s="1" t="s">
        <v>60</v>
      </c>
      <c r="H26" s="3">
        <f>'CUOTA INDUSTRIAL'!F31</f>
        <v>1406.2198393000001</v>
      </c>
      <c r="I26" s="3">
        <f>'CUOTA INDUSTRIAL'!G31</f>
        <v>-1433</v>
      </c>
      <c r="J26" s="3">
        <f>'CUOTA INDUSTRIAL'!H31</f>
        <v>-26.780160699999897</v>
      </c>
      <c r="K26" s="3">
        <f>'CUOTA INDUSTRIAL'!I31</f>
        <v>0</v>
      </c>
      <c r="L26" s="3">
        <f>'CUOTA INDUSTRIAL'!J31</f>
        <v>-26.780160699999897</v>
      </c>
      <c r="M26" s="66">
        <f>'CUOTA INDUSTRIAL'!K31</f>
        <v>0</v>
      </c>
      <c r="N26" s="4" t="s">
        <v>82</v>
      </c>
      <c r="O26" s="5">
        <f>RESUMEN!$B$3</f>
        <v>44895</v>
      </c>
      <c r="P26" s="1">
        <f t="shared" si="0"/>
        <v>2022</v>
      </c>
      <c r="Q26" s="1"/>
    </row>
    <row r="27" spans="1:17">
      <c r="A27" s="2" t="s">
        <v>65</v>
      </c>
      <c r="B27" s="1" t="s">
        <v>57</v>
      </c>
      <c r="C27" s="1" t="s">
        <v>66</v>
      </c>
      <c r="D27" s="1" t="s">
        <v>58</v>
      </c>
      <c r="E27" s="1" t="str">
        <f>+'CUOTA INDUSTRIAL'!C$31</f>
        <v xml:space="preserve">ALIMENTOS MARINOS S.A.    </v>
      </c>
      <c r="F27" s="1" t="s">
        <v>61</v>
      </c>
      <c r="G27" s="1" t="s">
        <v>62</v>
      </c>
      <c r="H27" s="3">
        <f>'CUOTA INDUSTRIAL'!F32</f>
        <v>28.676118599999999</v>
      </c>
      <c r="I27" s="3">
        <f>'CUOTA INDUSTRIAL'!G32</f>
        <v>0</v>
      </c>
      <c r="J27" s="3">
        <f>'CUOTA INDUSTRIAL'!H32</f>
        <v>1.8959579000001021</v>
      </c>
      <c r="K27" s="3">
        <f>'CUOTA INDUSTRIAL'!I32</f>
        <v>0</v>
      </c>
      <c r="L27" s="3">
        <f>'CUOTA INDUSTRIAL'!J32</f>
        <v>1.8959579000001021</v>
      </c>
      <c r="M27" s="66">
        <f>'CUOTA INDUSTRIAL'!K32</f>
        <v>0</v>
      </c>
      <c r="N27" s="4" t="s">
        <v>82</v>
      </c>
      <c r="O27" s="5">
        <f>RESUMEN!$B$3</f>
        <v>44895</v>
      </c>
      <c r="P27" s="1">
        <f t="shared" si="0"/>
        <v>2022</v>
      </c>
      <c r="Q27" s="1"/>
    </row>
    <row r="28" spans="1:17">
      <c r="A28" s="2" t="s">
        <v>65</v>
      </c>
      <c r="B28" s="1" t="s">
        <v>57</v>
      </c>
      <c r="C28" s="1" t="s">
        <v>66</v>
      </c>
      <c r="D28" s="1" t="s">
        <v>58</v>
      </c>
      <c r="E28" s="1" t="str">
        <f>+'CUOTA INDUSTRIAL'!C$31</f>
        <v xml:space="preserve">ALIMENTOS MARINOS S.A.    </v>
      </c>
      <c r="F28" s="1" t="s">
        <v>59</v>
      </c>
      <c r="G28" s="1" t="s">
        <v>62</v>
      </c>
      <c r="H28" s="3">
        <f>'CUOTA INDUSTRIAL'!L31</f>
        <v>1434.8959579000002</v>
      </c>
      <c r="I28" s="3">
        <f>'CUOTA INDUSTRIAL'!M31</f>
        <v>-1433</v>
      </c>
      <c r="J28" s="3">
        <f>'CUOTA INDUSTRIAL'!N31</f>
        <v>1.8959579000002122</v>
      </c>
      <c r="K28" s="3">
        <f>'CUOTA INDUSTRIAL'!O31</f>
        <v>0</v>
      </c>
      <c r="L28" s="3">
        <f>'CUOTA INDUSTRIAL'!P31</f>
        <v>1.8959579000002122</v>
      </c>
      <c r="M28" s="66">
        <f>+'CUOTA INDUSTRIAL'!Q31</f>
        <v>0</v>
      </c>
      <c r="N28" s="4" t="s">
        <v>82</v>
      </c>
      <c r="O28" s="5">
        <f>RESUMEN!$B$3</f>
        <v>44895</v>
      </c>
      <c r="P28" s="1">
        <f t="shared" si="0"/>
        <v>2022</v>
      </c>
      <c r="Q28" s="1"/>
    </row>
    <row r="29" spans="1:17">
      <c r="A29" s="2" t="s">
        <v>65</v>
      </c>
      <c r="B29" s="1" t="s">
        <v>57</v>
      </c>
      <c r="C29" s="1" t="s">
        <v>66</v>
      </c>
      <c r="D29" s="1" t="s">
        <v>58</v>
      </c>
      <c r="E29" s="1" t="str">
        <f>+'CUOTA INDUSTRIAL'!C$33</f>
        <v>ARICA SEAFOOD PRODUCER S.A.</v>
      </c>
      <c r="F29" s="1" t="s">
        <v>59</v>
      </c>
      <c r="G29" s="1" t="s">
        <v>60</v>
      </c>
      <c r="H29" s="3">
        <f>+'CUOTA INDUSTRIAL'!F33</f>
        <v>4.3369805999999995</v>
      </c>
      <c r="I29" s="3">
        <f>+'CUOTA INDUSTRIAL'!G33</f>
        <v>0</v>
      </c>
      <c r="J29" s="3">
        <f>+'CUOTA INDUSTRIAL'!H33</f>
        <v>4.3369805999999995</v>
      </c>
      <c r="K29" s="3">
        <f>+'CUOTA INDUSTRIAL'!I33</f>
        <v>0</v>
      </c>
      <c r="L29" s="3">
        <f>+'CUOTA INDUSTRIAL'!J33</f>
        <v>4.3369805999999995</v>
      </c>
      <c r="M29" s="66">
        <f>+'CUOTA INDUSTRIAL'!K33</f>
        <v>0</v>
      </c>
      <c r="N29" s="4" t="s">
        <v>82</v>
      </c>
      <c r="O29" s="5">
        <f>RESUMEN!$B$3</f>
        <v>44895</v>
      </c>
      <c r="P29" s="1">
        <f t="shared" si="0"/>
        <v>2022</v>
      </c>
      <c r="Q29" s="1"/>
    </row>
    <row r="30" spans="1:17">
      <c r="A30" s="2" t="s">
        <v>65</v>
      </c>
      <c r="B30" s="1" t="s">
        <v>57</v>
      </c>
      <c r="C30" s="1" t="s">
        <v>66</v>
      </c>
      <c r="D30" s="1" t="s">
        <v>58</v>
      </c>
      <c r="E30" s="1" t="str">
        <f>+'CUOTA INDUSTRIAL'!C$33</f>
        <v>ARICA SEAFOOD PRODUCER S.A.</v>
      </c>
      <c r="F30" s="1" t="s">
        <v>61</v>
      </c>
      <c r="G30" s="1" t="s">
        <v>62</v>
      </c>
      <c r="H30" s="3">
        <f>+'CUOTA INDUSTRIAL'!F34</f>
        <v>8.8441199999999998E-2</v>
      </c>
      <c r="I30" s="3">
        <f>+'CUOTA INDUSTRIAL'!G34</f>
        <v>0</v>
      </c>
      <c r="J30" s="3">
        <f>+'CUOTA INDUSTRIAL'!H34</f>
        <v>4.4254217999999996</v>
      </c>
      <c r="K30" s="3">
        <f>+'CUOTA INDUSTRIAL'!I34</f>
        <v>0</v>
      </c>
      <c r="L30" s="3">
        <f>+'CUOTA INDUSTRIAL'!J34</f>
        <v>4.4254217999999996</v>
      </c>
      <c r="M30" s="66">
        <f>+'CUOTA INDUSTRIAL'!K34</f>
        <v>0</v>
      </c>
      <c r="N30" s="4" t="s">
        <v>82</v>
      </c>
      <c r="O30" s="5">
        <f>RESUMEN!$B$3</f>
        <v>44895</v>
      </c>
      <c r="P30" s="1">
        <f t="shared" si="0"/>
        <v>2022</v>
      </c>
      <c r="Q30" s="1"/>
    </row>
    <row r="31" spans="1:17">
      <c r="A31" s="2" t="s">
        <v>65</v>
      </c>
      <c r="B31" s="1" t="s">
        <v>57</v>
      </c>
      <c r="C31" s="1" t="s">
        <v>66</v>
      </c>
      <c r="D31" s="1" t="s">
        <v>58</v>
      </c>
      <c r="E31" s="1" t="str">
        <f>+'CUOTA INDUSTRIAL'!C$33</f>
        <v>ARICA SEAFOOD PRODUCER S.A.</v>
      </c>
      <c r="F31" s="1" t="s">
        <v>59</v>
      </c>
      <c r="G31" s="1" t="s">
        <v>62</v>
      </c>
      <c r="H31" s="3">
        <f>'CUOTA INDUSTRIAL'!L33</f>
        <v>4.4254217999999996</v>
      </c>
      <c r="I31" s="3">
        <f>'CUOTA INDUSTRIAL'!M33</f>
        <v>0</v>
      </c>
      <c r="J31" s="3">
        <f>'CUOTA INDUSTRIAL'!N33</f>
        <v>4.4254217999999996</v>
      </c>
      <c r="K31" s="3">
        <f>'CUOTA INDUSTRIAL'!O33</f>
        <v>0</v>
      </c>
      <c r="L31" s="3">
        <f>'CUOTA INDUSTRIAL'!P33</f>
        <v>4.4254217999999996</v>
      </c>
      <c r="M31" s="66">
        <f>'CUOTA INDUSTRIAL'!Q33</f>
        <v>0</v>
      </c>
      <c r="N31" s="4" t="s">
        <v>82</v>
      </c>
      <c r="O31" s="5">
        <f>RESUMEN!$B$3</f>
        <v>44895</v>
      </c>
      <c r="P31" s="1">
        <f t="shared" si="0"/>
        <v>2022</v>
      </c>
      <c r="Q31" s="1"/>
    </row>
    <row r="32" spans="1:17">
      <c r="A32" s="2" t="s">
        <v>65</v>
      </c>
      <c r="B32" s="1" t="s">
        <v>57</v>
      </c>
      <c r="C32" s="1" t="s">
        <v>66</v>
      </c>
      <c r="D32" s="1" t="s">
        <v>58</v>
      </c>
      <c r="E32" s="1" t="str">
        <f>+'CUOTA INDUSTRIAL'!C$35</f>
        <v>BAHIA CALDERA S.A. PESQ</v>
      </c>
      <c r="F32" s="1" t="s">
        <v>59</v>
      </c>
      <c r="G32" s="1" t="s">
        <v>60</v>
      </c>
      <c r="H32" s="3">
        <f>+'CUOTA INDUSTRIAL'!F35</f>
        <v>63.1914509</v>
      </c>
      <c r="I32" s="3">
        <f>+'CUOTA INDUSTRIAL'!G35</f>
        <v>0</v>
      </c>
      <c r="J32" s="3">
        <f>+'CUOTA INDUSTRIAL'!H35</f>
        <v>63.1914509</v>
      </c>
      <c r="K32" s="3">
        <f>+'CUOTA INDUSTRIAL'!I35</f>
        <v>0</v>
      </c>
      <c r="L32" s="3">
        <f>+'CUOTA INDUSTRIAL'!J35</f>
        <v>63.1914509</v>
      </c>
      <c r="M32" s="66">
        <f>+'CUOTA INDUSTRIAL'!K35</f>
        <v>0</v>
      </c>
      <c r="N32" s="4" t="s">
        <v>82</v>
      </c>
      <c r="O32" s="5">
        <f>RESUMEN!$B$3</f>
        <v>44895</v>
      </c>
      <c r="P32" s="1">
        <f t="shared" si="0"/>
        <v>2022</v>
      </c>
      <c r="Q32" s="1"/>
    </row>
    <row r="33" spans="1:17">
      <c r="A33" s="2" t="s">
        <v>65</v>
      </c>
      <c r="B33" s="1" t="s">
        <v>57</v>
      </c>
      <c r="C33" s="1" t="s">
        <v>66</v>
      </c>
      <c r="D33" s="1" t="s">
        <v>58</v>
      </c>
      <c r="E33" s="1" t="str">
        <f>+'CUOTA INDUSTRIAL'!C$35</f>
        <v>BAHIA CALDERA S.A. PESQ</v>
      </c>
      <c r="F33" s="1" t="s">
        <v>61</v>
      </c>
      <c r="G33" s="1" t="s">
        <v>62</v>
      </c>
      <c r="H33" s="3">
        <f>+'CUOTA INDUSTRIAL'!F36</f>
        <v>1.2886218</v>
      </c>
      <c r="I33" s="3">
        <f>+'CUOTA INDUSTRIAL'!G36</f>
        <v>0</v>
      </c>
      <c r="J33" s="3">
        <f>+'CUOTA INDUSTRIAL'!H36</f>
        <v>64.480072699999994</v>
      </c>
      <c r="K33" s="3">
        <f>+'CUOTA INDUSTRIAL'!I36</f>
        <v>0</v>
      </c>
      <c r="L33" s="3">
        <f>+'CUOTA INDUSTRIAL'!J36</f>
        <v>64.480072699999994</v>
      </c>
      <c r="M33" s="66">
        <f>+'CUOTA INDUSTRIAL'!K36</f>
        <v>0</v>
      </c>
      <c r="N33" s="4" t="s">
        <v>82</v>
      </c>
      <c r="O33" s="5">
        <f>RESUMEN!$B$3</f>
        <v>44895</v>
      </c>
      <c r="P33" s="1">
        <f t="shared" si="0"/>
        <v>2022</v>
      </c>
      <c r="Q33" s="1"/>
    </row>
    <row r="34" spans="1:17">
      <c r="A34" s="2" t="s">
        <v>65</v>
      </c>
      <c r="B34" s="1" t="s">
        <v>57</v>
      </c>
      <c r="C34" s="1" t="s">
        <v>66</v>
      </c>
      <c r="D34" s="1" t="s">
        <v>58</v>
      </c>
      <c r="E34" s="1" t="str">
        <f>+'CUOTA INDUSTRIAL'!C$35</f>
        <v>BAHIA CALDERA S.A. PESQ</v>
      </c>
      <c r="F34" s="1" t="s">
        <v>59</v>
      </c>
      <c r="G34" s="1" t="s">
        <v>62</v>
      </c>
      <c r="H34" s="3">
        <f>'CUOTA INDUSTRIAL'!L35</f>
        <v>64.480072699999994</v>
      </c>
      <c r="I34" s="3">
        <f>'CUOTA INDUSTRIAL'!M35</f>
        <v>0</v>
      </c>
      <c r="J34" s="3">
        <f>'CUOTA INDUSTRIAL'!N35</f>
        <v>64.480072699999994</v>
      </c>
      <c r="K34" s="3">
        <f>'CUOTA INDUSTRIAL'!O35</f>
        <v>0</v>
      </c>
      <c r="L34" s="3">
        <f>'CUOTA INDUSTRIAL'!P35</f>
        <v>64.480072699999994</v>
      </c>
      <c r="M34" s="66">
        <f>'CUOTA INDUSTRIAL'!Q35</f>
        <v>0</v>
      </c>
      <c r="N34" s="4" t="s">
        <v>82</v>
      </c>
      <c r="O34" s="5">
        <f>RESUMEN!$B$3</f>
        <v>44895</v>
      </c>
      <c r="P34" s="1">
        <f t="shared" si="0"/>
        <v>2022</v>
      </c>
      <c r="Q34" s="1"/>
    </row>
    <row r="35" spans="1:17">
      <c r="A35" s="2" t="s">
        <v>65</v>
      </c>
      <c r="B35" s="1" t="s">
        <v>57</v>
      </c>
      <c r="C35" s="1" t="s">
        <v>66</v>
      </c>
      <c r="D35" s="1" t="s">
        <v>58</v>
      </c>
      <c r="E35" s="1" t="str">
        <f>+'CUOTA INDUSTRIAL'!C$37</f>
        <v xml:space="preserve">BLUMAR S.A.             </v>
      </c>
      <c r="F35" s="1" t="s">
        <v>59</v>
      </c>
      <c r="G35" s="1" t="s">
        <v>60</v>
      </c>
      <c r="H35" s="3">
        <f>+'CUOTA INDUSTRIAL'!F37</f>
        <v>3827.8734156</v>
      </c>
      <c r="I35" s="3">
        <f>+'CUOTA INDUSTRIAL'!G37</f>
        <v>-3800</v>
      </c>
      <c r="J35" s="3">
        <f>+'CUOTA INDUSTRIAL'!H37</f>
        <v>27.873415600000044</v>
      </c>
      <c r="K35" s="3">
        <f>+'CUOTA INDUSTRIAL'!I37</f>
        <v>0</v>
      </c>
      <c r="L35" s="3">
        <f>+'CUOTA INDUSTRIAL'!J37</f>
        <v>27.873415600000044</v>
      </c>
      <c r="M35" s="66">
        <f>+'CUOTA INDUSTRIAL'!K37</f>
        <v>0</v>
      </c>
      <c r="N35" s="4" t="s">
        <v>82</v>
      </c>
      <c r="O35" s="5">
        <f>RESUMEN!$B$3</f>
        <v>44895</v>
      </c>
      <c r="P35" s="1">
        <f t="shared" si="0"/>
        <v>2022</v>
      </c>
      <c r="Q35" s="1"/>
    </row>
    <row r="36" spans="1:17">
      <c r="A36" s="2" t="s">
        <v>65</v>
      </c>
      <c r="B36" s="1" t="s">
        <v>57</v>
      </c>
      <c r="C36" s="1" t="s">
        <v>66</v>
      </c>
      <c r="D36" s="1" t="s">
        <v>58</v>
      </c>
      <c r="E36" s="1" t="str">
        <f>+'CUOTA INDUSTRIAL'!C$37</f>
        <v xml:space="preserve">BLUMAR S.A.             </v>
      </c>
      <c r="F36" s="1" t="s">
        <v>61</v>
      </c>
      <c r="G36" s="1" t="s">
        <v>62</v>
      </c>
      <c r="H36" s="3">
        <f>+'CUOTA INDUSTRIAL'!F38</f>
        <v>78.059311199999996</v>
      </c>
      <c r="I36" s="3">
        <f>+'CUOTA INDUSTRIAL'!G38</f>
        <v>-70</v>
      </c>
      <c r="J36" s="3">
        <f>+'CUOTA INDUSTRIAL'!H38</f>
        <v>35.93272680000004</v>
      </c>
      <c r="K36" s="3">
        <f>+'CUOTA INDUSTRIAL'!I38</f>
        <v>0</v>
      </c>
      <c r="L36" s="3">
        <f>+'CUOTA INDUSTRIAL'!J38</f>
        <v>35.93272680000004</v>
      </c>
      <c r="M36" s="66">
        <f>+'CUOTA INDUSTRIAL'!K38</f>
        <v>0</v>
      </c>
      <c r="N36" s="4" t="s">
        <v>82</v>
      </c>
      <c r="O36" s="5">
        <f>RESUMEN!$B$3</f>
        <v>44895</v>
      </c>
      <c r="P36" s="1">
        <f t="shared" si="0"/>
        <v>2022</v>
      </c>
      <c r="Q36" s="1"/>
    </row>
    <row r="37" spans="1:17">
      <c r="A37" s="2" t="s">
        <v>65</v>
      </c>
      <c r="B37" s="1" t="s">
        <v>57</v>
      </c>
      <c r="C37" s="1" t="s">
        <v>66</v>
      </c>
      <c r="D37" s="1" t="s">
        <v>58</v>
      </c>
      <c r="E37" s="1" t="str">
        <f>+'CUOTA INDUSTRIAL'!C$37</f>
        <v xml:space="preserve">BLUMAR S.A.             </v>
      </c>
      <c r="F37" s="1" t="s">
        <v>59</v>
      </c>
      <c r="G37" s="1" t="s">
        <v>62</v>
      </c>
      <c r="H37" s="3">
        <f>'CUOTA INDUSTRIAL'!L37</f>
        <v>3905.9327268000002</v>
      </c>
      <c r="I37" s="3">
        <f>'CUOTA INDUSTRIAL'!M37</f>
        <v>-3870</v>
      </c>
      <c r="J37" s="3">
        <f>'CUOTA INDUSTRIAL'!N37</f>
        <v>35.932726800000182</v>
      </c>
      <c r="K37" s="3">
        <f>'CUOTA INDUSTRIAL'!O37</f>
        <v>0</v>
      </c>
      <c r="L37" s="3">
        <f>'CUOTA INDUSTRIAL'!P37</f>
        <v>35.932726800000182</v>
      </c>
      <c r="M37" s="66">
        <f>'CUOTA INDUSTRIAL'!Q37</f>
        <v>0</v>
      </c>
      <c r="N37" s="4" t="s">
        <v>82</v>
      </c>
      <c r="O37" s="5">
        <f>RESUMEN!$B$3</f>
        <v>44895</v>
      </c>
      <c r="P37" s="1">
        <f t="shared" si="0"/>
        <v>2022</v>
      </c>
      <c r="Q37" s="1"/>
    </row>
    <row r="38" spans="1:17">
      <c r="A38" s="2" t="s">
        <v>65</v>
      </c>
      <c r="B38" s="1" t="s">
        <v>57</v>
      </c>
      <c r="C38" s="1" t="s">
        <v>66</v>
      </c>
      <c r="D38" s="1" t="s">
        <v>58</v>
      </c>
      <c r="E38" s="1" t="str">
        <f>+'CUOTA INDUSTRIAL'!C$39</f>
        <v>CAMANCHACA S.A.</v>
      </c>
      <c r="F38" s="1" t="s">
        <v>59</v>
      </c>
      <c r="G38" s="1" t="s">
        <v>60</v>
      </c>
      <c r="H38" s="3">
        <f>+'CUOTA INDUSTRIAL'!F39</f>
        <v>250.038839</v>
      </c>
      <c r="I38" s="3">
        <f>+'CUOTA INDUSTRIAL'!G39</f>
        <v>-255.13800000000001</v>
      </c>
      <c r="J38" s="3">
        <f>+'CUOTA INDUSTRIAL'!H39</f>
        <v>-5.0991610000000094</v>
      </c>
      <c r="K38" s="3">
        <f>+'CUOTA INDUSTRIAL'!I39</f>
        <v>0</v>
      </c>
      <c r="L38" s="3">
        <f>+'CUOTA INDUSTRIAL'!J39</f>
        <v>-5.0991610000000094</v>
      </c>
      <c r="M38" s="66">
        <f>+'CUOTA INDUSTRIAL'!K39</f>
        <v>0</v>
      </c>
      <c r="N38" s="4" t="s">
        <v>82</v>
      </c>
      <c r="O38" s="5">
        <f>RESUMEN!$B$3</f>
        <v>44895</v>
      </c>
      <c r="P38" s="1">
        <f t="shared" si="0"/>
        <v>2022</v>
      </c>
      <c r="Q38" s="1"/>
    </row>
    <row r="39" spans="1:17">
      <c r="A39" s="2" t="s">
        <v>65</v>
      </c>
      <c r="B39" s="1" t="s">
        <v>57</v>
      </c>
      <c r="C39" s="1" t="s">
        <v>66</v>
      </c>
      <c r="D39" s="1" t="s">
        <v>58</v>
      </c>
      <c r="E39" s="1" t="str">
        <f>+'CUOTA INDUSTRIAL'!C$39</f>
        <v>CAMANCHACA S.A.</v>
      </c>
      <c r="F39" s="1" t="s">
        <v>61</v>
      </c>
      <c r="G39" s="1" t="s">
        <v>62</v>
      </c>
      <c r="H39" s="3">
        <f>+'CUOTA INDUSTRIAL'!F40</f>
        <v>5.098878</v>
      </c>
      <c r="I39" s="3">
        <f>+'CUOTA INDUSTRIAL'!G40</f>
        <v>0</v>
      </c>
      <c r="J39" s="3">
        <f>+'CUOTA INDUSTRIAL'!H40</f>
        <v>-2.830000000093591E-4</v>
      </c>
      <c r="K39" s="3">
        <f>+'CUOTA INDUSTRIAL'!I40</f>
        <v>0</v>
      </c>
      <c r="L39" s="3">
        <f>+'CUOTA INDUSTRIAL'!J40</f>
        <v>-2.830000000093591E-4</v>
      </c>
      <c r="M39" s="66">
        <f>+'CUOTA INDUSTRIAL'!K40</f>
        <v>0</v>
      </c>
      <c r="N39" s="4" t="s">
        <v>82</v>
      </c>
      <c r="O39" s="5">
        <f>RESUMEN!$B$3</f>
        <v>44895</v>
      </c>
      <c r="P39" s="1">
        <f t="shared" si="0"/>
        <v>2022</v>
      </c>
      <c r="Q39" s="1"/>
    </row>
    <row r="40" spans="1:17">
      <c r="A40" s="2" t="s">
        <v>65</v>
      </c>
      <c r="B40" s="1" t="s">
        <v>57</v>
      </c>
      <c r="C40" s="1" t="s">
        <v>66</v>
      </c>
      <c r="D40" s="1" t="s">
        <v>58</v>
      </c>
      <c r="E40" s="1" t="str">
        <f>+'CUOTA INDUSTRIAL'!C$39</f>
        <v>CAMANCHACA S.A.</v>
      </c>
      <c r="F40" s="1" t="s">
        <v>59</v>
      </c>
      <c r="G40" s="1" t="s">
        <v>62</v>
      </c>
      <c r="H40" s="3">
        <f>'CUOTA INDUSTRIAL'!L39</f>
        <v>255.13771700000001</v>
      </c>
      <c r="I40" s="3">
        <f>'CUOTA INDUSTRIAL'!M39</f>
        <v>-255.13800000000001</v>
      </c>
      <c r="J40" s="3">
        <f>'CUOTA INDUSTRIAL'!N39</f>
        <v>-2.8299999999603642E-4</v>
      </c>
      <c r="K40" s="3">
        <f>'CUOTA INDUSTRIAL'!O39</f>
        <v>0</v>
      </c>
      <c r="L40" s="3">
        <f>'CUOTA INDUSTRIAL'!P39</f>
        <v>-2.8299999999603642E-4</v>
      </c>
      <c r="M40" s="66">
        <f>'CUOTA INDUSTRIAL'!Q39</f>
        <v>0</v>
      </c>
      <c r="N40" s="4" t="s">
        <v>82</v>
      </c>
      <c r="O40" s="5">
        <f>RESUMEN!$B$3</f>
        <v>44895</v>
      </c>
      <c r="P40" s="1">
        <f t="shared" si="0"/>
        <v>2022</v>
      </c>
      <c r="Q40" s="1"/>
    </row>
    <row r="41" spans="1:17">
      <c r="A41" s="2" t="s">
        <v>65</v>
      </c>
      <c r="B41" s="1" t="s">
        <v>57</v>
      </c>
      <c r="C41" s="1" t="s">
        <v>66</v>
      </c>
      <c r="D41" s="1" t="s">
        <v>58</v>
      </c>
      <c r="E41" s="1" t="str">
        <f>+'CUOTA INDUSTRIAL'!C$41</f>
        <v xml:space="preserve">FOODCORP CHILE S.A.   </v>
      </c>
      <c r="F41" s="1" t="s">
        <v>59</v>
      </c>
      <c r="G41" s="1" t="s">
        <v>60</v>
      </c>
      <c r="H41" s="3">
        <f>+'CUOTA INDUSTRIAL'!F41</f>
        <v>801.4827358</v>
      </c>
      <c r="I41" s="3">
        <f>+'CUOTA INDUSTRIAL'!G41</f>
        <v>-817</v>
      </c>
      <c r="J41" s="3">
        <f>+'CUOTA INDUSTRIAL'!H41</f>
        <v>-15.5172642</v>
      </c>
      <c r="K41" s="3">
        <f>+'CUOTA INDUSTRIAL'!I41</f>
        <v>0</v>
      </c>
      <c r="L41" s="3">
        <f>+'CUOTA INDUSTRIAL'!J41</f>
        <v>-15.5172642</v>
      </c>
      <c r="M41" s="66">
        <f>+'CUOTA INDUSTRIAL'!K41</f>
        <v>0</v>
      </c>
      <c r="N41" s="4" t="s">
        <v>82</v>
      </c>
      <c r="O41" s="5">
        <f>RESUMEN!$B$3</f>
        <v>44895</v>
      </c>
      <c r="P41" s="1">
        <f t="shared" si="0"/>
        <v>2022</v>
      </c>
      <c r="Q41" s="1"/>
    </row>
    <row r="42" spans="1:17">
      <c r="A42" s="2" t="s">
        <v>65</v>
      </c>
      <c r="B42" s="1" t="s">
        <v>57</v>
      </c>
      <c r="C42" s="1" t="s">
        <v>66</v>
      </c>
      <c r="D42" s="1" t="s">
        <v>58</v>
      </c>
      <c r="E42" s="1" t="str">
        <f>+'CUOTA INDUSTRIAL'!C$41</f>
        <v xml:space="preserve">FOODCORP CHILE S.A.   </v>
      </c>
      <c r="F42" s="1" t="s">
        <v>61</v>
      </c>
      <c r="G42" s="1" t="s">
        <v>62</v>
      </c>
      <c r="H42" s="3">
        <f>+'CUOTA INDUSTRIAL'!F42</f>
        <v>16.344111600000002</v>
      </c>
      <c r="I42" s="3">
        <f>+'CUOTA INDUSTRIAL'!G42</f>
        <v>0</v>
      </c>
      <c r="J42" s="3">
        <f>+'CUOTA INDUSTRIAL'!H42</f>
        <v>0.8268474000000019</v>
      </c>
      <c r="K42" s="3">
        <f>+'CUOTA INDUSTRIAL'!I42</f>
        <v>0</v>
      </c>
      <c r="L42" s="3">
        <f>+'CUOTA INDUSTRIAL'!J42</f>
        <v>0.8268474000000019</v>
      </c>
      <c r="M42" s="66">
        <f>+'CUOTA INDUSTRIAL'!K42</f>
        <v>0</v>
      </c>
      <c r="N42" s="4" t="s">
        <v>82</v>
      </c>
      <c r="O42" s="5">
        <f>RESUMEN!$B$3</f>
        <v>44895</v>
      </c>
      <c r="P42" s="1">
        <f t="shared" si="0"/>
        <v>2022</v>
      </c>
      <c r="Q42" s="1"/>
    </row>
    <row r="43" spans="1:17">
      <c r="A43" s="2" t="s">
        <v>65</v>
      </c>
      <c r="B43" s="1" t="s">
        <v>57</v>
      </c>
      <c r="C43" s="1" t="s">
        <v>66</v>
      </c>
      <c r="D43" s="1" t="s">
        <v>58</v>
      </c>
      <c r="E43" s="1" t="str">
        <f>+'CUOTA INDUSTRIAL'!C$41</f>
        <v xml:space="preserve">FOODCORP CHILE S.A.   </v>
      </c>
      <c r="F43" s="1" t="s">
        <v>59</v>
      </c>
      <c r="G43" s="1" t="s">
        <v>62</v>
      </c>
      <c r="H43" s="3">
        <f>'CUOTA INDUSTRIAL'!L41</f>
        <v>817.82684740000002</v>
      </c>
      <c r="I43" s="3">
        <f>'CUOTA INDUSTRIAL'!M41</f>
        <v>-817</v>
      </c>
      <c r="J43" s="3">
        <f>'CUOTA INDUSTRIAL'!N41</f>
        <v>0.82684740000001966</v>
      </c>
      <c r="K43" s="3">
        <f>'CUOTA INDUSTRIAL'!O41</f>
        <v>0</v>
      </c>
      <c r="L43" s="3">
        <f>'CUOTA INDUSTRIAL'!P41</f>
        <v>0.82684740000001966</v>
      </c>
      <c r="M43" s="66">
        <f>'CUOTA INDUSTRIAL'!Q41</f>
        <v>0</v>
      </c>
      <c r="N43" s="4" t="s">
        <v>82</v>
      </c>
      <c r="O43" s="5">
        <f>RESUMEN!$B$3</f>
        <v>44895</v>
      </c>
      <c r="P43" s="1">
        <f t="shared" si="0"/>
        <v>2022</v>
      </c>
      <c r="Q43" s="1"/>
    </row>
    <row r="44" spans="1:17">
      <c r="A44" s="2" t="s">
        <v>65</v>
      </c>
      <c r="B44" s="1" t="s">
        <v>57</v>
      </c>
      <c r="C44" s="1" t="s">
        <v>66</v>
      </c>
      <c r="D44" s="1" t="s">
        <v>58</v>
      </c>
      <c r="E44" s="1" t="str">
        <f>+'CUOTA INDUSTRIAL'!C$43</f>
        <v xml:space="preserve">LITORAL SPA PESQ      </v>
      </c>
      <c r="F44" s="1" t="s">
        <v>59</v>
      </c>
      <c r="G44" s="1" t="s">
        <v>60</v>
      </c>
      <c r="H44" s="3">
        <f>+'CUOTA INDUSTRIAL'!F43</f>
        <v>691.09601380000004</v>
      </c>
      <c r="I44" s="3">
        <f>+'CUOTA INDUSTRIAL'!G43</f>
        <v>-695</v>
      </c>
      <c r="J44" s="3">
        <f>+'CUOTA INDUSTRIAL'!H43</f>
        <v>-3.903986199999963</v>
      </c>
      <c r="K44" s="3">
        <f>+'CUOTA INDUSTRIAL'!I43</f>
        <v>0</v>
      </c>
      <c r="L44" s="3">
        <f>+'CUOTA INDUSTRIAL'!J43</f>
        <v>-3.903986199999963</v>
      </c>
      <c r="M44" s="66">
        <f>+'CUOTA INDUSTRIAL'!K43</f>
        <v>0</v>
      </c>
      <c r="N44" s="4" t="s">
        <v>82</v>
      </c>
      <c r="O44" s="5">
        <f>RESUMEN!$B$3</f>
        <v>44895</v>
      </c>
      <c r="P44" s="1">
        <f t="shared" si="0"/>
        <v>2022</v>
      </c>
      <c r="Q44" s="1"/>
    </row>
    <row r="45" spans="1:17">
      <c r="A45" s="2" t="s">
        <v>65</v>
      </c>
      <c r="B45" s="1" t="s">
        <v>57</v>
      </c>
      <c r="C45" s="1" t="s">
        <v>66</v>
      </c>
      <c r="D45" s="1" t="s">
        <v>58</v>
      </c>
      <c r="E45" s="1" t="str">
        <f>+'CUOTA INDUSTRIAL'!C$43</f>
        <v xml:space="preserve">LITORAL SPA PESQ      </v>
      </c>
      <c r="F45" s="1" t="s">
        <v>61</v>
      </c>
      <c r="G45" s="1" t="s">
        <v>62</v>
      </c>
      <c r="H45" s="3">
        <f>+'CUOTA INDUSTRIAL'!F44</f>
        <v>14.093067600000001</v>
      </c>
      <c r="I45" s="3">
        <f>+'CUOTA INDUSTRIAL'!G44</f>
        <v>0</v>
      </c>
      <c r="J45" s="3">
        <f>+'CUOTA INDUSTRIAL'!H44</f>
        <v>10.189081400000038</v>
      </c>
      <c r="K45" s="3">
        <f>+'CUOTA INDUSTRIAL'!I44</f>
        <v>0</v>
      </c>
      <c r="L45" s="3">
        <f>+'CUOTA INDUSTRIAL'!J44</f>
        <v>10.189081400000038</v>
      </c>
      <c r="M45" s="66">
        <f>+'CUOTA INDUSTRIAL'!K44</f>
        <v>0</v>
      </c>
      <c r="N45" s="4" t="s">
        <v>82</v>
      </c>
      <c r="O45" s="5">
        <f>RESUMEN!$B$3</f>
        <v>44895</v>
      </c>
      <c r="P45" s="1">
        <f t="shared" si="0"/>
        <v>2022</v>
      </c>
      <c r="Q45" s="1"/>
    </row>
    <row r="46" spans="1:17">
      <c r="A46" s="2" t="s">
        <v>65</v>
      </c>
      <c r="B46" s="1" t="s">
        <v>57</v>
      </c>
      <c r="C46" s="1" t="s">
        <v>66</v>
      </c>
      <c r="D46" s="1" t="s">
        <v>58</v>
      </c>
      <c r="E46" s="1" t="str">
        <f>+'CUOTA INDUSTRIAL'!C$43</f>
        <v xml:space="preserve">LITORAL SPA PESQ      </v>
      </c>
      <c r="F46" s="1" t="s">
        <v>59</v>
      </c>
      <c r="G46" s="1" t="s">
        <v>62</v>
      </c>
      <c r="H46" s="3">
        <f>'CUOTA INDUSTRIAL'!L43</f>
        <v>705.18908140000008</v>
      </c>
      <c r="I46" s="3">
        <f>'CUOTA INDUSTRIAL'!M43</f>
        <v>-695</v>
      </c>
      <c r="J46" s="3">
        <f>'CUOTA INDUSTRIAL'!N43</f>
        <v>10.189081400000077</v>
      </c>
      <c r="K46" s="3">
        <f>'CUOTA INDUSTRIAL'!O43</f>
        <v>0</v>
      </c>
      <c r="L46" s="3">
        <f>'CUOTA INDUSTRIAL'!P43</f>
        <v>10.189081400000077</v>
      </c>
      <c r="M46" s="66">
        <f>'CUOTA INDUSTRIAL'!Q43</f>
        <v>0</v>
      </c>
      <c r="N46" s="4" t="s">
        <v>82</v>
      </c>
      <c r="O46" s="5">
        <f>RESUMEN!$B$3</f>
        <v>44895</v>
      </c>
      <c r="P46" s="1">
        <f t="shared" si="0"/>
        <v>2022</v>
      </c>
      <c r="Q46" s="1"/>
    </row>
    <row r="47" spans="1:17">
      <c r="A47" s="2" t="s">
        <v>65</v>
      </c>
      <c r="B47" s="1" t="s">
        <v>57</v>
      </c>
      <c r="C47" s="1" t="s">
        <v>66</v>
      </c>
      <c r="D47" s="1" t="s">
        <v>58</v>
      </c>
      <c r="E47" s="1" t="str">
        <f>+'CUOTA INDUSTRIAL'!C$45</f>
        <v xml:space="preserve">ISLADAMAS S.A. PESQ.        </v>
      </c>
      <c r="F47" s="1" t="s">
        <v>59</v>
      </c>
      <c r="G47" s="1" t="s">
        <v>60</v>
      </c>
      <c r="H47" s="3">
        <f>+'CUOTA INDUSTRIAL'!F45</f>
        <v>16.0263676</v>
      </c>
      <c r="I47" s="3">
        <f>+'CUOTA INDUSTRIAL'!G45</f>
        <v>0</v>
      </c>
      <c r="J47" s="3">
        <f>+'CUOTA INDUSTRIAL'!H45</f>
        <v>16.0263676</v>
      </c>
      <c r="K47" s="3">
        <f>+'CUOTA INDUSTRIAL'!I45</f>
        <v>0</v>
      </c>
      <c r="L47" s="3">
        <f>+'CUOTA INDUSTRIAL'!J45</f>
        <v>16.0263676</v>
      </c>
      <c r="M47" s="66">
        <f>+'CUOTA INDUSTRIAL'!K45</f>
        <v>0</v>
      </c>
      <c r="N47" s="4" t="s">
        <v>82</v>
      </c>
      <c r="O47" s="5">
        <f>RESUMEN!$B$3</f>
        <v>44895</v>
      </c>
      <c r="P47" s="1">
        <f t="shared" si="0"/>
        <v>2022</v>
      </c>
      <c r="Q47" s="1"/>
    </row>
    <row r="48" spans="1:17">
      <c r="A48" s="2" t="s">
        <v>65</v>
      </c>
      <c r="B48" s="1" t="s">
        <v>57</v>
      </c>
      <c r="C48" s="1" t="s">
        <v>66</v>
      </c>
      <c r="D48" s="1" t="s">
        <v>58</v>
      </c>
      <c r="E48" s="1" t="str">
        <f>+'CUOTA INDUSTRIAL'!C$45</f>
        <v xml:space="preserve">ISLADAMAS S.A. PESQ.        </v>
      </c>
      <c r="F48" s="1" t="s">
        <v>61</v>
      </c>
      <c r="G48" s="1" t="s">
        <v>62</v>
      </c>
      <c r="H48" s="3">
        <f>+'CUOTA INDUSTRIAL'!F46</f>
        <v>0.32681520000000003</v>
      </c>
      <c r="I48" s="3">
        <f>+'CUOTA INDUSTRIAL'!G46</f>
        <v>0</v>
      </c>
      <c r="J48" s="3">
        <f>+'CUOTA INDUSTRIAL'!H46</f>
        <v>16.353182799999999</v>
      </c>
      <c r="K48" s="3">
        <f>+'CUOTA INDUSTRIAL'!I46</f>
        <v>0</v>
      </c>
      <c r="L48" s="3">
        <f>+'CUOTA INDUSTRIAL'!J46</f>
        <v>16.353182799999999</v>
      </c>
      <c r="M48" s="66">
        <f>+'CUOTA INDUSTRIAL'!K46</f>
        <v>0</v>
      </c>
      <c r="N48" s="4" t="s">
        <v>82</v>
      </c>
      <c r="O48" s="5">
        <f>RESUMEN!$B$3</f>
        <v>44895</v>
      </c>
      <c r="P48" s="1">
        <f t="shared" si="0"/>
        <v>2022</v>
      </c>
      <c r="Q48" s="1"/>
    </row>
    <row r="49" spans="1:17">
      <c r="A49" s="2" t="s">
        <v>65</v>
      </c>
      <c r="B49" s="1" t="s">
        <v>57</v>
      </c>
      <c r="C49" s="1" t="s">
        <v>66</v>
      </c>
      <c r="D49" s="1" t="s">
        <v>58</v>
      </c>
      <c r="E49" s="1" t="str">
        <f>+'CUOTA INDUSTRIAL'!C$45</f>
        <v xml:space="preserve">ISLADAMAS S.A. PESQ.        </v>
      </c>
      <c r="F49" s="1" t="s">
        <v>59</v>
      </c>
      <c r="G49" s="1" t="s">
        <v>62</v>
      </c>
      <c r="H49" s="3">
        <f>'CUOTA INDUSTRIAL'!L45</f>
        <v>16.353182799999999</v>
      </c>
      <c r="I49" s="3">
        <f>'CUOTA INDUSTRIAL'!M45</f>
        <v>0</v>
      </c>
      <c r="J49" s="3">
        <f>'CUOTA INDUSTRIAL'!N45</f>
        <v>16.353182799999999</v>
      </c>
      <c r="K49" s="3">
        <f>'CUOTA INDUSTRIAL'!O45</f>
        <v>0</v>
      </c>
      <c r="L49" s="3">
        <f>'CUOTA INDUSTRIAL'!P45</f>
        <v>16.353182799999999</v>
      </c>
      <c r="M49" s="66">
        <f>'CUOTA INDUSTRIAL'!Q45</f>
        <v>0</v>
      </c>
      <c r="N49" s="4" t="s">
        <v>82</v>
      </c>
      <c r="O49" s="5">
        <f>RESUMEN!$B$3</f>
        <v>44895</v>
      </c>
      <c r="P49" s="1">
        <f t="shared" si="0"/>
        <v>2022</v>
      </c>
      <c r="Q49" s="1"/>
    </row>
    <row r="50" spans="1:17">
      <c r="A50" s="2" t="s">
        <v>65</v>
      </c>
      <c r="B50" s="1" t="s">
        <v>57</v>
      </c>
      <c r="C50" s="1" t="s">
        <v>66</v>
      </c>
      <c r="D50" s="1" t="s">
        <v>58</v>
      </c>
      <c r="E50" s="1" t="str">
        <f>+'CUOTA INDUSTRIAL'!C$47</f>
        <v xml:space="preserve">LANDES S.A. SOC. PESQ.      </v>
      </c>
      <c r="F50" s="1" t="s">
        <v>59</v>
      </c>
      <c r="G50" s="1" t="s">
        <v>60</v>
      </c>
      <c r="H50" s="3">
        <f>+'CUOTA INDUSTRIAL'!F47</f>
        <v>118.08461100000001</v>
      </c>
      <c r="I50" s="3">
        <f>+'CUOTA INDUSTRIAL'!G47</f>
        <v>-113.30513000000001</v>
      </c>
      <c r="J50" s="3">
        <f>+'CUOTA INDUSTRIAL'!H47</f>
        <v>4.7794810000000041</v>
      </c>
      <c r="K50" s="3">
        <f>+'CUOTA INDUSTRIAL'!I47</f>
        <v>0</v>
      </c>
      <c r="L50" s="3">
        <f>+'CUOTA INDUSTRIAL'!J47</f>
        <v>4.7794810000000041</v>
      </c>
      <c r="M50" s="66">
        <f>+'CUOTA INDUSTRIAL'!K47</f>
        <v>0</v>
      </c>
      <c r="N50" s="4" t="s">
        <v>82</v>
      </c>
      <c r="O50" s="5">
        <f>RESUMEN!$B$3</f>
        <v>44895</v>
      </c>
      <c r="P50" s="1">
        <f t="shared" si="0"/>
        <v>2022</v>
      </c>
      <c r="Q50" s="1"/>
    </row>
    <row r="51" spans="1:17">
      <c r="A51" s="2" t="s">
        <v>65</v>
      </c>
      <c r="B51" s="1" t="s">
        <v>57</v>
      </c>
      <c r="C51" s="1" t="s">
        <v>66</v>
      </c>
      <c r="D51" s="1" t="s">
        <v>58</v>
      </c>
      <c r="E51" s="1" t="str">
        <f>+'CUOTA INDUSTRIAL'!C$47</f>
        <v xml:space="preserve">LANDES S.A. SOC. PESQ.      </v>
      </c>
      <c r="F51" s="1" t="s">
        <v>61</v>
      </c>
      <c r="G51" s="1" t="s">
        <v>62</v>
      </c>
      <c r="H51" s="3">
        <f>+'CUOTA INDUSTRIAL'!F48</f>
        <v>2.4080220000000003</v>
      </c>
      <c r="I51" s="3">
        <f>+'CUOTA INDUSTRIAL'!G48</f>
        <v>0</v>
      </c>
      <c r="J51" s="3">
        <f>+'CUOTA INDUSTRIAL'!H48</f>
        <v>7.1875030000000049</v>
      </c>
      <c r="K51" s="3">
        <f>+'CUOTA INDUSTRIAL'!I48</f>
        <v>0</v>
      </c>
      <c r="L51" s="3">
        <f>+'CUOTA INDUSTRIAL'!J48</f>
        <v>7.1875030000000049</v>
      </c>
      <c r="M51" s="66">
        <f>+'CUOTA INDUSTRIAL'!K48</f>
        <v>0</v>
      </c>
      <c r="N51" s="4" t="s">
        <v>82</v>
      </c>
      <c r="O51" s="5">
        <f>RESUMEN!$B$3</f>
        <v>44895</v>
      </c>
      <c r="P51" s="1">
        <f t="shared" si="0"/>
        <v>2022</v>
      </c>
      <c r="Q51" s="1"/>
    </row>
    <row r="52" spans="1:17">
      <c r="A52" s="2" t="s">
        <v>65</v>
      </c>
      <c r="B52" s="1" t="s">
        <v>57</v>
      </c>
      <c r="C52" s="1" t="s">
        <v>66</v>
      </c>
      <c r="D52" s="1" t="s">
        <v>58</v>
      </c>
      <c r="E52" s="1" t="str">
        <f>+'CUOTA INDUSTRIAL'!C$47</f>
        <v xml:space="preserve">LANDES S.A. SOC. PESQ.      </v>
      </c>
      <c r="F52" s="1" t="s">
        <v>59</v>
      </c>
      <c r="G52" s="1" t="s">
        <v>62</v>
      </c>
      <c r="H52" s="3">
        <f>'CUOTA INDUSTRIAL'!L47</f>
        <v>120.49263300000001</v>
      </c>
      <c r="I52" s="3">
        <f>'CUOTA INDUSTRIAL'!M47</f>
        <v>-113.30513000000001</v>
      </c>
      <c r="J52" s="3">
        <f>'CUOTA INDUSTRIAL'!N47</f>
        <v>7.1875030000000066</v>
      </c>
      <c r="K52" s="3">
        <f>'CUOTA INDUSTRIAL'!O47</f>
        <v>0</v>
      </c>
      <c r="L52" s="3">
        <f>'CUOTA INDUSTRIAL'!P47</f>
        <v>7.1875030000000066</v>
      </c>
      <c r="M52" s="66">
        <f>'CUOTA INDUSTRIAL'!Q47</f>
        <v>0</v>
      </c>
      <c r="N52" s="4" t="s">
        <v>82</v>
      </c>
      <c r="O52" s="5">
        <f>RESUMEN!$B$3</f>
        <v>44895</v>
      </c>
      <c r="P52" s="1">
        <f t="shared" si="0"/>
        <v>2022</v>
      </c>
      <c r="Q52" s="1"/>
    </row>
    <row r="53" spans="1:17">
      <c r="A53" s="2" t="s">
        <v>65</v>
      </c>
      <c r="B53" s="1" t="s">
        <v>57</v>
      </c>
      <c r="C53" s="1" t="s">
        <v>66</v>
      </c>
      <c r="D53" s="1" t="s">
        <v>58</v>
      </c>
      <c r="E53" s="1" t="str">
        <f>+'CUOTA INDUSTRIAL'!C$49</f>
        <v xml:space="preserve"> ORIZON S.A   </v>
      </c>
      <c r="F53" s="1" t="s">
        <v>59</v>
      </c>
      <c r="G53" s="1" t="s">
        <v>60</v>
      </c>
      <c r="H53" s="3">
        <f>+'CUOTA INDUSTRIAL'!F49</f>
        <v>7791.3051470999999</v>
      </c>
      <c r="I53" s="3">
        <f>+'CUOTA INDUSTRIAL'!G49</f>
        <v>-7950</v>
      </c>
      <c r="J53" s="3">
        <f>+'CUOTA INDUSTRIAL'!H49</f>
        <v>-158.69485290000011</v>
      </c>
      <c r="K53" s="3">
        <f>+'CUOTA INDUSTRIAL'!I49</f>
        <v>0</v>
      </c>
      <c r="L53" s="3">
        <f>+'CUOTA INDUSTRIAL'!J49</f>
        <v>-158.69485290000011</v>
      </c>
      <c r="M53" s="66">
        <f>+'CUOTA INDUSTRIAL'!K49</f>
        <v>0</v>
      </c>
      <c r="N53" s="4" t="s">
        <v>82</v>
      </c>
      <c r="O53" s="5">
        <f>RESUMEN!$B$3</f>
        <v>44895</v>
      </c>
      <c r="P53" s="1">
        <f t="shared" si="0"/>
        <v>2022</v>
      </c>
      <c r="Q53" s="1"/>
    </row>
    <row r="54" spans="1:17">
      <c r="A54" s="2" t="s">
        <v>65</v>
      </c>
      <c r="B54" s="1" t="s">
        <v>57</v>
      </c>
      <c r="C54" s="1" t="s">
        <v>66</v>
      </c>
      <c r="D54" s="1" t="s">
        <v>58</v>
      </c>
      <c r="E54" s="1" t="str">
        <f>+'CUOTA INDUSTRIAL'!C$49</f>
        <v xml:space="preserve"> ORIZON S.A   </v>
      </c>
      <c r="F54" s="1" t="s">
        <v>61</v>
      </c>
      <c r="G54" s="1" t="s">
        <v>62</v>
      </c>
      <c r="H54" s="3">
        <f>+'CUOTA INDUSTRIAL'!F50</f>
        <v>158.88297420000001</v>
      </c>
      <c r="I54" s="3">
        <f>+'CUOTA INDUSTRIAL'!G50</f>
        <v>0</v>
      </c>
      <c r="J54" s="3">
        <f>+'CUOTA INDUSTRIAL'!H50</f>
        <v>0.18812129999989224</v>
      </c>
      <c r="K54" s="3">
        <f>+'CUOTA INDUSTRIAL'!I50</f>
        <v>0</v>
      </c>
      <c r="L54" s="3">
        <f>+'CUOTA INDUSTRIAL'!J50</f>
        <v>0.18812129999989224</v>
      </c>
      <c r="M54" s="66">
        <f>+'CUOTA INDUSTRIAL'!K50</f>
        <v>0</v>
      </c>
      <c r="N54" s="4" t="s">
        <v>82</v>
      </c>
      <c r="O54" s="5">
        <f>RESUMEN!$B$3</f>
        <v>44895</v>
      </c>
      <c r="P54" s="1">
        <f t="shared" si="0"/>
        <v>2022</v>
      </c>
      <c r="Q54" s="1"/>
    </row>
    <row r="55" spans="1:17">
      <c r="A55" s="2" t="s">
        <v>65</v>
      </c>
      <c r="B55" s="1" t="s">
        <v>57</v>
      </c>
      <c r="C55" s="1" t="s">
        <v>66</v>
      </c>
      <c r="D55" s="1" t="s">
        <v>58</v>
      </c>
      <c r="E55" s="1" t="str">
        <f>+'CUOTA INDUSTRIAL'!C$49</f>
        <v xml:space="preserve"> ORIZON S.A   </v>
      </c>
      <c r="F55" s="1" t="s">
        <v>59</v>
      </c>
      <c r="G55" s="1" t="s">
        <v>62</v>
      </c>
      <c r="H55" s="3">
        <f>'CUOTA INDUSTRIAL'!L49</f>
        <v>7950.1881212999997</v>
      </c>
      <c r="I55" s="3">
        <f>'CUOTA INDUSTRIAL'!M49</f>
        <v>-7950</v>
      </c>
      <c r="J55" s="3">
        <f>'CUOTA INDUSTRIAL'!N49</f>
        <v>0.18812129999969329</v>
      </c>
      <c r="K55" s="3">
        <f>'CUOTA INDUSTRIAL'!O49</f>
        <v>0</v>
      </c>
      <c r="L55" s="3">
        <f>'CUOTA INDUSTRIAL'!P49</f>
        <v>0.18812129999969329</v>
      </c>
      <c r="M55" s="66">
        <f>'CUOTA INDUSTRIAL'!Q49</f>
        <v>0</v>
      </c>
      <c r="N55" s="4" t="s">
        <v>82</v>
      </c>
      <c r="O55" s="5">
        <f>RESUMEN!$B$3</f>
        <v>44895</v>
      </c>
      <c r="P55" s="1">
        <f t="shared" si="0"/>
        <v>2022</v>
      </c>
      <c r="Q55" s="1"/>
    </row>
    <row r="56" spans="1:17">
      <c r="A56" s="7" t="s">
        <v>65</v>
      </c>
      <c r="B56" s="1" t="s">
        <v>57</v>
      </c>
      <c r="C56" s="1" t="s">
        <v>66</v>
      </c>
      <c r="D56" s="1" t="s">
        <v>58</v>
      </c>
      <c r="E56" s="1" t="str">
        <f>+'CUOTA INDUSTRIAL'!C$51</f>
        <v>CAMANCHACA PESCA SUR S.A.</v>
      </c>
      <c r="F56" s="1" t="s">
        <v>59</v>
      </c>
      <c r="G56" s="1" t="s">
        <v>60</v>
      </c>
      <c r="H56" s="3">
        <f>+'CUOTA INDUSTRIAL'!F51</f>
        <v>996.17056639999998</v>
      </c>
      <c r="I56" s="3">
        <f>+'CUOTA INDUSTRIAL'!G51</f>
        <v>-1010.701</v>
      </c>
      <c r="J56" s="3">
        <f>+'CUOTA INDUSTRIAL'!H51</f>
        <v>-14.530433600000038</v>
      </c>
      <c r="K56" s="3">
        <f>+'CUOTA INDUSTRIAL'!I51</f>
        <v>0</v>
      </c>
      <c r="L56" s="3">
        <f>+'CUOTA INDUSTRIAL'!J51</f>
        <v>-14.530433600000038</v>
      </c>
      <c r="M56" s="66">
        <f>+'CUOTA INDUSTRIAL'!K51</f>
        <v>0</v>
      </c>
      <c r="N56" s="4" t="s">
        <v>82</v>
      </c>
      <c r="O56" s="5">
        <f>RESUMEN!$B$3</f>
        <v>44895</v>
      </c>
      <c r="P56" s="1">
        <f t="shared" si="0"/>
        <v>2022</v>
      </c>
      <c r="Q56" s="1"/>
    </row>
    <row r="57" spans="1:17">
      <c r="A57" s="7" t="s">
        <v>65</v>
      </c>
      <c r="B57" s="1" t="s">
        <v>57</v>
      </c>
      <c r="C57" s="1" t="s">
        <v>66</v>
      </c>
      <c r="D57" s="1" t="s">
        <v>58</v>
      </c>
      <c r="E57" s="1" t="str">
        <f>+'CUOTA INDUSTRIAL'!C$51</f>
        <v>CAMANCHACA PESCA SUR S.A.</v>
      </c>
      <c r="F57" s="1" t="s">
        <v>61</v>
      </c>
      <c r="G57" s="1" t="s">
        <v>62</v>
      </c>
      <c r="H57" s="3">
        <f>+'CUOTA INDUSTRIAL'!F52</f>
        <v>20.314252799999998</v>
      </c>
      <c r="I57" s="3">
        <f>+'CUOTA INDUSTRIAL'!G52</f>
        <v>0</v>
      </c>
      <c r="J57" s="3">
        <f>+'CUOTA INDUSTRIAL'!H52</f>
        <v>5.7838191999999609</v>
      </c>
      <c r="K57" s="3">
        <f>+'CUOTA INDUSTRIAL'!I52</f>
        <v>0</v>
      </c>
      <c r="L57" s="3">
        <f>+'CUOTA INDUSTRIAL'!J52</f>
        <v>5.7838191999999609</v>
      </c>
      <c r="M57" s="66">
        <f>+'CUOTA INDUSTRIAL'!K52</f>
        <v>0</v>
      </c>
      <c r="N57" s="4" t="s">
        <v>82</v>
      </c>
      <c r="O57" s="5">
        <f>RESUMEN!$B$3</f>
        <v>44895</v>
      </c>
      <c r="P57" s="1">
        <f t="shared" si="0"/>
        <v>2022</v>
      </c>
      <c r="Q57" s="1"/>
    </row>
    <row r="58" spans="1:17">
      <c r="A58" s="7" t="s">
        <v>65</v>
      </c>
      <c r="B58" s="1" t="s">
        <v>57</v>
      </c>
      <c r="C58" s="1" t="s">
        <v>66</v>
      </c>
      <c r="D58" s="1" t="s">
        <v>58</v>
      </c>
      <c r="E58" s="1" t="str">
        <f>+'CUOTA INDUSTRIAL'!C$51</f>
        <v>CAMANCHACA PESCA SUR S.A.</v>
      </c>
      <c r="F58" s="1" t="s">
        <v>59</v>
      </c>
      <c r="G58" s="1" t="s">
        <v>62</v>
      </c>
      <c r="H58" s="3">
        <f>'CUOTA INDUSTRIAL'!L51</f>
        <v>1016.4848191999999</v>
      </c>
      <c r="I58" s="3">
        <f>'CUOTA INDUSTRIAL'!M51</f>
        <v>-1010.701</v>
      </c>
      <c r="J58" s="3">
        <f>'CUOTA INDUSTRIAL'!N51</f>
        <v>5.7838191999999253</v>
      </c>
      <c r="K58" s="3">
        <f>'CUOTA INDUSTRIAL'!O51</f>
        <v>0</v>
      </c>
      <c r="L58" s="3">
        <f>'CUOTA INDUSTRIAL'!P51</f>
        <v>5.7838191999999253</v>
      </c>
      <c r="M58" s="66">
        <f>'CUOTA INDUSTRIAL'!Q51</f>
        <v>0</v>
      </c>
      <c r="N58" s="4" t="s">
        <v>82</v>
      </c>
      <c r="O58" s="5">
        <f>RESUMEN!$B$3</f>
        <v>44895</v>
      </c>
      <c r="P58" s="1">
        <f t="shared" si="0"/>
        <v>2022</v>
      </c>
      <c r="Q58" s="1"/>
    </row>
    <row r="59" spans="1:17">
      <c r="A59" s="2" t="s">
        <v>65</v>
      </c>
      <c r="B59" s="1" t="s">
        <v>57</v>
      </c>
      <c r="C59" s="1" t="s">
        <v>66</v>
      </c>
      <c r="D59" s="1" t="s">
        <v>58</v>
      </c>
      <c r="E59" s="1" t="str">
        <f>+'CUOTA INDUSTRIAL'!C$53</f>
        <v>COMERCIAL Y CONSERVERA SAN LAZARO LIMITADA</v>
      </c>
      <c r="F59" s="1" t="s">
        <v>59</v>
      </c>
      <c r="G59" s="1" t="s">
        <v>60</v>
      </c>
      <c r="H59" s="3">
        <f>+'CUOTA INDUSTRIAL'!F53</f>
        <v>805.00800000000004</v>
      </c>
      <c r="I59" s="3">
        <f>+'CUOTA INDUSTRIAL'!G53</f>
        <v>-821.42399999999998</v>
      </c>
      <c r="J59" s="3">
        <f>+'CUOTA INDUSTRIAL'!H53</f>
        <v>-16.41599999999994</v>
      </c>
      <c r="K59" s="3">
        <f>+'CUOTA INDUSTRIAL'!I53</f>
        <v>0</v>
      </c>
      <c r="L59" s="3">
        <f>+'CUOTA INDUSTRIAL'!J53</f>
        <v>-16.41599999999994</v>
      </c>
      <c r="M59" s="66">
        <f>+'CUOTA INDUSTRIAL'!K53</f>
        <v>0</v>
      </c>
      <c r="N59" s="4" t="s">
        <v>82</v>
      </c>
      <c r="O59" s="5">
        <f>RESUMEN!$B$3</f>
        <v>44895</v>
      </c>
      <c r="P59" s="1">
        <f t="shared" si="0"/>
        <v>2022</v>
      </c>
      <c r="Q59" s="1"/>
    </row>
    <row r="60" spans="1:17">
      <c r="A60" s="2" t="s">
        <v>65</v>
      </c>
      <c r="B60" s="1" t="s">
        <v>57</v>
      </c>
      <c r="C60" s="1" t="s">
        <v>66</v>
      </c>
      <c r="D60" s="1" t="s">
        <v>58</v>
      </c>
      <c r="E60" s="1" t="str">
        <f>+'CUOTA INDUSTRIAL'!C$53</f>
        <v>COMERCIAL Y CONSERVERA SAN LAZARO LIMITADA</v>
      </c>
      <c r="F60" s="1" t="s">
        <v>61</v>
      </c>
      <c r="G60" s="1" t="s">
        <v>62</v>
      </c>
      <c r="H60" s="3">
        <f>+'CUOTA INDUSTRIAL'!F54</f>
        <v>16.416</v>
      </c>
      <c r="I60" s="3">
        <f>+'CUOTA INDUSTRIAL'!G54</f>
        <v>0</v>
      </c>
      <c r="J60" s="3">
        <f>+'CUOTA INDUSTRIAL'!H54</f>
        <v>6.0396132539608516E-14</v>
      </c>
      <c r="K60" s="3">
        <f>+'CUOTA INDUSTRIAL'!I54</f>
        <v>0</v>
      </c>
      <c r="L60" s="3">
        <f>+'CUOTA INDUSTRIAL'!J54</f>
        <v>6.0396132539608516E-14</v>
      </c>
      <c r="M60" s="66">
        <f>+'CUOTA INDUSTRIAL'!K54</f>
        <v>0</v>
      </c>
      <c r="N60" s="4" t="s">
        <v>82</v>
      </c>
      <c r="O60" s="5">
        <f>RESUMEN!$B$3</f>
        <v>44895</v>
      </c>
      <c r="P60" s="1">
        <f t="shared" si="0"/>
        <v>2022</v>
      </c>
      <c r="Q60" s="1"/>
    </row>
    <row r="61" spans="1:17">
      <c r="A61" s="2" t="s">
        <v>65</v>
      </c>
      <c r="B61" s="1" t="s">
        <v>57</v>
      </c>
      <c r="C61" s="1" t="s">
        <v>66</v>
      </c>
      <c r="D61" s="1" t="s">
        <v>58</v>
      </c>
      <c r="E61" s="1" t="str">
        <f>+'CUOTA INDUSTRIAL'!C$53</f>
        <v>COMERCIAL Y CONSERVERA SAN LAZARO LIMITADA</v>
      </c>
      <c r="F61" s="1" t="s">
        <v>59</v>
      </c>
      <c r="G61" s="1" t="s">
        <v>62</v>
      </c>
      <c r="H61" s="3">
        <f>'CUOTA INDUSTRIAL'!L53</f>
        <v>821.42400000000009</v>
      </c>
      <c r="I61" s="3">
        <f>'CUOTA INDUSTRIAL'!M53</f>
        <v>-821.42399999999998</v>
      </c>
      <c r="J61" s="3">
        <f>'CUOTA INDUSTRIAL'!N53</f>
        <v>0</v>
      </c>
      <c r="K61" s="3">
        <f>'CUOTA INDUSTRIAL'!O53</f>
        <v>0</v>
      </c>
      <c r="L61" s="3">
        <f>'CUOTA INDUSTRIAL'!P53</f>
        <v>0</v>
      </c>
      <c r="M61" s="66">
        <f>'CUOTA INDUSTRIAL'!Q53</f>
        <v>0</v>
      </c>
      <c r="N61" s="4" t="s">
        <v>82</v>
      </c>
      <c r="O61" s="5">
        <f>RESUMEN!$B$3</f>
        <v>44895</v>
      </c>
      <c r="P61" s="1">
        <f t="shared" si="0"/>
        <v>2022</v>
      </c>
      <c r="Q61" s="1"/>
    </row>
    <row r="62" spans="1:17">
      <c r="A62" s="2" t="s">
        <v>65</v>
      </c>
      <c r="B62" s="1" t="s">
        <v>57</v>
      </c>
      <c r="C62" s="1" t="s">
        <v>66</v>
      </c>
      <c r="D62" s="1" t="s">
        <v>58</v>
      </c>
      <c r="E62" s="1" t="str">
        <f>'CUOTA INDUSTRIAL'!C55</f>
        <v>THOR FISHIRIES CHILE SPA</v>
      </c>
      <c r="F62" s="1" t="s">
        <v>59</v>
      </c>
      <c r="G62" s="1" t="s">
        <v>60</v>
      </c>
      <c r="H62" s="3">
        <f>'CUOTA INDUSTRIAL'!F55</f>
        <v>0.16771000000000003</v>
      </c>
      <c r="I62" s="3">
        <f>'CUOTA INDUSTRIAL'!G55</f>
        <v>0.17113</v>
      </c>
      <c r="J62" s="3">
        <f>'CUOTA INDUSTRIAL'!H55</f>
        <v>0.33884000000000003</v>
      </c>
      <c r="K62" s="3">
        <f>'CUOTA INDUSTRIAL'!I55</f>
        <v>0</v>
      </c>
      <c r="L62" s="3">
        <f>'CUOTA INDUSTRIAL'!J55</f>
        <v>0.33884000000000003</v>
      </c>
      <c r="M62" s="66">
        <f>'CUOTA INDUSTRIAL'!K55</f>
        <v>0</v>
      </c>
      <c r="N62" s="4" t="s">
        <v>82</v>
      </c>
      <c r="O62" s="5">
        <f>RESUMEN!$B$3</f>
        <v>44895</v>
      </c>
      <c r="P62" s="1">
        <f t="shared" ref="P62:P64" si="2">YEAR(O62)</f>
        <v>2022</v>
      </c>
      <c r="Q62" s="1"/>
    </row>
    <row r="63" spans="1:17">
      <c r="A63" s="2" t="s">
        <v>65</v>
      </c>
      <c r="B63" s="1" t="s">
        <v>57</v>
      </c>
      <c r="C63" s="1" t="s">
        <v>66</v>
      </c>
      <c r="D63" s="1" t="s">
        <v>58</v>
      </c>
      <c r="E63" s="1" t="str">
        <f>'CUOTA INDUSTRIAL'!C55</f>
        <v>THOR FISHIRIES CHILE SPA</v>
      </c>
      <c r="F63" s="1" t="s">
        <v>61</v>
      </c>
      <c r="G63" s="1" t="s">
        <v>62</v>
      </c>
      <c r="H63" s="3">
        <f>'CUOTA INDUSTRIAL'!F56</f>
        <v>3.4200000000000003E-3</v>
      </c>
      <c r="I63" s="3">
        <f>'CUOTA INDUSTRIAL'!G56</f>
        <v>0</v>
      </c>
      <c r="J63" s="3">
        <f>'CUOTA INDUSTRIAL'!H56</f>
        <v>0.34226000000000001</v>
      </c>
      <c r="K63" s="3">
        <f>'CUOTA INDUSTRIAL'!I56</f>
        <v>0</v>
      </c>
      <c r="L63" s="3">
        <f>'CUOTA INDUSTRIAL'!J56</f>
        <v>0.34226000000000001</v>
      </c>
      <c r="M63" s="66">
        <f>'CUOTA INDUSTRIAL'!K56</f>
        <v>0</v>
      </c>
      <c r="N63" s="4" t="s">
        <v>82</v>
      </c>
      <c r="O63" s="5">
        <f>RESUMEN!$B$3</f>
        <v>44895</v>
      </c>
      <c r="P63" s="1">
        <f t="shared" si="2"/>
        <v>2022</v>
      </c>
      <c r="Q63" s="1"/>
    </row>
    <row r="64" spans="1:17">
      <c r="A64" s="2" t="s">
        <v>65</v>
      </c>
      <c r="B64" s="1" t="s">
        <v>57</v>
      </c>
      <c r="C64" s="1" t="s">
        <v>66</v>
      </c>
      <c r="D64" s="1" t="s">
        <v>58</v>
      </c>
      <c r="E64" s="1" t="str">
        <f>'CUOTA INDUSTRIAL'!C55</f>
        <v>THOR FISHIRIES CHILE SPA</v>
      </c>
      <c r="F64" s="1" t="s">
        <v>59</v>
      </c>
      <c r="G64" s="1" t="s">
        <v>62</v>
      </c>
      <c r="H64" s="3">
        <f>'CUOTA INDUSTRIAL'!L55</f>
        <v>0.17113000000000003</v>
      </c>
      <c r="I64" s="3">
        <f>'CUOTA INDUSTRIAL'!M55</f>
        <v>0.17113</v>
      </c>
      <c r="J64" s="3">
        <f>'CUOTA INDUSTRIAL'!N55</f>
        <v>0.34226000000000001</v>
      </c>
      <c r="K64" s="3">
        <f>'CUOTA INDUSTRIAL'!O55</f>
        <v>0</v>
      </c>
      <c r="L64" s="3">
        <f>'CUOTA INDUSTRIAL'!P55</f>
        <v>0.34226000000000001</v>
      </c>
      <c r="M64" s="66">
        <f>'CUOTA INDUSTRIAL'!Q55</f>
        <v>0</v>
      </c>
      <c r="N64" s="4" t="s">
        <v>82</v>
      </c>
      <c r="O64" s="5">
        <f>RESUMEN!$B$3</f>
        <v>44895</v>
      </c>
      <c r="P64" s="1">
        <f t="shared" si="2"/>
        <v>2022</v>
      </c>
      <c r="Q64" s="1"/>
    </row>
    <row r="65" spans="1:17">
      <c r="A65" s="2" t="s">
        <v>68</v>
      </c>
      <c r="B65" s="1" t="s">
        <v>57</v>
      </c>
      <c r="C65" s="1" t="s">
        <v>36</v>
      </c>
      <c r="D65" s="1" t="s">
        <v>58</v>
      </c>
      <c r="E65" s="1" t="str">
        <f>+'CUOTA INDUSTRIAL'!C$66</f>
        <v xml:space="preserve">ALIMENTOS MARINOS S.A.    </v>
      </c>
      <c r="F65" s="1" t="s">
        <v>59</v>
      </c>
      <c r="G65" s="1" t="s">
        <v>60</v>
      </c>
      <c r="H65" s="3">
        <f>'CUOTA INDUSTRIAL'!F66</f>
        <v>43165.467149999997</v>
      </c>
      <c r="I65" s="3">
        <f>'CUOTA INDUSTRIAL'!G66</f>
        <v>7193</v>
      </c>
      <c r="J65" s="3">
        <f>'CUOTA INDUSTRIAL'!H66</f>
        <v>50358.467149999997</v>
      </c>
      <c r="K65" s="3">
        <f>'CUOTA INDUSTRIAL'!I66</f>
        <v>51177.779000000002</v>
      </c>
      <c r="L65" s="3">
        <f>'CUOTA INDUSTRIAL'!J66</f>
        <v>-819.31185000000551</v>
      </c>
      <c r="M65" s="66">
        <f>'CUOTA INDUSTRIAL'!K66</f>
        <v>1.0162695946951594</v>
      </c>
      <c r="N65" s="4" t="s">
        <v>82</v>
      </c>
      <c r="O65" s="5">
        <f>RESUMEN!$B$3</f>
        <v>44895</v>
      </c>
      <c r="P65" s="1">
        <f t="shared" si="0"/>
        <v>2022</v>
      </c>
      <c r="Q65" s="1"/>
    </row>
    <row r="66" spans="1:17">
      <c r="A66" s="2" t="s">
        <v>68</v>
      </c>
      <c r="B66" s="1" t="s">
        <v>57</v>
      </c>
      <c r="C66" s="1" t="s">
        <v>36</v>
      </c>
      <c r="D66" s="1" t="s">
        <v>58</v>
      </c>
      <c r="E66" s="1" t="str">
        <f>+'CUOTA INDUSTRIAL'!C$66</f>
        <v xml:space="preserve">ALIMENTOS MARINOS S.A.    </v>
      </c>
      <c r="F66" s="1" t="s">
        <v>61</v>
      </c>
      <c r="G66" s="1" t="s">
        <v>62</v>
      </c>
      <c r="H66" s="3">
        <f>'CUOTA INDUSTRIAL'!F67</f>
        <v>880.94749079999997</v>
      </c>
      <c r="I66" s="3">
        <f>'CUOTA INDUSTRIAL'!G67</f>
        <v>0</v>
      </c>
      <c r="J66" s="3">
        <f>'CUOTA INDUSTRIAL'!H67</f>
        <v>61.635640799994462</v>
      </c>
      <c r="K66" s="3">
        <f>'CUOTA INDUSTRIAL'!I67</f>
        <v>0</v>
      </c>
      <c r="L66" s="3">
        <f>'CUOTA INDUSTRIAL'!J67</f>
        <v>61.635640799994462</v>
      </c>
      <c r="M66" s="66">
        <f>'CUOTA INDUSTRIAL'!K67</f>
        <v>0</v>
      </c>
      <c r="N66" s="4" t="s">
        <v>82</v>
      </c>
      <c r="O66" s="5">
        <f>RESUMEN!$B$3</f>
        <v>44895</v>
      </c>
      <c r="P66" s="1">
        <f t="shared" ref="P66:P120" si="3">YEAR(O66)</f>
        <v>2022</v>
      </c>
      <c r="Q66" s="1"/>
    </row>
    <row r="67" spans="1:17">
      <c r="A67" s="2" t="s">
        <v>68</v>
      </c>
      <c r="B67" s="1" t="s">
        <v>57</v>
      </c>
      <c r="C67" s="1" t="s">
        <v>36</v>
      </c>
      <c r="D67" s="1" t="s">
        <v>58</v>
      </c>
      <c r="E67" s="1" t="str">
        <f>+'CUOTA INDUSTRIAL'!C$66</f>
        <v xml:space="preserve">ALIMENTOS MARINOS S.A.    </v>
      </c>
      <c r="F67" s="1" t="s">
        <v>59</v>
      </c>
      <c r="G67" s="1" t="s">
        <v>62</v>
      </c>
      <c r="H67" s="3">
        <f>'CUOTA INDUSTRIAL'!L66</f>
        <v>44046.414640799994</v>
      </c>
      <c r="I67" s="3">
        <f>'CUOTA INDUSTRIAL'!M66</f>
        <v>7193</v>
      </c>
      <c r="J67" s="3">
        <f>'CUOTA INDUSTRIAL'!N66</f>
        <v>51239.414640799994</v>
      </c>
      <c r="K67" s="3">
        <f>'CUOTA INDUSTRIAL'!O66</f>
        <v>51177.779000000002</v>
      </c>
      <c r="L67" s="3">
        <f>'CUOTA INDUSTRIAL'!P66</f>
        <v>61.635640799991961</v>
      </c>
      <c r="M67" s="66">
        <f>'CUOTA INDUSTRIAL'!Q66</f>
        <v>0.99879710489996676</v>
      </c>
      <c r="N67" s="4" t="s">
        <v>82</v>
      </c>
      <c r="O67" s="5">
        <f>RESUMEN!$B$3</f>
        <v>44895</v>
      </c>
      <c r="P67" s="1">
        <f t="shared" si="3"/>
        <v>2022</v>
      </c>
      <c r="Q67" s="1"/>
    </row>
    <row r="68" spans="1:17">
      <c r="A68" s="2" t="s">
        <v>68</v>
      </c>
      <c r="B68" s="1" t="s">
        <v>57</v>
      </c>
      <c r="C68" s="1" t="s">
        <v>36</v>
      </c>
      <c r="D68" s="1" t="s">
        <v>58</v>
      </c>
      <c r="E68" s="1" t="str">
        <f>+'CUOTA INDUSTRIAL'!C$68</f>
        <v xml:space="preserve">BLUMAR S.A.             </v>
      </c>
      <c r="F68" s="1" t="s">
        <v>59</v>
      </c>
      <c r="G68" s="1" t="s">
        <v>60</v>
      </c>
      <c r="H68" s="3">
        <f>+'CUOTA INDUSTRIAL'!F68</f>
        <v>74428.749450000003</v>
      </c>
      <c r="I68" s="3">
        <f>+'CUOTA INDUSTRIAL'!G68</f>
        <v>13800</v>
      </c>
      <c r="J68" s="3">
        <f>+'CUOTA INDUSTRIAL'!H68</f>
        <v>88228.749450000003</v>
      </c>
      <c r="K68" s="3">
        <f>+'CUOTA INDUSTRIAL'!I68</f>
        <v>87078.861999999994</v>
      </c>
      <c r="L68" s="3">
        <f>+'CUOTA INDUSTRIAL'!J68</f>
        <v>1149.8874500000093</v>
      </c>
      <c r="M68" s="66">
        <f>+'CUOTA INDUSTRIAL'!K68</f>
        <v>0.98696697553611301</v>
      </c>
      <c r="N68" s="4" t="s">
        <v>82</v>
      </c>
      <c r="O68" s="5">
        <f>RESUMEN!$B$3</f>
        <v>44895</v>
      </c>
      <c r="P68" s="1">
        <f t="shared" si="3"/>
        <v>2022</v>
      </c>
      <c r="Q68" s="1"/>
    </row>
    <row r="69" spans="1:17">
      <c r="A69" s="2" t="s">
        <v>68</v>
      </c>
      <c r="B69" s="1" t="s">
        <v>57</v>
      </c>
      <c r="C69" s="1" t="s">
        <v>36</v>
      </c>
      <c r="D69" s="1" t="s">
        <v>58</v>
      </c>
      <c r="E69" s="1" t="str">
        <f>+'CUOTA INDUSTRIAL'!C$68</f>
        <v xml:space="preserve">BLUMAR S.A.             </v>
      </c>
      <c r="F69" s="1" t="s">
        <v>61</v>
      </c>
      <c r="G69" s="1" t="s">
        <v>62</v>
      </c>
      <c r="H69" s="3">
        <f>+'CUOTA INDUSTRIAL'!F69</f>
        <v>1518.9878484000001</v>
      </c>
      <c r="I69" s="3">
        <f>+'CUOTA INDUSTRIAL'!G69</f>
        <v>705.06399999999996</v>
      </c>
      <c r="J69" s="3">
        <f>+'CUOTA INDUSTRIAL'!H69</f>
        <v>3373.9392984000092</v>
      </c>
      <c r="K69" s="3">
        <f>+'CUOTA INDUSTRIAL'!I69</f>
        <v>0</v>
      </c>
      <c r="L69" s="3">
        <f>+'CUOTA INDUSTRIAL'!J69</f>
        <v>3373.9392984000092</v>
      </c>
      <c r="M69" s="66">
        <f>+'CUOTA INDUSTRIAL'!K69</f>
        <v>0</v>
      </c>
      <c r="N69" s="4" t="s">
        <v>82</v>
      </c>
      <c r="O69" s="5">
        <f>RESUMEN!$B$3</f>
        <v>44895</v>
      </c>
      <c r="P69" s="1">
        <f t="shared" si="3"/>
        <v>2022</v>
      </c>
      <c r="Q69" s="1"/>
    </row>
    <row r="70" spans="1:17">
      <c r="A70" s="2" t="s">
        <v>68</v>
      </c>
      <c r="B70" s="1" t="s">
        <v>57</v>
      </c>
      <c r="C70" s="1" t="s">
        <v>36</v>
      </c>
      <c r="D70" s="1" t="s">
        <v>58</v>
      </c>
      <c r="E70" s="1" t="str">
        <f>+'CUOTA INDUSTRIAL'!C$68</f>
        <v xml:space="preserve">BLUMAR S.A.             </v>
      </c>
      <c r="F70" s="1" t="s">
        <v>59</v>
      </c>
      <c r="G70" s="1" t="s">
        <v>62</v>
      </c>
      <c r="H70" s="3">
        <f>'CUOTA INDUSTRIAL'!L68</f>
        <v>75947.737298399996</v>
      </c>
      <c r="I70" s="3">
        <f>'CUOTA INDUSTRIAL'!M68</f>
        <v>14505.064</v>
      </c>
      <c r="J70" s="3">
        <f>'CUOTA INDUSTRIAL'!N68</f>
        <v>90452.801298399994</v>
      </c>
      <c r="K70" s="3">
        <f>'CUOTA INDUSTRIAL'!O68</f>
        <v>87078.861999999994</v>
      </c>
      <c r="L70" s="3">
        <f>'CUOTA INDUSTRIAL'!P68</f>
        <v>3373.9392984000006</v>
      </c>
      <c r="M70" s="66">
        <f>'CUOTA INDUSTRIAL'!Q68</f>
        <v>0.96269944932640039</v>
      </c>
      <c r="N70" s="4" t="s">
        <v>82</v>
      </c>
      <c r="O70" s="5">
        <f>RESUMEN!$B$3</f>
        <v>44895</v>
      </c>
      <c r="P70" s="1">
        <f t="shared" si="3"/>
        <v>2022</v>
      </c>
      <c r="Q70" s="1"/>
    </row>
    <row r="71" spans="1:17">
      <c r="A71" s="2" t="s">
        <v>68</v>
      </c>
      <c r="B71" s="1" t="s">
        <v>57</v>
      </c>
      <c r="C71" s="1" t="s">
        <v>36</v>
      </c>
      <c r="D71" s="1" t="s">
        <v>58</v>
      </c>
      <c r="E71" s="1" t="str">
        <f>+'CUOTA INDUSTRIAL'!C$70</f>
        <v>CAMANCHACA PESCA SUR S.A.</v>
      </c>
      <c r="F71" s="1" t="s">
        <v>59</v>
      </c>
      <c r="G71" s="1" t="s">
        <v>60</v>
      </c>
      <c r="H71" s="3">
        <f>+'CUOTA INDUSTRIAL'!F70</f>
        <v>61348.0236</v>
      </c>
      <c r="I71" s="3">
        <f>+'CUOTA INDUSTRIAL'!G70</f>
        <v>16817.852000000003</v>
      </c>
      <c r="J71" s="3">
        <f>+'CUOTA INDUSTRIAL'!H70</f>
        <v>78165.875599999999</v>
      </c>
      <c r="K71" s="3">
        <f>+'CUOTA INDUSTRIAL'!I70</f>
        <v>78805.634000000005</v>
      </c>
      <c r="L71" s="3">
        <f>+'CUOTA INDUSTRIAL'!J70</f>
        <v>-639.75840000000608</v>
      </c>
      <c r="M71" s="66">
        <f>+'CUOTA INDUSTRIAL'!K70</f>
        <v>1.0081846252612054</v>
      </c>
      <c r="N71" s="4" t="s">
        <v>82</v>
      </c>
      <c r="O71" s="5">
        <f>RESUMEN!$B$3</f>
        <v>44895</v>
      </c>
      <c r="P71" s="1">
        <f t="shared" si="3"/>
        <v>2022</v>
      </c>
      <c r="Q71" s="1"/>
    </row>
    <row r="72" spans="1:17">
      <c r="A72" s="2" t="s">
        <v>68</v>
      </c>
      <c r="B72" s="1" t="s">
        <v>57</v>
      </c>
      <c r="C72" s="1" t="s">
        <v>36</v>
      </c>
      <c r="D72" s="1" t="s">
        <v>58</v>
      </c>
      <c r="E72" s="1" t="str">
        <f>+'CUOTA INDUSTRIAL'!C$70</f>
        <v>CAMANCHACA PESCA SUR S.A.</v>
      </c>
      <c r="F72" s="1" t="s">
        <v>61</v>
      </c>
      <c r="G72" s="1" t="s">
        <v>62</v>
      </c>
      <c r="H72" s="3">
        <f>'CUOTA INDUSTRIAL'!F71</f>
        <v>1252.0283231999999</v>
      </c>
      <c r="I72" s="3">
        <f>'CUOTA INDUSTRIAL'!G71</f>
        <v>0</v>
      </c>
      <c r="J72" s="3">
        <f>'CUOTA INDUSTRIAL'!H71</f>
        <v>612.26992319999385</v>
      </c>
      <c r="K72" s="3">
        <f>'CUOTA INDUSTRIAL'!I71</f>
        <v>0</v>
      </c>
      <c r="L72" s="3">
        <f>'CUOTA INDUSTRIAL'!J71</f>
        <v>612.26992319999385</v>
      </c>
      <c r="M72" s="66">
        <f>'CUOTA INDUSTRIAL'!K71</f>
        <v>0</v>
      </c>
      <c r="N72" s="4" t="s">
        <v>82</v>
      </c>
      <c r="O72" s="5">
        <f>RESUMEN!$B$3</f>
        <v>44895</v>
      </c>
      <c r="P72" s="1">
        <f t="shared" si="3"/>
        <v>2022</v>
      </c>
      <c r="Q72" s="1"/>
    </row>
    <row r="73" spans="1:17">
      <c r="A73" s="2" t="s">
        <v>68</v>
      </c>
      <c r="B73" s="1" t="s">
        <v>57</v>
      </c>
      <c r="C73" s="1" t="s">
        <v>36</v>
      </c>
      <c r="D73" s="1" t="s">
        <v>58</v>
      </c>
      <c r="E73" s="1" t="str">
        <f>+'CUOTA INDUSTRIAL'!C$70</f>
        <v>CAMANCHACA PESCA SUR S.A.</v>
      </c>
      <c r="F73" s="1" t="s">
        <v>59</v>
      </c>
      <c r="G73" s="1" t="s">
        <v>62</v>
      </c>
      <c r="H73" s="3">
        <f>'CUOTA INDUSTRIAL'!L70</f>
        <v>62600.051923200001</v>
      </c>
      <c r="I73" s="3">
        <f>'CUOTA INDUSTRIAL'!M70</f>
        <v>16817.852000000003</v>
      </c>
      <c r="J73" s="3">
        <f>'CUOTA INDUSTRIAL'!N70</f>
        <v>79417.903923200007</v>
      </c>
      <c r="K73" s="3">
        <f>'CUOTA INDUSTRIAL'!O70</f>
        <v>78805.634000000005</v>
      </c>
      <c r="L73" s="3">
        <f>'CUOTA INDUSTRIAL'!P70</f>
        <v>612.26992320000136</v>
      </c>
      <c r="M73" s="66">
        <f>'CUOTA INDUSTRIAL'!Q70</f>
        <v>0.99229053030923497</v>
      </c>
      <c r="N73" s="4" t="s">
        <v>82</v>
      </c>
      <c r="O73" s="5">
        <f>RESUMEN!$B$3</f>
        <v>44895</v>
      </c>
      <c r="P73" s="1">
        <f t="shared" si="3"/>
        <v>2022</v>
      </c>
      <c r="Q73" s="1"/>
    </row>
    <row r="74" spans="1:17">
      <c r="A74" s="2" t="s">
        <v>68</v>
      </c>
      <c r="B74" s="1" t="s">
        <v>57</v>
      </c>
      <c r="C74" s="1" t="s">
        <v>36</v>
      </c>
      <c r="D74" s="1" t="s">
        <v>58</v>
      </c>
      <c r="E74" s="1" t="str">
        <f>+'CUOTA INDUSTRIAL'!C$72</f>
        <v>CAMANCHACA S.A.</v>
      </c>
      <c r="F74" s="1" t="s">
        <v>59</v>
      </c>
      <c r="G74" s="1" t="s">
        <v>60</v>
      </c>
      <c r="H74" s="3">
        <f>+'CUOTA INDUSTRIAL'!F72</f>
        <v>851.42032499999993</v>
      </c>
      <c r="I74" s="3">
        <f>+'CUOTA INDUSTRIAL'!G72</f>
        <v>-868.79700000000003</v>
      </c>
      <c r="J74" s="3">
        <f>+'CUOTA INDUSTRIAL'!H72</f>
        <v>-17.376675000000091</v>
      </c>
      <c r="K74" s="3">
        <f>+'CUOTA INDUSTRIAL'!I72</f>
        <v>0</v>
      </c>
      <c r="L74" s="3">
        <f>+'CUOTA INDUSTRIAL'!J72</f>
        <v>-17.376675000000091</v>
      </c>
      <c r="M74" s="66">
        <f>+'CUOTA INDUSTRIAL'!K72</f>
        <v>0</v>
      </c>
      <c r="N74" s="4" t="s">
        <v>82</v>
      </c>
      <c r="O74" s="5">
        <f>RESUMEN!$B$3</f>
        <v>44895</v>
      </c>
      <c r="P74" s="1">
        <f t="shared" si="3"/>
        <v>2022</v>
      </c>
      <c r="Q74" s="1"/>
    </row>
    <row r="75" spans="1:17">
      <c r="A75" s="2" t="s">
        <v>68</v>
      </c>
      <c r="B75" s="1" t="s">
        <v>57</v>
      </c>
      <c r="C75" s="1" t="s">
        <v>36</v>
      </c>
      <c r="D75" s="1" t="s">
        <v>58</v>
      </c>
      <c r="E75" s="1" t="str">
        <f>+'CUOTA INDUSTRIAL'!C$72</f>
        <v>CAMANCHACA S.A.</v>
      </c>
      <c r="F75" s="1" t="s">
        <v>61</v>
      </c>
      <c r="G75" s="1" t="s">
        <v>62</v>
      </c>
      <c r="H75" s="3">
        <f>'CUOTA INDUSTRIAL'!F73</f>
        <v>17.376311399999999</v>
      </c>
      <c r="I75" s="3">
        <f>'CUOTA INDUSTRIAL'!G73</f>
        <v>0</v>
      </c>
      <c r="J75" s="3">
        <f>'CUOTA INDUSTRIAL'!H73</f>
        <v>-3.6360000009239002E-4</v>
      </c>
      <c r="K75" s="3">
        <f>'CUOTA INDUSTRIAL'!I73</f>
        <v>0</v>
      </c>
      <c r="L75" s="3">
        <f>'CUOTA INDUSTRIAL'!J73</f>
        <v>-3.6360000009239002E-4</v>
      </c>
      <c r="M75" s="66">
        <f>'CUOTA INDUSTRIAL'!K73</f>
        <v>0</v>
      </c>
      <c r="N75" s="4" t="s">
        <v>82</v>
      </c>
      <c r="O75" s="5">
        <f>RESUMEN!$B$3</f>
        <v>44895</v>
      </c>
      <c r="P75" s="1">
        <f t="shared" si="3"/>
        <v>2022</v>
      </c>
      <c r="Q75" s="1"/>
    </row>
    <row r="76" spans="1:17">
      <c r="A76" s="2" t="s">
        <v>68</v>
      </c>
      <c r="B76" s="1" t="s">
        <v>57</v>
      </c>
      <c r="C76" s="1" t="s">
        <v>36</v>
      </c>
      <c r="D76" s="1" t="s">
        <v>58</v>
      </c>
      <c r="E76" s="1" t="str">
        <f>+'CUOTA INDUSTRIAL'!C$72</f>
        <v>CAMANCHACA S.A.</v>
      </c>
      <c r="F76" s="1" t="s">
        <v>59</v>
      </c>
      <c r="G76" s="1" t="s">
        <v>62</v>
      </c>
      <c r="H76" s="3">
        <f>'CUOTA INDUSTRIAL'!L72</f>
        <v>868.7966363999999</v>
      </c>
      <c r="I76" s="3">
        <f>'CUOTA INDUSTRIAL'!M72</f>
        <v>-868.79700000000003</v>
      </c>
      <c r="J76" s="3">
        <f>'CUOTA INDUSTRIAL'!N72</f>
        <v>-3.6360000012791716E-4</v>
      </c>
      <c r="K76" s="3">
        <f>'CUOTA INDUSTRIAL'!O72</f>
        <v>0</v>
      </c>
      <c r="L76" s="3">
        <f>'CUOTA INDUSTRIAL'!P72</f>
        <v>-3.6360000012791716E-4</v>
      </c>
      <c r="M76" s="66">
        <f>'CUOTA INDUSTRIAL'!Q72</f>
        <v>0</v>
      </c>
      <c r="N76" s="4" t="s">
        <v>82</v>
      </c>
      <c r="O76" s="5">
        <f>RESUMEN!$B$3</f>
        <v>44895</v>
      </c>
      <c r="P76" s="1">
        <f t="shared" si="3"/>
        <v>2022</v>
      </c>
      <c r="Q76" s="1"/>
    </row>
    <row r="77" spans="1:17">
      <c r="A77" s="2" t="s">
        <v>68</v>
      </c>
      <c r="B77" s="1" t="s">
        <v>57</v>
      </c>
      <c r="C77" s="1" t="s">
        <v>36</v>
      </c>
      <c r="D77" s="1" t="s">
        <v>58</v>
      </c>
      <c r="E77" s="1" t="str">
        <f>+'CUOTA INDUSTRIAL'!C$74</f>
        <v xml:space="preserve">LITORAL SpA PESQ   </v>
      </c>
      <c r="F77" s="1" t="s">
        <v>59</v>
      </c>
      <c r="G77" s="1" t="s">
        <v>60</v>
      </c>
      <c r="H77" s="3">
        <f>+'CUOTA INDUSTRIAL'!F74</f>
        <v>19451.034950000001</v>
      </c>
      <c r="I77" s="3">
        <f>+'CUOTA INDUSTRIAL'!G74</f>
        <v>7477.33</v>
      </c>
      <c r="J77" s="3">
        <f>+'CUOTA INDUSTRIAL'!H74</f>
        <v>26928.364950000003</v>
      </c>
      <c r="K77" s="3">
        <f>+'CUOTA INDUSTRIAL'!I74</f>
        <v>26391.376</v>
      </c>
      <c r="L77" s="3">
        <f>+'CUOTA INDUSTRIAL'!J74</f>
        <v>536.98895000000266</v>
      </c>
      <c r="M77" s="66">
        <f>+'CUOTA INDUSTRIAL'!K74</f>
        <v>0.98005861287913054</v>
      </c>
      <c r="N77" s="4" t="s">
        <v>82</v>
      </c>
      <c r="O77" s="5">
        <f>RESUMEN!$B$3</f>
        <v>44895</v>
      </c>
      <c r="P77" s="1">
        <f t="shared" si="3"/>
        <v>2022</v>
      </c>
      <c r="Q77" s="1"/>
    </row>
    <row r="78" spans="1:17">
      <c r="A78" s="2" t="s">
        <v>68</v>
      </c>
      <c r="B78" s="1" t="s">
        <v>57</v>
      </c>
      <c r="C78" s="1" t="s">
        <v>36</v>
      </c>
      <c r="D78" s="1" t="s">
        <v>58</v>
      </c>
      <c r="E78" s="1" t="str">
        <f>+'CUOTA INDUSTRIAL'!C$74</f>
        <v xml:space="preserve">LITORAL SpA PESQ   </v>
      </c>
      <c r="F78" s="1" t="s">
        <v>61</v>
      </c>
      <c r="G78" s="1" t="s">
        <v>62</v>
      </c>
      <c r="H78" s="3">
        <f>+'CUOTA INDUSTRIAL'!F75</f>
        <v>396.96872440000004</v>
      </c>
      <c r="I78" s="3">
        <f>+'CUOTA INDUSTRIAL'!G75</f>
        <v>168</v>
      </c>
      <c r="J78" s="3">
        <f>+'CUOTA INDUSTRIAL'!H75</f>
        <v>1101.9576744000028</v>
      </c>
      <c r="K78" s="3">
        <f>+'CUOTA INDUSTRIAL'!I75</f>
        <v>0</v>
      </c>
      <c r="L78" s="3">
        <f>+'CUOTA INDUSTRIAL'!J75</f>
        <v>1101.9576744000028</v>
      </c>
      <c r="M78" s="66">
        <f>+'CUOTA INDUSTRIAL'!K75</f>
        <v>0</v>
      </c>
      <c r="N78" s="4" t="s">
        <v>82</v>
      </c>
      <c r="O78" s="5">
        <f>RESUMEN!$B$3</f>
        <v>44895</v>
      </c>
      <c r="P78" s="1">
        <f t="shared" si="3"/>
        <v>2022</v>
      </c>
      <c r="Q78" s="1"/>
    </row>
    <row r="79" spans="1:17">
      <c r="A79" s="2" t="s">
        <v>68</v>
      </c>
      <c r="B79" s="1" t="s">
        <v>57</v>
      </c>
      <c r="C79" s="1" t="s">
        <v>36</v>
      </c>
      <c r="D79" s="1" t="s">
        <v>58</v>
      </c>
      <c r="E79" s="1" t="str">
        <f>+'CUOTA INDUSTRIAL'!C$74</f>
        <v xml:space="preserve">LITORAL SpA PESQ   </v>
      </c>
      <c r="F79" s="1" t="s">
        <v>59</v>
      </c>
      <c r="G79" s="1" t="s">
        <v>62</v>
      </c>
      <c r="H79" s="3">
        <f>'CUOTA INDUSTRIAL'!L74</f>
        <v>19848.003674400003</v>
      </c>
      <c r="I79" s="3">
        <f>'CUOTA INDUSTRIAL'!M74</f>
        <v>7645.33</v>
      </c>
      <c r="J79" s="3">
        <f>'CUOTA INDUSTRIAL'!N74</f>
        <v>27493.333674400004</v>
      </c>
      <c r="K79" s="3">
        <f>'CUOTA INDUSTRIAL'!O74</f>
        <v>26391.376</v>
      </c>
      <c r="L79" s="3">
        <f>'CUOTA INDUSTRIAL'!P74</f>
        <v>1101.9576744000042</v>
      </c>
      <c r="M79" s="66">
        <f>'CUOTA INDUSTRIAL'!Q74</f>
        <v>0.95991909575425283</v>
      </c>
      <c r="N79" s="4" t="s">
        <v>82</v>
      </c>
      <c r="O79" s="5">
        <f>RESUMEN!$B$3</f>
        <v>44895</v>
      </c>
      <c r="P79" s="1">
        <f t="shared" si="3"/>
        <v>2022</v>
      </c>
      <c r="Q79" s="1"/>
    </row>
    <row r="80" spans="1:17">
      <c r="A80" s="2" t="s">
        <v>68</v>
      </c>
      <c r="B80" s="1" t="s">
        <v>57</v>
      </c>
      <c r="C80" s="1" t="s">
        <v>36</v>
      </c>
      <c r="D80" s="1" t="s">
        <v>58</v>
      </c>
      <c r="E80" s="1" t="str">
        <f>+'CUOTA INDUSTRIAL'!C$76</f>
        <v xml:space="preserve">FOODCORP CHILE S.A.   </v>
      </c>
      <c r="F80" s="1" t="s">
        <v>59</v>
      </c>
      <c r="G80" s="1" t="s">
        <v>60</v>
      </c>
      <c r="H80" s="3">
        <f>+'CUOTA INDUSTRIAL'!F76</f>
        <v>36900.097125</v>
      </c>
      <c r="I80" s="3">
        <f>+'CUOTA INDUSTRIAL'!G76</f>
        <v>8201.116</v>
      </c>
      <c r="J80" s="3">
        <f>+'CUOTA INDUSTRIAL'!H76</f>
        <v>45101.213125000002</v>
      </c>
      <c r="K80" s="3">
        <f>+'CUOTA INDUSTRIAL'!I76</f>
        <v>45780.326999999997</v>
      </c>
      <c r="L80" s="3">
        <f>+'CUOTA INDUSTRIAL'!J76</f>
        <v>-679.11387499999546</v>
      </c>
      <c r="M80" s="66">
        <f>+'CUOTA INDUSTRIAL'!K76</f>
        <v>1.015057552290618</v>
      </c>
      <c r="N80" s="4" t="s">
        <v>82</v>
      </c>
      <c r="O80" s="5">
        <f>RESUMEN!$B$3</f>
        <v>44895</v>
      </c>
      <c r="P80" s="1">
        <f t="shared" si="3"/>
        <v>2022</v>
      </c>
      <c r="Q80" s="1"/>
    </row>
    <row r="81" spans="1:17">
      <c r="A81" s="2" t="s">
        <v>68</v>
      </c>
      <c r="B81" s="1" t="s">
        <v>57</v>
      </c>
      <c r="C81" s="1" t="s">
        <v>36</v>
      </c>
      <c r="D81" s="1" t="s">
        <v>58</v>
      </c>
      <c r="E81" s="1" t="str">
        <f>+'CUOTA INDUSTRIAL'!C$76</f>
        <v xml:space="preserve">FOODCORP CHILE S.A.   </v>
      </c>
      <c r="F81" s="1" t="s">
        <v>61</v>
      </c>
      <c r="G81" s="1" t="s">
        <v>62</v>
      </c>
      <c r="H81" s="3">
        <f>'CUOTA INDUSTRIAL'!F77</f>
        <v>753.07995300000005</v>
      </c>
      <c r="I81" s="3">
        <f>'CUOTA INDUSTRIAL'!G77</f>
        <v>0</v>
      </c>
      <c r="J81" s="3">
        <f>'CUOTA INDUSTRIAL'!H77</f>
        <v>73.966078000004586</v>
      </c>
      <c r="K81" s="3">
        <f>'CUOTA INDUSTRIAL'!I77</f>
        <v>0</v>
      </c>
      <c r="L81" s="3">
        <f>'CUOTA INDUSTRIAL'!J77</f>
        <v>73.966078000004586</v>
      </c>
      <c r="M81" s="66">
        <f>'CUOTA INDUSTRIAL'!K77</f>
        <v>0</v>
      </c>
      <c r="N81" s="4" t="s">
        <v>82</v>
      </c>
      <c r="O81" s="5">
        <f>RESUMEN!$B$3</f>
        <v>44895</v>
      </c>
      <c r="P81" s="1">
        <f t="shared" si="3"/>
        <v>2022</v>
      </c>
      <c r="Q81" s="1"/>
    </row>
    <row r="82" spans="1:17">
      <c r="A82" s="2" t="s">
        <v>68</v>
      </c>
      <c r="B82" s="1" t="s">
        <v>57</v>
      </c>
      <c r="C82" s="1" t="s">
        <v>36</v>
      </c>
      <c r="D82" s="1" t="s">
        <v>58</v>
      </c>
      <c r="E82" s="1" t="str">
        <f>+'CUOTA INDUSTRIAL'!C$76</f>
        <v xml:space="preserve">FOODCORP CHILE S.A.   </v>
      </c>
      <c r="F82" s="1" t="s">
        <v>59</v>
      </c>
      <c r="G82" s="1" t="s">
        <v>62</v>
      </c>
      <c r="H82" s="3">
        <f>'CUOTA INDUSTRIAL'!L76</f>
        <v>37653.177078000001</v>
      </c>
      <c r="I82" s="3">
        <f>'CUOTA INDUSTRIAL'!M76</f>
        <v>8201.116</v>
      </c>
      <c r="J82" s="3">
        <f>'CUOTA INDUSTRIAL'!N76</f>
        <v>45854.293078000002</v>
      </c>
      <c r="K82" s="3">
        <f>'CUOTA INDUSTRIAL'!O76</f>
        <v>45780.326999999997</v>
      </c>
      <c r="L82" s="3">
        <f>'CUOTA INDUSTRIAL'!P76</f>
        <v>73.966078000004927</v>
      </c>
      <c r="M82" s="66">
        <f>'CUOTA INDUSTRIAL'!Q76</f>
        <v>0.99838693232334463</v>
      </c>
      <c r="N82" s="4" t="s">
        <v>82</v>
      </c>
      <c r="O82" s="5">
        <f>RESUMEN!$B$3</f>
        <v>44895</v>
      </c>
      <c r="P82" s="1">
        <f t="shared" si="3"/>
        <v>2022</v>
      </c>
      <c r="Q82" s="1"/>
    </row>
    <row r="83" spans="1:17">
      <c r="A83" s="2" t="s">
        <v>68</v>
      </c>
      <c r="B83" s="1" t="s">
        <v>57</v>
      </c>
      <c r="C83" s="1" t="s">
        <v>36</v>
      </c>
      <c r="D83" s="1" t="s">
        <v>58</v>
      </c>
      <c r="E83" s="1" t="str">
        <f>+'CUOTA INDUSTRIAL'!C$78</f>
        <v>ISLA QUIHUA S.A. PESQ.</v>
      </c>
      <c r="F83" s="1" t="s">
        <v>59</v>
      </c>
      <c r="G83" s="1" t="s">
        <v>60</v>
      </c>
      <c r="H83" s="3">
        <f>+'CUOTA INDUSTRIAL'!F78</f>
        <v>3.0578750000000001</v>
      </c>
      <c r="I83" s="3">
        <f>+'CUOTA INDUSTRIAL'!G78</f>
        <v>0</v>
      </c>
      <c r="J83" s="3">
        <f>+'CUOTA INDUSTRIAL'!H78</f>
        <v>3.0578750000000001</v>
      </c>
      <c r="K83" s="3">
        <f>+'CUOTA INDUSTRIAL'!I78</f>
        <v>0</v>
      </c>
      <c r="L83" s="3">
        <f>+'CUOTA INDUSTRIAL'!J78</f>
        <v>3.0578750000000001</v>
      </c>
      <c r="M83" s="66">
        <f>+'CUOTA INDUSTRIAL'!K78</f>
        <v>0</v>
      </c>
      <c r="N83" s="4" t="s">
        <v>82</v>
      </c>
      <c r="O83" s="5">
        <f>RESUMEN!$B$3</f>
        <v>44895</v>
      </c>
      <c r="P83" s="1">
        <f t="shared" si="3"/>
        <v>2022</v>
      </c>
      <c r="Q83" s="1"/>
    </row>
    <row r="84" spans="1:17">
      <c r="A84" s="2" t="s">
        <v>68</v>
      </c>
      <c r="B84" s="1" t="s">
        <v>57</v>
      </c>
      <c r="C84" s="1" t="s">
        <v>36</v>
      </c>
      <c r="D84" s="1" t="s">
        <v>58</v>
      </c>
      <c r="E84" s="1" t="str">
        <f>+'CUOTA INDUSTRIAL'!C$78</f>
        <v>ISLA QUIHUA S.A. PESQ.</v>
      </c>
      <c r="F84" s="1" t="s">
        <v>61</v>
      </c>
      <c r="G84" s="1" t="s">
        <v>62</v>
      </c>
      <c r="H84" s="3">
        <f>'CUOTA INDUSTRIAL'!F79</f>
        <v>6.2406999999999997E-2</v>
      </c>
      <c r="I84" s="3">
        <f>'CUOTA INDUSTRIAL'!G79</f>
        <v>0</v>
      </c>
      <c r="J84" s="3">
        <f>'CUOTA INDUSTRIAL'!H79</f>
        <v>3.120282</v>
      </c>
      <c r="K84" s="3">
        <f>'CUOTA INDUSTRIAL'!I79</f>
        <v>0</v>
      </c>
      <c r="L84" s="3">
        <f>'CUOTA INDUSTRIAL'!J79</f>
        <v>3.120282</v>
      </c>
      <c r="M84" s="66">
        <f>'CUOTA INDUSTRIAL'!K79</f>
        <v>0</v>
      </c>
      <c r="N84" s="4" t="s">
        <v>82</v>
      </c>
      <c r="O84" s="5">
        <f>RESUMEN!$B$3</f>
        <v>44895</v>
      </c>
      <c r="P84" s="1">
        <f t="shared" si="3"/>
        <v>2022</v>
      </c>
      <c r="Q84" s="1"/>
    </row>
    <row r="85" spans="1:17">
      <c r="A85" s="2" t="s">
        <v>68</v>
      </c>
      <c r="B85" s="1" t="s">
        <v>57</v>
      </c>
      <c r="C85" s="1" t="s">
        <v>36</v>
      </c>
      <c r="D85" s="1" t="s">
        <v>58</v>
      </c>
      <c r="E85" s="1" t="str">
        <f>+'CUOTA INDUSTRIAL'!C$78</f>
        <v>ISLA QUIHUA S.A. PESQ.</v>
      </c>
      <c r="F85" s="1" t="s">
        <v>59</v>
      </c>
      <c r="G85" s="1" t="s">
        <v>62</v>
      </c>
      <c r="H85" s="3">
        <f>'CUOTA INDUSTRIAL'!L78</f>
        <v>3.120282</v>
      </c>
      <c r="I85" s="3">
        <f>'CUOTA INDUSTRIAL'!M78</f>
        <v>0</v>
      </c>
      <c r="J85" s="3">
        <f>'CUOTA INDUSTRIAL'!N78</f>
        <v>3.120282</v>
      </c>
      <c r="K85" s="3">
        <f>'CUOTA INDUSTRIAL'!O78</f>
        <v>0</v>
      </c>
      <c r="L85" s="3">
        <f>'CUOTA INDUSTRIAL'!P78</f>
        <v>3.120282</v>
      </c>
      <c r="M85" s="66">
        <f>'CUOTA INDUSTRIAL'!Q78</f>
        <v>0</v>
      </c>
      <c r="N85" s="4" t="s">
        <v>82</v>
      </c>
      <c r="O85" s="5">
        <f>RESUMEN!$B$3</f>
        <v>44895</v>
      </c>
      <c r="P85" s="1">
        <f t="shared" si="3"/>
        <v>2022</v>
      </c>
      <c r="Q85" s="1"/>
    </row>
    <row r="86" spans="1:17">
      <c r="A86" s="2" t="s">
        <v>68</v>
      </c>
      <c r="B86" s="1" t="s">
        <v>57</v>
      </c>
      <c r="C86" s="1" t="s">
        <v>36</v>
      </c>
      <c r="D86" s="1" t="s">
        <v>58</v>
      </c>
      <c r="E86" s="1" t="str">
        <f>+'CUOTA INDUSTRIAL'!C$80</f>
        <v xml:space="preserve">LANDES S.A. SOC. PESQ.      </v>
      </c>
      <c r="F86" s="1" t="s">
        <v>59</v>
      </c>
      <c r="G86" s="1" t="s">
        <v>60</v>
      </c>
      <c r="H86" s="3">
        <f>+'CUOTA INDUSTRIAL'!F80</f>
        <v>29566.125700000001</v>
      </c>
      <c r="I86" s="3">
        <f>+'CUOTA INDUSTRIAL'!G80</f>
        <v>12119.823999999999</v>
      </c>
      <c r="J86" s="3">
        <f>+'CUOTA INDUSTRIAL'!H80</f>
        <v>41685.949699999997</v>
      </c>
      <c r="K86" s="3">
        <f>+'CUOTA INDUSTRIAL'!I80</f>
        <v>40925.767</v>
      </c>
      <c r="L86" s="3">
        <f>+'CUOTA INDUSTRIAL'!J80</f>
        <v>760.18269999999757</v>
      </c>
      <c r="M86" s="66">
        <f>+'CUOTA INDUSTRIAL'!K80</f>
        <v>0.98176405466420269</v>
      </c>
      <c r="N86" s="4" t="s">
        <v>82</v>
      </c>
      <c r="O86" s="5">
        <f>RESUMEN!$B$3</f>
        <v>44895</v>
      </c>
      <c r="P86" s="1">
        <f t="shared" si="3"/>
        <v>2022</v>
      </c>
      <c r="Q86" s="1"/>
    </row>
    <row r="87" spans="1:17">
      <c r="A87" s="2" t="s">
        <v>68</v>
      </c>
      <c r="B87" s="1" t="s">
        <v>57</v>
      </c>
      <c r="C87" s="1" t="s">
        <v>36</v>
      </c>
      <c r="D87" s="1" t="s">
        <v>58</v>
      </c>
      <c r="E87" s="1" t="str">
        <f>+'CUOTA INDUSTRIAL'!C$80</f>
        <v xml:space="preserve">LANDES S.A. SOC. PESQ.      </v>
      </c>
      <c r="F87" s="1" t="s">
        <v>61</v>
      </c>
      <c r="G87" s="1" t="s">
        <v>62</v>
      </c>
      <c r="H87" s="3">
        <f>+'CUOTA INDUSTRIAL'!F81</f>
        <v>603.40373839999995</v>
      </c>
      <c r="I87" s="3">
        <f>+'CUOTA INDUSTRIAL'!G81</f>
        <v>0</v>
      </c>
      <c r="J87" s="3">
        <f>+'CUOTA INDUSTRIAL'!H81</f>
        <v>1363.5864383999974</v>
      </c>
      <c r="K87" s="3">
        <f>+'CUOTA INDUSTRIAL'!I81</f>
        <v>0</v>
      </c>
      <c r="L87" s="3">
        <f>+'CUOTA INDUSTRIAL'!J81</f>
        <v>1363.5864383999974</v>
      </c>
      <c r="M87" s="66">
        <f>+'CUOTA INDUSTRIAL'!K81</f>
        <v>0</v>
      </c>
      <c r="N87" s="4" t="s">
        <v>82</v>
      </c>
      <c r="O87" s="5">
        <f>RESUMEN!$B$3</f>
        <v>44895</v>
      </c>
      <c r="P87" s="1">
        <f t="shared" si="3"/>
        <v>2022</v>
      </c>
      <c r="Q87" s="1"/>
    </row>
    <row r="88" spans="1:17">
      <c r="A88" s="2" t="s">
        <v>68</v>
      </c>
      <c r="B88" s="1" t="s">
        <v>57</v>
      </c>
      <c r="C88" s="1" t="s">
        <v>36</v>
      </c>
      <c r="D88" s="1" t="s">
        <v>58</v>
      </c>
      <c r="E88" s="1" t="str">
        <f>+'CUOTA INDUSTRIAL'!C$80</f>
        <v xml:space="preserve">LANDES S.A. SOC. PESQ.      </v>
      </c>
      <c r="F88" s="1" t="s">
        <v>59</v>
      </c>
      <c r="G88" s="1" t="s">
        <v>62</v>
      </c>
      <c r="H88" s="3">
        <f>'CUOTA INDUSTRIAL'!L80</f>
        <v>30169.529438400001</v>
      </c>
      <c r="I88" s="3">
        <f>'CUOTA INDUSTRIAL'!M80</f>
        <v>12119.823999999999</v>
      </c>
      <c r="J88" s="3">
        <f>'CUOTA INDUSTRIAL'!N80</f>
        <v>42289.353438400001</v>
      </c>
      <c r="K88" s="3">
        <f>'CUOTA INDUSTRIAL'!O80</f>
        <v>40925.767</v>
      </c>
      <c r="L88" s="3">
        <f>'CUOTA INDUSTRIAL'!P80</f>
        <v>1363.5864384000015</v>
      </c>
      <c r="M88" s="66">
        <f>'CUOTA INDUSTRIAL'!Q80</f>
        <v>0.96775579838584569</v>
      </c>
      <c r="N88" s="4" t="s">
        <v>82</v>
      </c>
      <c r="O88" s="5">
        <f>RESUMEN!$B$3</f>
        <v>44895</v>
      </c>
      <c r="P88" s="1">
        <f t="shared" si="3"/>
        <v>2022</v>
      </c>
      <c r="Q88" s="1"/>
    </row>
    <row r="89" spans="1:17">
      <c r="A89" s="2" t="s">
        <v>68</v>
      </c>
      <c r="B89" s="1" t="s">
        <v>57</v>
      </c>
      <c r="C89" s="1" t="s">
        <v>36</v>
      </c>
      <c r="D89" s="1" t="s">
        <v>58</v>
      </c>
      <c r="E89" s="1" t="str">
        <f>+'CUOTA INDUSTRIAL'!C$82</f>
        <v>ORIZON S.A</v>
      </c>
      <c r="F89" s="1" t="s">
        <v>59</v>
      </c>
      <c r="G89" s="1" t="s">
        <v>60</v>
      </c>
      <c r="H89" s="3">
        <f>+'CUOTA INDUSTRIAL'!F82</f>
        <v>91723.550824999998</v>
      </c>
      <c r="I89" s="3">
        <f>+'CUOTA INDUSTRIAL'!G82</f>
        <v>33819.366999999998</v>
      </c>
      <c r="J89" s="3">
        <f>+'CUOTA INDUSTRIAL'!H82</f>
        <v>125542.917825</v>
      </c>
      <c r="K89" s="3">
        <f>+'CUOTA INDUSTRIAL'!I82</f>
        <v>124484.51</v>
      </c>
      <c r="L89" s="3">
        <f>+'CUOTA INDUSTRIAL'!J82</f>
        <v>1058.407825000002</v>
      </c>
      <c r="M89" s="66">
        <f>+'CUOTA INDUSTRIAL'!K82</f>
        <v>0.99156935458139217</v>
      </c>
      <c r="N89" s="4" t="s">
        <v>82</v>
      </c>
      <c r="O89" s="5">
        <f>RESUMEN!$B$3</f>
        <v>44895</v>
      </c>
      <c r="P89" s="1">
        <f t="shared" si="3"/>
        <v>2022</v>
      </c>
      <c r="Q89" s="1"/>
    </row>
    <row r="90" spans="1:17">
      <c r="A90" s="2" t="s">
        <v>68</v>
      </c>
      <c r="B90" s="1" t="s">
        <v>57</v>
      </c>
      <c r="C90" s="1" t="s">
        <v>36</v>
      </c>
      <c r="D90" s="1" t="s">
        <v>58</v>
      </c>
      <c r="E90" s="1" t="str">
        <f>+'CUOTA INDUSTRIAL'!C$82</f>
        <v>ORIZON S.A</v>
      </c>
      <c r="F90" s="1" t="s">
        <v>61</v>
      </c>
      <c r="G90" s="1" t="s">
        <v>62</v>
      </c>
      <c r="H90" s="3">
        <f>'CUOTA INDUSTRIAL'!F83</f>
        <v>1871.9508274</v>
      </c>
      <c r="I90" s="3">
        <f>'CUOTA INDUSTRIAL'!G83</f>
        <v>0</v>
      </c>
      <c r="J90" s="3">
        <f>'CUOTA INDUSTRIAL'!H83</f>
        <v>2930.358652400002</v>
      </c>
      <c r="K90" s="3">
        <f>'CUOTA INDUSTRIAL'!I83</f>
        <v>0</v>
      </c>
      <c r="L90" s="3">
        <f>'CUOTA INDUSTRIAL'!J83</f>
        <v>2930.358652400002</v>
      </c>
      <c r="M90" s="66">
        <f>'CUOTA INDUSTRIAL'!K83</f>
        <v>0</v>
      </c>
      <c r="N90" s="4" t="s">
        <v>82</v>
      </c>
      <c r="O90" s="5">
        <f>RESUMEN!$B$3</f>
        <v>44895</v>
      </c>
      <c r="P90" s="1">
        <f t="shared" si="3"/>
        <v>2022</v>
      </c>
      <c r="Q90" s="1"/>
    </row>
    <row r="91" spans="1:17">
      <c r="A91" s="2" t="s">
        <v>68</v>
      </c>
      <c r="B91" s="1" t="s">
        <v>57</v>
      </c>
      <c r="C91" s="1" t="s">
        <v>36</v>
      </c>
      <c r="D91" s="1" t="s">
        <v>58</v>
      </c>
      <c r="E91" s="1" t="str">
        <f>+'CUOTA INDUSTRIAL'!C$82</f>
        <v>ORIZON S.A</v>
      </c>
      <c r="F91" s="1" t="s">
        <v>59</v>
      </c>
      <c r="G91" s="1" t="s">
        <v>62</v>
      </c>
      <c r="H91" s="3">
        <f>'CUOTA INDUSTRIAL'!L82</f>
        <v>93595.501652399995</v>
      </c>
      <c r="I91" s="3">
        <f>'CUOTA INDUSTRIAL'!M82</f>
        <v>33819.366999999998</v>
      </c>
      <c r="J91" s="3">
        <f>'CUOTA INDUSTRIAL'!N82</f>
        <v>127414.86865239999</v>
      </c>
      <c r="K91" s="3">
        <f>'CUOTA INDUSTRIAL'!O82</f>
        <v>124484.51</v>
      </c>
      <c r="L91" s="3">
        <f>'CUOTA INDUSTRIAL'!P82</f>
        <v>2930.3586523999984</v>
      </c>
      <c r="M91" s="66">
        <f>'CUOTA INDUSTRIAL'!Q82</f>
        <v>0.97700143881642021</v>
      </c>
      <c r="N91" s="4" t="s">
        <v>82</v>
      </c>
      <c r="O91" s="5">
        <f>RESUMEN!$B$3</f>
        <v>44895</v>
      </c>
      <c r="P91" s="1">
        <f t="shared" si="3"/>
        <v>2022</v>
      </c>
      <c r="Q91" s="1"/>
    </row>
    <row r="92" spans="1:17">
      <c r="A92" s="7" t="s">
        <v>68</v>
      </c>
      <c r="B92" s="1" t="s">
        <v>57</v>
      </c>
      <c r="C92" s="1" t="s">
        <v>36</v>
      </c>
      <c r="D92" s="1" t="s">
        <v>58</v>
      </c>
      <c r="E92" s="1" t="str">
        <f>+'CUOTA INDUSTRIAL'!C$84</f>
        <v>SUR AUSTRAL S.A. PESQ.</v>
      </c>
      <c r="F92" s="1" t="s">
        <v>59</v>
      </c>
      <c r="G92" s="1" t="s">
        <v>60</v>
      </c>
      <c r="H92" s="3">
        <f>+'CUOTA INDUSTRIAL'!F84</f>
        <v>118.033975</v>
      </c>
      <c r="I92" s="3">
        <f>+'CUOTA INDUSTRIAL'!G84</f>
        <v>0</v>
      </c>
      <c r="J92" s="3">
        <f>+'CUOTA INDUSTRIAL'!H84</f>
        <v>118.033975</v>
      </c>
      <c r="K92" s="3">
        <f>+'CUOTA INDUSTRIAL'!I84</f>
        <v>0</v>
      </c>
      <c r="L92" s="3">
        <f>+'CUOTA INDUSTRIAL'!J84</f>
        <v>118.033975</v>
      </c>
      <c r="M92" s="66">
        <f>+'CUOTA INDUSTRIAL'!K84</f>
        <v>0</v>
      </c>
      <c r="N92" s="4" t="s">
        <v>82</v>
      </c>
      <c r="O92" s="5">
        <f>RESUMEN!$B$3</f>
        <v>44895</v>
      </c>
      <c r="P92" s="1">
        <f t="shared" si="3"/>
        <v>2022</v>
      </c>
      <c r="Q92" s="1"/>
    </row>
    <row r="93" spans="1:17">
      <c r="A93" s="7" t="s">
        <v>68</v>
      </c>
      <c r="B93" s="1" t="s">
        <v>57</v>
      </c>
      <c r="C93" s="1" t="s">
        <v>36</v>
      </c>
      <c r="D93" s="1" t="s">
        <v>58</v>
      </c>
      <c r="E93" s="1" t="str">
        <f>+'CUOTA INDUSTRIAL'!C$84</f>
        <v>SUR AUSTRAL S.A. PESQ.</v>
      </c>
      <c r="F93" s="1" t="s">
        <v>61</v>
      </c>
      <c r="G93" s="1" t="s">
        <v>62</v>
      </c>
      <c r="H93" s="3">
        <f>+'CUOTA INDUSTRIAL'!F85</f>
        <v>2.4089102000000002</v>
      </c>
      <c r="I93" s="3">
        <f>+'CUOTA INDUSTRIAL'!G85</f>
        <v>0</v>
      </c>
      <c r="J93" s="3">
        <f>+'CUOTA INDUSTRIAL'!H85</f>
        <v>120.44288519999999</v>
      </c>
      <c r="K93" s="3">
        <f>+'CUOTA INDUSTRIAL'!I85</f>
        <v>0</v>
      </c>
      <c r="L93" s="3">
        <f>+'CUOTA INDUSTRIAL'!J85</f>
        <v>120.44288519999999</v>
      </c>
      <c r="M93" s="66">
        <f>+'CUOTA INDUSTRIAL'!K85</f>
        <v>0</v>
      </c>
      <c r="N93" s="4" t="s">
        <v>82</v>
      </c>
      <c r="O93" s="5">
        <f>RESUMEN!$B$3</f>
        <v>44895</v>
      </c>
      <c r="P93" s="1">
        <f t="shared" si="3"/>
        <v>2022</v>
      </c>
      <c r="Q93" s="1"/>
    </row>
    <row r="94" spans="1:17">
      <c r="A94" s="7" t="s">
        <v>68</v>
      </c>
      <c r="B94" s="1" t="s">
        <v>57</v>
      </c>
      <c r="C94" s="1" t="s">
        <v>36</v>
      </c>
      <c r="D94" s="1" t="s">
        <v>58</v>
      </c>
      <c r="E94" s="1" t="str">
        <f>+'CUOTA INDUSTRIAL'!C$84</f>
        <v>SUR AUSTRAL S.A. PESQ.</v>
      </c>
      <c r="F94" s="1" t="s">
        <v>59</v>
      </c>
      <c r="G94" s="1" t="s">
        <v>62</v>
      </c>
      <c r="H94" s="3">
        <f>'CUOTA INDUSTRIAL'!L84</f>
        <v>120.44288519999999</v>
      </c>
      <c r="I94" s="3">
        <f>'CUOTA INDUSTRIAL'!M84</f>
        <v>0</v>
      </c>
      <c r="J94" s="3">
        <f>'CUOTA INDUSTRIAL'!N84</f>
        <v>120.44288519999999</v>
      </c>
      <c r="K94" s="3">
        <f>'CUOTA INDUSTRIAL'!O84</f>
        <v>0</v>
      </c>
      <c r="L94" s="3">
        <f>'CUOTA INDUSTRIAL'!P84</f>
        <v>120.44288519999999</v>
      </c>
      <c r="M94" s="66">
        <f>'CUOTA INDUSTRIAL'!Q84</f>
        <v>0</v>
      </c>
      <c r="N94" s="4" t="s">
        <v>82</v>
      </c>
      <c r="O94" s="5">
        <f>RESUMEN!$B$3</f>
        <v>44895</v>
      </c>
      <c r="P94" s="1">
        <f t="shared" si="3"/>
        <v>2022</v>
      </c>
      <c r="Q94" s="1"/>
    </row>
    <row r="95" spans="1:17">
      <c r="A95" s="2" t="s">
        <v>68</v>
      </c>
      <c r="B95" s="1" t="s">
        <v>57</v>
      </c>
      <c r="C95" s="1" t="s">
        <v>36</v>
      </c>
      <c r="D95" s="1" t="s">
        <v>58</v>
      </c>
      <c r="E95" s="1" t="str">
        <f>+'CUOTA INDUSTRIAL'!C$86</f>
        <v xml:space="preserve"> PACIFICBLU SpA</v>
      </c>
      <c r="F95" s="1" t="s">
        <v>59</v>
      </c>
      <c r="G95" s="1" t="s">
        <v>60</v>
      </c>
      <c r="H95" s="3">
        <f>+'CUOTA INDUSTRIAL'!F86</f>
        <v>61.157500000000006</v>
      </c>
      <c r="I95" s="3">
        <f>+'CUOTA INDUSTRIAL'!G86</f>
        <v>0</v>
      </c>
      <c r="J95" s="3">
        <f>+'CUOTA INDUSTRIAL'!H86</f>
        <v>61.157500000000006</v>
      </c>
      <c r="K95" s="3">
        <f>+'CUOTA INDUSTRIAL'!I86</f>
        <v>7.298</v>
      </c>
      <c r="L95" s="3">
        <f>+'CUOTA INDUSTRIAL'!J86</f>
        <v>53.859500000000004</v>
      </c>
      <c r="M95" s="66">
        <f>+'CUOTA INDUSTRIAL'!K86</f>
        <v>0.11933123492621509</v>
      </c>
      <c r="N95" s="4" t="s">
        <v>82</v>
      </c>
      <c r="O95" s="5">
        <f>RESUMEN!$B$3</f>
        <v>44895</v>
      </c>
      <c r="P95" s="1">
        <f t="shared" si="3"/>
        <v>2022</v>
      </c>
      <c r="Q95" s="1"/>
    </row>
    <row r="96" spans="1:17">
      <c r="A96" s="2" t="s">
        <v>68</v>
      </c>
      <c r="B96" s="1" t="s">
        <v>57</v>
      </c>
      <c r="C96" s="1" t="s">
        <v>36</v>
      </c>
      <c r="D96" s="1" t="s">
        <v>58</v>
      </c>
      <c r="E96" s="1" t="str">
        <f>+'CUOTA INDUSTRIAL'!C$86</f>
        <v xml:space="preserve"> PACIFICBLU SpA</v>
      </c>
      <c r="F96" s="1" t="s">
        <v>61</v>
      </c>
      <c r="G96" s="1" t="s">
        <v>62</v>
      </c>
      <c r="H96" s="3">
        <f>'CUOTA INDUSTRIAL'!F87</f>
        <v>1.24814</v>
      </c>
      <c r="I96" s="3">
        <f>'CUOTA INDUSTRIAL'!G87</f>
        <v>0</v>
      </c>
      <c r="J96" s="3">
        <f>'CUOTA INDUSTRIAL'!H87</f>
        <v>55.107640000000004</v>
      </c>
      <c r="K96" s="3">
        <f>'CUOTA INDUSTRIAL'!I87</f>
        <v>12.053000000000001</v>
      </c>
      <c r="L96" s="3">
        <f>'CUOTA INDUSTRIAL'!J87</f>
        <v>43.054640000000006</v>
      </c>
      <c r="M96" s="66">
        <f>'CUOTA INDUSTRIAL'!K87</f>
        <v>0.21871740470105416</v>
      </c>
      <c r="N96" s="4" t="s">
        <v>82</v>
      </c>
      <c r="O96" s="5">
        <f>RESUMEN!$B$3</f>
        <v>44895</v>
      </c>
      <c r="P96" s="1">
        <f t="shared" si="3"/>
        <v>2022</v>
      </c>
      <c r="Q96" s="1"/>
    </row>
    <row r="97" spans="1:17">
      <c r="A97" s="2" t="s">
        <v>68</v>
      </c>
      <c r="B97" s="1" t="s">
        <v>57</v>
      </c>
      <c r="C97" s="1" t="s">
        <v>36</v>
      </c>
      <c r="D97" s="1" t="s">
        <v>58</v>
      </c>
      <c r="E97" s="1" t="str">
        <f>+'CUOTA INDUSTRIAL'!C$86</f>
        <v xml:space="preserve"> PACIFICBLU SpA</v>
      </c>
      <c r="F97" s="1" t="s">
        <v>59</v>
      </c>
      <c r="G97" s="1" t="s">
        <v>62</v>
      </c>
      <c r="H97" s="3">
        <f>'CUOTA INDUSTRIAL'!L86</f>
        <v>62.405640000000005</v>
      </c>
      <c r="I97" s="3">
        <f>'CUOTA INDUSTRIAL'!M86</f>
        <v>0</v>
      </c>
      <c r="J97" s="3">
        <f>'CUOTA INDUSTRIAL'!N86</f>
        <v>62.405640000000005</v>
      </c>
      <c r="K97" s="3">
        <f>'CUOTA INDUSTRIAL'!O86</f>
        <v>19.350999999999999</v>
      </c>
      <c r="L97" s="3">
        <f>'CUOTA INDUSTRIAL'!P86</f>
        <v>43.054640000000006</v>
      </c>
      <c r="M97" s="66">
        <f>'CUOTA INDUSTRIAL'!Q86</f>
        <v>0.31008415265030531</v>
      </c>
      <c r="N97" s="4" t="s">
        <v>82</v>
      </c>
      <c r="O97" s="5">
        <f>RESUMEN!$B$3</f>
        <v>44895</v>
      </c>
      <c r="P97" s="1">
        <f t="shared" si="3"/>
        <v>2022</v>
      </c>
      <c r="Q97" s="1"/>
    </row>
    <row r="98" spans="1:17">
      <c r="A98" s="2" t="s">
        <v>68</v>
      </c>
      <c r="B98" s="1" t="s">
        <v>57</v>
      </c>
      <c r="C98" s="1" t="s">
        <v>36</v>
      </c>
      <c r="D98" s="1" t="s">
        <v>58</v>
      </c>
      <c r="E98" s="1" t="str">
        <f>+'CUOTA INDUSTRIAL'!C$88</f>
        <v>PAOLA POBLETE NOVOA</v>
      </c>
      <c r="F98" s="1" t="s">
        <v>59</v>
      </c>
      <c r="G98" s="1" t="s">
        <v>60</v>
      </c>
      <c r="H98" s="3">
        <f>+'CUOTA INDUSTRIAL'!F88</f>
        <v>17.987500000000001</v>
      </c>
      <c r="I98" s="3">
        <f>+'CUOTA INDUSTRIAL'!G88</f>
        <v>0</v>
      </c>
      <c r="J98" s="3">
        <f>+'CUOTA INDUSTRIAL'!H88</f>
        <v>17.987500000000001</v>
      </c>
      <c r="K98" s="3">
        <f>+'CUOTA INDUSTRIAL'!I88</f>
        <v>0</v>
      </c>
      <c r="L98" s="3">
        <f>+'CUOTA INDUSTRIAL'!J88</f>
        <v>17.987500000000001</v>
      </c>
      <c r="M98" s="66">
        <f>+'CUOTA INDUSTRIAL'!K88</f>
        <v>0</v>
      </c>
      <c r="N98" s="4" t="s">
        <v>82</v>
      </c>
      <c r="O98" s="5">
        <f>RESUMEN!$B$3</f>
        <v>44895</v>
      </c>
      <c r="P98" s="1">
        <f t="shared" si="3"/>
        <v>2022</v>
      </c>
      <c r="Q98" s="1"/>
    </row>
    <row r="99" spans="1:17">
      <c r="A99" s="2" t="s">
        <v>68</v>
      </c>
      <c r="B99" s="1" t="s">
        <v>57</v>
      </c>
      <c r="C99" s="1" t="s">
        <v>36</v>
      </c>
      <c r="D99" s="1" t="s">
        <v>58</v>
      </c>
      <c r="E99" s="1" t="str">
        <f>+'CUOTA INDUSTRIAL'!C$88</f>
        <v>PAOLA POBLETE NOVOA</v>
      </c>
      <c r="F99" s="1" t="s">
        <v>61</v>
      </c>
      <c r="G99" s="1" t="s">
        <v>62</v>
      </c>
      <c r="H99" s="3">
        <f>+'CUOTA INDUSTRIAL'!F89</f>
        <v>0.36710000000000004</v>
      </c>
      <c r="I99" s="3">
        <f>+'CUOTA INDUSTRIAL'!G89</f>
        <v>0</v>
      </c>
      <c r="J99" s="3">
        <f>+'CUOTA INDUSTRIAL'!H89</f>
        <v>18.354600000000001</v>
      </c>
      <c r="K99" s="3">
        <f>+'CUOTA INDUSTRIAL'!I89</f>
        <v>0</v>
      </c>
      <c r="L99" s="3">
        <f>+'CUOTA INDUSTRIAL'!J89</f>
        <v>18.354600000000001</v>
      </c>
      <c r="M99" s="66">
        <f>+'CUOTA INDUSTRIAL'!K89</f>
        <v>0</v>
      </c>
      <c r="N99" s="4" t="s">
        <v>82</v>
      </c>
      <c r="O99" s="5">
        <f>RESUMEN!$B$3</f>
        <v>44895</v>
      </c>
      <c r="P99" s="1">
        <f t="shared" si="3"/>
        <v>2022</v>
      </c>
      <c r="Q99" s="1"/>
    </row>
    <row r="100" spans="1:17">
      <c r="A100" s="2" t="s">
        <v>68</v>
      </c>
      <c r="B100" s="1" t="s">
        <v>57</v>
      </c>
      <c r="C100" s="1" t="s">
        <v>36</v>
      </c>
      <c r="D100" s="1" t="s">
        <v>58</v>
      </c>
      <c r="E100" s="1" t="str">
        <f>+'CUOTA INDUSTRIAL'!C$88</f>
        <v>PAOLA POBLETE NOVOA</v>
      </c>
      <c r="F100" s="1" t="s">
        <v>59</v>
      </c>
      <c r="G100" s="1" t="s">
        <v>62</v>
      </c>
      <c r="H100" s="3">
        <f>'CUOTA INDUSTRIAL'!L88</f>
        <v>18.354600000000001</v>
      </c>
      <c r="I100" s="3">
        <f>'CUOTA INDUSTRIAL'!M88</f>
        <v>0</v>
      </c>
      <c r="J100" s="3">
        <f>'CUOTA INDUSTRIAL'!N88</f>
        <v>18.354600000000001</v>
      </c>
      <c r="K100" s="3">
        <f>'CUOTA INDUSTRIAL'!O88</f>
        <v>0</v>
      </c>
      <c r="L100" s="3">
        <f>'CUOTA INDUSTRIAL'!P88</f>
        <v>18.354600000000001</v>
      </c>
      <c r="M100" s="66">
        <f>'CUOTA INDUSTRIAL'!Q88</f>
        <v>0</v>
      </c>
      <c r="N100" s="4" t="s">
        <v>82</v>
      </c>
      <c r="O100" s="5">
        <f>RESUMEN!$B$3</f>
        <v>44895</v>
      </c>
      <c r="P100" s="1">
        <f t="shared" si="3"/>
        <v>2022</v>
      </c>
      <c r="Q100" s="1"/>
    </row>
    <row r="101" spans="1:17">
      <c r="A101" s="2" t="s">
        <v>68</v>
      </c>
      <c r="B101" s="1" t="s">
        <v>57</v>
      </c>
      <c r="C101" s="1" t="s">
        <v>36</v>
      </c>
      <c r="D101" s="1" t="s">
        <v>58</v>
      </c>
      <c r="E101" s="1" t="str">
        <f>+'CUOTA INDUSTRIAL'!C$90</f>
        <v>COMERCIAL Y CONSERVERA SAN LAZARO LIMITADA</v>
      </c>
      <c r="F101" s="1" t="s">
        <v>59</v>
      </c>
      <c r="G101" s="1" t="s">
        <v>60</v>
      </c>
      <c r="H101" s="3">
        <f>+'CUOTA INDUSTRIAL'!F90</f>
        <v>2108.1349999999998</v>
      </c>
      <c r="I101" s="3">
        <f>+'CUOTA INDUSTRIAL'!G90</f>
        <v>-1651.914</v>
      </c>
      <c r="J101" s="3">
        <f>+'CUOTA INDUSTRIAL'!H90</f>
        <v>456.22099999999978</v>
      </c>
      <c r="K101" s="3">
        <f>+'CUOTA INDUSTRIAL'!I90</f>
        <v>476.95699999999999</v>
      </c>
      <c r="L101" s="3">
        <f>+'CUOTA INDUSTRIAL'!J90</f>
        <v>-20.736000000000217</v>
      </c>
      <c r="M101" s="66">
        <f>+'CUOTA INDUSTRIAL'!K90</f>
        <v>1.0454516561052654</v>
      </c>
      <c r="N101" s="4" t="s">
        <v>82</v>
      </c>
      <c r="O101" s="5">
        <f>RESUMEN!$B$3</f>
        <v>44895</v>
      </c>
      <c r="P101" s="1">
        <f t="shared" si="3"/>
        <v>2022</v>
      </c>
      <c r="Q101" s="1"/>
    </row>
    <row r="102" spans="1:17">
      <c r="A102" s="2" t="s">
        <v>68</v>
      </c>
      <c r="B102" s="1" t="s">
        <v>57</v>
      </c>
      <c r="C102" s="1" t="s">
        <v>36</v>
      </c>
      <c r="D102" s="1" t="s">
        <v>58</v>
      </c>
      <c r="E102" s="1" t="str">
        <f>+'CUOTA INDUSTRIAL'!C$90</f>
        <v>COMERCIAL Y CONSERVERA SAN LAZARO LIMITADA</v>
      </c>
      <c r="F102" s="1" t="s">
        <v>61</v>
      </c>
      <c r="G102" s="1" t="s">
        <v>62</v>
      </c>
      <c r="H102" s="3">
        <f>+'CUOTA INDUSTRIAL'!F91</f>
        <v>43.024119999999996</v>
      </c>
      <c r="I102" s="3">
        <f>+'CUOTA INDUSTRIAL'!G91</f>
        <v>0</v>
      </c>
      <c r="J102" s="3">
        <f>+'CUOTA INDUSTRIAL'!H91</f>
        <v>22.288119999999779</v>
      </c>
      <c r="K102" s="3">
        <f>+'CUOTA INDUSTRIAL'!I91</f>
        <v>0</v>
      </c>
      <c r="L102" s="3">
        <f>+'CUOTA INDUSTRIAL'!J91</f>
        <v>22.288119999999779</v>
      </c>
      <c r="M102" s="66">
        <f>+'CUOTA INDUSTRIAL'!K91</f>
        <v>0</v>
      </c>
      <c r="N102" s="4" t="s">
        <v>82</v>
      </c>
      <c r="O102" s="5">
        <f>RESUMEN!$B$3</f>
        <v>44895</v>
      </c>
      <c r="P102" s="1">
        <f t="shared" si="3"/>
        <v>2022</v>
      </c>
      <c r="Q102" s="1"/>
    </row>
    <row r="103" spans="1:17">
      <c r="A103" s="2" t="s">
        <v>68</v>
      </c>
      <c r="B103" s="1" t="s">
        <v>57</v>
      </c>
      <c r="C103" s="1" t="s">
        <v>36</v>
      </c>
      <c r="D103" s="1" t="s">
        <v>58</v>
      </c>
      <c r="E103" s="1" t="str">
        <f>+'CUOTA INDUSTRIAL'!C$90</f>
        <v>COMERCIAL Y CONSERVERA SAN LAZARO LIMITADA</v>
      </c>
      <c r="F103" s="1" t="s">
        <v>59</v>
      </c>
      <c r="G103" s="1" t="s">
        <v>62</v>
      </c>
      <c r="H103" s="3">
        <f>+'CUOTA INDUSTRIAL'!L90</f>
        <v>2151.1591199999998</v>
      </c>
      <c r="I103" s="3">
        <f>+'CUOTA INDUSTRIAL'!M90</f>
        <v>-1651.914</v>
      </c>
      <c r="J103" s="3">
        <f>+'CUOTA INDUSTRIAL'!N90</f>
        <v>499.24511999999982</v>
      </c>
      <c r="K103" s="3">
        <f>+'CUOTA INDUSTRIAL'!O90</f>
        <v>476.95699999999999</v>
      </c>
      <c r="L103" s="3">
        <f>+'CUOTA INDUSTRIAL'!P90</f>
        <v>22.288119999999822</v>
      </c>
      <c r="M103" s="66">
        <f>+'CUOTA INDUSTRIAL'!Q90</f>
        <v>0.95535635881628678</v>
      </c>
      <c r="N103" s="4" t="s">
        <v>82</v>
      </c>
      <c r="O103" s="5">
        <f>RESUMEN!$B$3</f>
        <v>44895</v>
      </c>
      <c r="P103" s="1">
        <f t="shared" si="3"/>
        <v>2022</v>
      </c>
      <c r="Q103" s="1"/>
    </row>
    <row r="104" spans="1:17">
      <c r="A104" s="2" t="s">
        <v>68</v>
      </c>
      <c r="B104" s="1" t="s">
        <v>57</v>
      </c>
      <c r="C104" s="1" t="s">
        <v>36</v>
      </c>
      <c r="D104" s="1" t="s">
        <v>58</v>
      </c>
      <c r="E104" s="1" t="str">
        <f>'CUOTA INDUSTRIAL'!C92</f>
        <v>THOR FISHIRIES CHILE SPA</v>
      </c>
      <c r="F104" s="1" t="s">
        <v>59</v>
      </c>
      <c r="G104" s="1" t="s">
        <v>60</v>
      </c>
      <c r="H104" s="3">
        <f>'CUOTA INDUSTRIAL'!F92</f>
        <v>7.1950000000000003</v>
      </c>
      <c r="I104" s="3">
        <f>'CUOTA INDUSTRIAL'!G92</f>
        <v>3.6709999999999998</v>
      </c>
      <c r="J104" s="3">
        <f>'CUOTA INDUSTRIAL'!H92</f>
        <v>10.866</v>
      </c>
      <c r="K104" s="3">
        <f>'CUOTA INDUSTRIAL'!I92</f>
        <v>0</v>
      </c>
      <c r="L104" s="3">
        <f>'CUOTA INDUSTRIAL'!J92</f>
        <v>10.866</v>
      </c>
      <c r="M104" s="66">
        <f>'CUOTA INDUSTRIAL'!K92</f>
        <v>0</v>
      </c>
      <c r="N104" s="4" t="s">
        <v>82</v>
      </c>
      <c r="O104" s="5">
        <f>RESUMEN!$B$3</f>
        <v>44895</v>
      </c>
      <c r="P104" s="1">
        <f t="shared" ref="P104:P106" si="4">YEAR(O104)</f>
        <v>2022</v>
      </c>
      <c r="Q104" s="1"/>
    </row>
    <row r="105" spans="1:17">
      <c r="A105" s="2" t="s">
        <v>68</v>
      </c>
      <c r="B105" s="1" t="s">
        <v>57</v>
      </c>
      <c r="C105" s="1" t="s">
        <v>36</v>
      </c>
      <c r="D105" s="1" t="s">
        <v>58</v>
      </c>
      <c r="E105" s="1" t="str">
        <f>'CUOTA INDUSTRIAL'!C92</f>
        <v>THOR FISHIRIES CHILE SPA</v>
      </c>
      <c r="F105" s="1" t="s">
        <v>61</v>
      </c>
      <c r="G105" s="1" t="s">
        <v>62</v>
      </c>
      <c r="H105" s="3">
        <f>'CUOTA INDUSTRIAL'!F93</f>
        <v>0.14684</v>
      </c>
      <c r="I105" s="3">
        <f>'CUOTA INDUSTRIAL'!G93</f>
        <v>0</v>
      </c>
      <c r="J105" s="3">
        <f>'CUOTA INDUSTRIAL'!H93</f>
        <v>11.012839999999999</v>
      </c>
      <c r="K105" s="3">
        <f>'CUOTA INDUSTRIAL'!I93</f>
        <v>0</v>
      </c>
      <c r="L105" s="3">
        <f>'CUOTA INDUSTRIAL'!J93</f>
        <v>11.012839999999999</v>
      </c>
      <c r="M105" s="66">
        <f>'CUOTA INDUSTRIAL'!K93</f>
        <v>0</v>
      </c>
      <c r="N105" s="4" t="s">
        <v>82</v>
      </c>
      <c r="O105" s="5">
        <f>RESUMEN!$B$3</f>
        <v>44895</v>
      </c>
      <c r="P105" s="1">
        <f t="shared" si="4"/>
        <v>2022</v>
      </c>
      <c r="Q105" s="1"/>
    </row>
    <row r="106" spans="1:17">
      <c r="A106" s="2" t="s">
        <v>68</v>
      </c>
      <c r="B106" s="1" t="s">
        <v>57</v>
      </c>
      <c r="C106" s="1" t="s">
        <v>36</v>
      </c>
      <c r="D106" s="1" t="s">
        <v>58</v>
      </c>
      <c r="E106" s="1" t="str">
        <f>'CUOTA INDUSTRIAL'!C92</f>
        <v>THOR FISHIRIES CHILE SPA</v>
      </c>
      <c r="F106" s="1" t="s">
        <v>59</v>
      </c>
      <c r="G106" s="1" t="s">
        <v>62</v>
      </c>
      <c r="H106" s="3">
        <f>'CUOTA INDUSTRIAL'!L92</f>
        <v>7.3418400000000004</v>
      </c>
      <c r="I106" s="3">
        <f>'CUOTA INDUSTRIAL'!M92</f>
        <v>3.6709999999999998</v>
      </c>
      <c r="J106" s="3">
        <f>'CUOTA INDUSTRIAL'!N92</f>
        <v>11.012840000000001</v>
      </c>
      <c r="K106" s="3">
        <f>'CUOTA INDUSTRIAL'!O92</f>
        <v>0</v>
      </c>
      <c r="L106" s="3">
        <f>'CUOTA INDUSTRIAL'!P92</f>
        <v>11.012840000000001</v>
      </c>
      <c r="M106" s="66">
        <f>'CUOTA INDUSTRIAL'!Q92</f>
        <v>0</v>
      </c>
      <c r="N106" s="4" t="s">
        <v>82</v>
      </c>
      <c r="O106" s="5">
        <f>RESUMEN!$B$3</f>
        <v>44895</v>
      </c>
      <c r="P106" s="1">
        <f t="shared" si="4"/>
        <v>2022</v>
      </c>
      <c r="Q106" s="1"/>
    </row>
    <row r="107" spans="1:17">
      <c r="A107" s="2" t="s">
        <v>69</v>
      </c>
      <c r="B107" s="1" t="s">
        <v>57</v>
      </c>
      <c r="C107" s="1" t="s">
        <v>38</v>
      </c>
      <c r="D107" s="1" t="s">
        <v>58</v>
      </c>
      <c r="E107" s="1" t="str">
        <f>+'CUOTA INDUSTRIAL'!C$119</f>
        <v xml:space="preserve">ALIMENTOS MARINOS S.A.    </v>
      </c>
      <c r="F107" s="1" t="s">
        <v>59</v>
      </c>
      <c r="G107" s="1" t="s">
        <v>60</v>
      </c>
      <c r="H107" s="3">
        <f>+'CUOTA INDUSTRIAL'!F119</f>
        <v>4893.8481789999996</v>
      </c>
      <c r="I107" s="3">
        <f>+'CUOTA INDUSTRIAL'!G119</f>
        <v>-4990</v>
      </c>
      <c r="J107" s="3">
        <f>+'CUOTA INDUSTRIAL'!H119</f>
        <v>-96.151821000000382</v>
      </c>
      <c r="K107" s="3">
        <f>+'CUOTA INDUSTRIAL'!I119</f>
        <v>0</v>
      </c>
      <c r="L107" s="3">
        <f>+'CUOTA INDUSTRIAL'!J119</f>
        <v>-96.151821000000382</v>
      </c>
      <c r="M107" s="66">
        <f>+'CUOTA INDUSTRIAL'!K119</f>
        <v>0</v>
      </c>
      <c r="N107" s="4" t="s">
        <v>82</v>
      </c>
      <c r="O107" s="5">
        <f>RESUMEN!$B$3</f>
        <v>44895</v>
      </c>
      <c r="P107" s="1">
        <f t="shared" si="3"/>
        <v>2022</v>
      </c>
      <c r="Q107" s="1"/>
    </row>
    <row r="108" spans="1:17">
      <c r="A108" s="2" t="s">
        <v>69</v>
      </c>
      <c r="B108" s="1" t="s">
        <v>57</v>
      </c>
      <c r="C108" s="1" t="s">
        <v>38</v>
      </c>
      <c r="D108" s="1" t="s">
        <v>58</v>
      </c>
      <c r="E108" s="1" t="str">
        <f>+'CUOTA INDUSTRIAL'!C$119</f>
        <v xml:space="preserve">ALIMENTOS MARINOS S.A.    </v>
      </c>
      <c r="F108" s="1" t="s">
        <v>61</v>
      </c>
      <c r="G108" s="1" t="s">
        <v>62</v>
      </c>
      <c r="H108" s="3">
        <f>+'CUOTA INDUSTRIAL'!F120</f>
        <v>99.834581</v>
      </c>
      <c r="I108" s="3">
        <f>+'CUOTA INDUSTRIAL'!G120</f>
        <v>0</v>
      </c>
      <c r="J108" s="3">
        <f>+'CUOTA INDUSTRIAL'!H120</f>
        <v>3.6827599999996181</v>
      </c>
      <c r="K108" s="3">
        <f>+'CUOTA INDUSTRIAL'!I120</f>
        <v>0</v>
      </c>
      <c r="L108" s="3">
        <f>+'CUOTA INDUSTRIAL'!J120</f>
        <v>3.6827599999996181</v>
      </c>
      <c r="M108" s="66">
        <f>+'CUOTA INDUSTRIAL'!K120</f>
        <v>0</v>
      </c>
      <c r="N108" s="4" t="s">
        <v>82</v>
      </c>
      <c r="O108" s="5">
        <f>RESUMEN!$B$3</f>
        <v>44895</v>
      </c>
      <c r="P108" s="1">
        <f t="shared" si="3"/>
        <v>2022</v>
      </c>
      <c r="Q108" s="1"/>
    </row>
    <row r="109" spans="1:17">
      <c r="A109" s="2" t="s">
        <v>69</v>
      </c>
      <c r="B109" s="1" t="s">
        <v>57</v>
      </c>
      <c r="C109" s="1" t="s">
        <v>38</v>
      </c>
      <c r="D109" s="1" t="s">
        <v>58</v>
      </c>
      <c r="E109" s="1" t="str">
        <f>+'CUOTA INDUSTRIAL'!C$119</f>
        <v xml:space="preserve">ALIMENTOS MARINOS S.A.    </v>
      </c>
      <c r="F109" s="1" t="s">
        <v>59</v>
      </c>
      <c r="G109" s="1" t="s">
        <v>62</v>
      </c>
      <c r="H109" s="3">
        <f>'CUOTA INDUSTRIAL'!L119</f>
        <v>4993.6827599999997</v>
      </c>
      <c r="I109" s="3">
        <f>'CUOTA INDUSTRIAL'!M119</f>
        <v>-4990</v>
      </c>
      <c r="J109" s="3">
        <f>'CUOTA INDUSTRIAL'!N119</f>
        <v>3.6827599999996892</v>
      </c>
      <c r="K109" s="3">
        <f>'CUOTA INDUSTRIAL'!O119</f>
        <v>0</v>
      </c>
      <c r="L109" s="3">
        <f>'CUOTA INDUSTRIAL'!P119</f>
        <v>3.6827599999996892</v>
      </c>
      <c r="M109" s="66">
        <f>'CUOTA INDUSTRIAL'!Q119</f>
        <v>0</v>
      </c>
      <c r="N109" s="4" t="s">
        <v>82</v>
      </c>
      <c r="O109" s="5">
        <f>RESUMEN!$B$3</f>
        <v>44895</v>
      </c>
      <c r="P109" s="1">
        <f t="shared" si="3"/>
        <v>2022</v>
      </c>
      <c r="Q109" s="1"/>
    </row>
    <row r="110" spans="1:17">
      <c r="A110" s="2" t="s">
        <v>69</v>
      </c>
      <c r="B110" s="1" t="s">
        <v>57</v>
      </c>
      <c r="C110" s="1" t="s">
        <v>38</v>
      </c>
      <c r="D110" s="1" t="s">
        <v>58</v>
      </c>
      <c r="E110" s="1" t="str">
        <f>+'CUOTA INDUSTRIAL'!C$121</f>
        <v>BAHIA CALDERA S.A. PESQ</v>
      </c>
      <c r="F110" s="1" t="s">
        <v>59</v>
      </c>
      <c r="G110" s="1" t="s">
        <v>60</v>
      </c>
      <c r="H110" s="3">
        <f>+'CUOTA INDUSTRIAL'!F121</f>
        <v>43.274652400000001</v>
      </c>
      <c r="I110" s="3">
        <f>+'CUOTA INDUSTRIAL'!G121</f>
        <v>0</v>
      </c>
      <c r="J110" s="3">
        <f>+'CUOTA INDUSTRIAL'!H121</f>
        <v>43.274652400000001</v>
      </c>
      <c r="K110" s="3">
        <f>+'CUOTA INDUSTRIAL'!I121</f>
        <v>0</v>
      </c>
      <c r="L110" s="3">
        <f>+'CUOTA INDUSTRIAL'!J121</f>
        <v>43.274652400000001</v>
      </c>
      <c r="M110" s="66">
        <f>+'CUOTA INDUSTRIAL'!K121</f>
        <v>0</v>
      </c>
      <c r="N110" s="4" t="s">
        <v>82</v>
      </c>
      <c r="O110" s="5">
        <f>RESUMEN!$B$3</f>
        <v>44895</v>
      </c>
      <c r="P110" s="1">
        <f t="shared" si="3"/>
        <v>2022</v>
      </c>
      <c r="Q110" s="1"/>
    </row>
    <row r="111" spans="1:17">
      <c r="A111" s="2" t="s">
        <v>69</v>
      </c>
      <c r="B111" s="1" t="s">
        <v>57</v>
      </c>
      <c r="C111" s="1" t="s">
        <v>38</v>
      </c>
      <c r="D111" s="1" t="s">
        <v>58</v>
      </c>
      <c r="E111" s="1" t="str">
        <f>+'CUOTA INDUSTRIAL'!C$121</f>
        <v>BAHIA CALDERA S.A. PESQ</v>
      </c>
      <c r="F111" s="1" t="s">
        <v>61</v>
      </c>
      <c r="G111" s="1" t="s">
        <v>62</v>
      </c>
      <c r="H111" s="3">
        <f>+'CUOTA INDUSTRIAL'!F122</f>
        <v>0.88280359999999991</v>
      </c>
      <c r="I111" s="3">
        <f>+'CUOTA INDUSTRIAL'!G122</f>
        <v>0</v>
      </c>
      <c r="J111" s="3">
        <f>+'CUOTA INDUSTRIAL'!H122</f>
        <v>44.157456000000003</v>
      </c>
      <c r="K111" s="3">
        <f>+'CUOTA INDUSTRIAL'!I122</f>
        <v>0</v>
      </c>
      <c r="L111" s="3">
        <f>+'CUOTA INDUSTRIAL'!J122</f>
        <v>44.157456000000003</v>
      </c>
      <c r="M111" s="66">
        <f>+'CUOTA INDUSTRIAL'!K122</f>
        <v>0</v>
      </c>
      <c r="N111" s="4" t="s">
        <v>82</v>
      </c>
      <c r="O111" s="5">
        <f>RESUMEN!$B$3</f>
        <v>44895</v>
      </c>
      <c r="P111" s="1">
        <f t="shared" si="3"/>
        <v>2022</v>
      </c>
      <c r="Q111" s="1"/>
    </row>
    <row r="112" spans="1:17">
      <c r="A112" s="2" t="s">
        <v>69</v>
      </c>
      <c r="B112" s="1" t="s">
        <v>57</v>
      </c>
      <c r="C112" s="1" t="s">
        <v>38</v>
      </c>
      <c r="D112" s="1" t="s">
        <v>58</v>
      </c>
      <c r="E112" s="1" t="str">
        <f>+'CUOTA INDUSTRIAL'!C$121</f>
        <v>BAHIA CALDERA S.A. PESQ</v>
      </c>
      <c r="F112" s="1" t="s">
        <v>59</v>
      </c>
      <c r="G112" s="1" t="s">
        <v>62</v>
      </c>
      <c r="H112" s="3">
        <f>'CUOTA INDUSTRIAL'!L121</f>
        <v>44.157456000000003</v>
      </c>
      <c r="I112" s="3">
        <f>'CUOTA INDUSTRIAL'!M121</f>
        <v>0</v>
      </c>
      <c r="J112" s="3">
        <f>'CUOTA INDUSTRIAL'!N121</f>
        <v>44.157456000000003</v>
      </c>
      <c r="K112" s="3">
        <f>'CUOTA INDUSTRIAL'!O121</f>
        <v>0</v>
      </c>
      <c r="L112" s="3">
        <f>'CUOTA INDUSTRIAL'!P121</f>
        <v>44.157456000000003</v>
      </c>
      <c r="M112" s="66">
        <f>'CUOTA INDUSTRIAL'!Q121</f>
        <v>0</v>
      </c>
      <c r="N112" s="4" t="s">
        <v>82</v>
      </c>
      <c r="O112" s="5">
        <f>RESUMEN!$B$3</f>
        <v>44895</v>
      </c>
      <c r="P112" s="1">
        <f t="shared" si="3"/>
        <v>2022</v>
      </c>
      <c r="Q112" s="1"/>
    </row>
    <row r="113" spans="1:17">
      <c r="A113" s="2" t="s">
        <v>69</v>
      </c>
      <c r="B113" s="1" t="s">
        <v>57</v>
      </c>
      <c r="C113" s="1" t="s">
        <v>38</v>
      </c>
      <c r="D113" s="1" t="s">
        <v>58</v>
      </c>
      <c r="E113" s="1" t="str">
        <f>+'CUOTA INDUSTRIAL'!C$123</f>
        <v>CAMANCHACA PESCA SUR S.A.</v>
      </c>
      <c r="F113" s="1" t="s">
        <v>59</v>
      </c>
      <c r="G113" s="1" t="s">
        <v>60</v>
      </c>
      <c r="H113" s="3">
        <f>+'CUOTA INDUSTRIAL'!F123</f>
        <v>6920.3673867999996</v>
      </c>
      <c r="I113" s="3">
        <f>+'CUOTA INDUSTRIAL'!G123</f>
        <v>-7036.4430000000002</v>
      </c>
      <c r="J113" s="3">
        <f>+'CUOTA INDUSTRIAL'!H123</f>
        <v>-116.07561320000059</v>
      </c>
      <c r="K113" s="3">
        <f>+'CUOTA INDUSTRIAL'!I123</f>
        <v>0</v>
      </c>
      <c r="L113" s="3">
        <f>+'CUOTA INDUSTRIAL'!J123</f>
        <v>-116.07561320000059</v>
      </c>
      <c r="M113" s="66">
        <f>+'CUOTA INDUSTRIAL'!K123</f>
        <v>0</v>
      </c>
      <c r="N113" s="4" t="s">
        <v>82</v>
      </c>
      <c r="O113" s="5">
        <f>RESUMEN!$B$3</f>
        <v>44895</v>
      </c>
      <c r="P113" s="1">
        <f t="shared" si="3"/>
        <v>2022</v>
      </c>
      <c r="Q113" s="1"/>
    </row>
    <row r="114" spans="1:17">
      <c r="A114" s="2" t="s">
        <v>69</v>
      </c>
      <c r="B114" s="1" t="s">
        <v>57</v>
      </c>
      <c r="C114" s="1" t="s">
        <v>38</v>
      </c>
      <c r="D114" s="1" t="s">
        <v>58</v>
      </c>
      <c r="E114" s="1" t="str">
        <f>+'CUOTA INDUSTRIAL'!C$123</f>
        <v>CAMANCHACA PESCA SUR S.A.</v>
      </c>
      <c r="F114" s="1" t="s">
        <v>61</v>
      </c>
      <c r="G114" s="1" t="s">
        <v>62</v>
      </c>
      <c r="H114" s="3">
        <f>+'CUOTA INDUSTRIAL'!F124</f>
        <v>141.17560520000001</v>
      </c>
      <c r="I114" s="3">
        <f>+'CUOTA INDUSTRIAL'!G124</f>
        <v>0</v>
      </c>
      <c r="J114" s="3">
        <f>+'CUOTA INDUSTRIAL'!H124</f>
        <v>25.099991999999418</v>
      </c>
      <c r="K114" s="3">
        <f>+'CUOTA INDUSTRIAL'!I124</f>
        <v>0</v>
      </c>
      <c r="L114" s="3">
        <f>+'CUOTA INDUSTRIAL'!J124</f>
        <v>25.099991999999418</v>
      </c>
      <c r="M114" s="66">
        <f>+'CUOTA INDUSTRIAL'!K124</f>
        <v>0</v>
      </c>
      <c r="N114" s="4" t="s">
        <v>82</v>
      </c>
      <c r="O114" s="5">
        <f>RESUMEN!$B$3</f>
        <v>44895</v>
      </c>
      <c r="P114" s="1">
        <f t="shared" si="3"/>
        <v>2022</v>
      </c>
      <c r="Q114" s="1"/>
    </row>
    <row r="115" spans="1:17">
      <c r="A115" s="2" t="s">
        <v>69</v>
      </c>
      <c r="B115" s="1" t="s">
        <v>57</v>
      </c>
      <c r="C115" s="1" t="s">
        <v>38</v>
      </c>
      <c r="D115" s="1" t="s">
        <v>58</v>
      </c>
      <c r="E115" s="1" t="str">
        <f>+'CUOTA INDUSTRIAL'!C$123</f>
        <v>CAMANCHACA PESCA SUR S.A.</v>
      </c>
      <c r="F115" s="1" t="s">
        <v>59</v>
      </c>
      <c r="G115" s="1" t="s">
        <v>62</v>
      </c>
      <c r="H115" s="3">
        <f>'CUOTA INDUSTRIAL'!L123</f>
        <v>7061.5429919999997</v>
      </c>
      <c r="I115" s="3">
        <f>'CUOTA INDUSTRIAL'!M123</f>
        <v>-7036.4430000000002</v>
      </c>
      <c r="J115" s="3">
        <f>'CUOTA INDUSTRIAL'!N123</f>
        <v>25.099991999999475</v>
      </c>
      <c r="K115" s="3">
        <f>'CUOTA INDUSTRIAL'!O123</f>
        <v>0</v>
      </c>
      <c r="L115" s="3">
        <f>'CUOTA INDUSTRIAL'!P123</f>
        <v>25.099991999999475</v>
      </c>
      <c r="M115" s="66">
        <f>'CUOTA INDUSTRIAL'!Q123</f>
        <v>0</v>
      </c>
      <c r="N115" s="4" t="s">
        <v>82</v>
      </c>
      <c r="O115" s="5">
        <f>RESUMEN!$B$3</f>
        <v>44895</v>
      </c>
      <c r="P115" s="1">
        <f t="shared" si="3"/>
        <v>2022</v>
      </c>
      <c r="Q115" s="1"/>
    </row>
    <row r="116" spans="1:17">
      <c r="A116" s="2" t="s">
        <v>69</v>
      </c>
      <c r="B116" s="1" t="s">
        <v>57</v>
      </c>
      <c r="C116" s="1" t="s">
        <v>38</v>
      </c>
      <c r="D116" s="1" t="s">
        <v>58</v>
      </c>
      <c r="E116" s="1" t="str">
        <f>+'CUOTA INDUSTRIAL'!C$125</f>
        <v>PACIFICBLU SpA.</v>
      </c>
      <c r="F116" s="1" t="s">
        <v>59</v>
      </c>
      <c r="G116" s="1" t="s">
        <v>60</v>
      </c>
      <c r="H116" s="3">
        <f>+'CUOTA INDUSTRIAL'!F125</f>
        <v>1.7033320000000001</v>
      </c>
      <c r="I116" s="3">
        <f>+'CUOTA INDUSTRIAL'!G125</f>
        <v>0</v>
      </c>
      <c r="J116" s="3">
        <f>+'CUOTA INDUSTRIAL'!H125</f>
        <v>1.7033320000000001</v>
      </c>
      <c r="K116" s="3">
        <f>+'CUOTA INDUSTRIAL'!I125</f>
        <v>0</v>
      </c>
      <c r="L116" s="3">
        <f>+'CUOTA INDUSTRIAL'!J125</f>
        <v>1.7033320000000001</v>
      </c>
      <c r="M116" s="82">
        <f>+'CUOTA INDUSTRIAL'!K125</f>
        <v>0</v>
      </c>
      <c r="N116" s="4" t="s">
        <v>82</v>
      </c>
      <c r="O116" s="5">
        <f>RESUMEN!$B$3</f>
        <v>44895</v>
      </c>
      <c r="P116" s="1">
        <f t="shared" si="3"/>
        <v>2022</v>
      </c>
      <c r="Q116" s="1"/>
    </row>
    <row r="117" spans="1:17">
      <c r="A117" s="2" t="s">
        <v>69</v>
      </c>
      <c r="B117" s="1" t="s">
        <v>57</v>
      </c>
      <c r="C117" s="1" t="s">
        <v>38</v>
      </c>
      <c r="D117" s="1" t="s">
        <v>58</v>
      </c>
      <c r="E117" s="1" t="str">
        <f>+'CUOTA INDUSTRIAL'!C$125</f>
        <v>PACIFICBLU SpA.</v>
      </c>
      <c r="F117" s="1" t="s">
        <v>61</v>
      </c>
      <c r="G117" s="1" t="s">
        <v>62</v>
      </c>
      <c r="H117" s="3">
        <f>+'CUOTA INDUSTRIAL'!F126</f>
        <v>3.4748000000000001E-2</v>
      </c>
      <c r="I117" s="3">
        <f>+'CUOTA INDUSTRIAL'!G126</f>
        <v>0</v>
      </c>
      <c r="J117" s="3">
        <f>+'CUOTA INDUSTRIAL'!H126</f>
        <v>1.7380800000000001</v>
      </c>
      <c r="K117" s="3">
        <f>+'CUOTA INDUSTRIAL'!I126</f>
        <v>0</v>
      </c>
      <c r="L117" s="3">
        <f>+'CUOTA INDUSTRIAL'!J126</f>
        <v>1.7380800000000001</v>
      </c>
      <c r="M117" s="82">
        <f>+'CUOTA INDUSTRIAL'!K126</f>
        <v>0</v>
      </c>
      <c r="N117" s="4" t="s">
        <v>82</v>
      </c>
      <c r="O117" s="5">
        <f>RESUMEN!$B$3</f>
        <v>44895</v>
      </c>
      <c r="P117" s="1">
        <f t="shared" si="3"/>
        <v>2022</v>
      </c>
      <c r="Q117" s="1"/>
    </row>
    <row r="118" spans="1:17">
      <c r="A118" s="2" t="s">
        <v>69</v>
      </c>
      <c r="B118" s="1" t="s">
        <v>57</v>
      </c>
      <c r="C118" s="1" t="s">
        <v>38</v>
      </c>
      <c r="D118" s="1" t="s">
        <v>58</v>
      </c>
      <c r="E118" s="1" t="str">
        <f>+'CUOTA INDUSTRIAL'!C$125</f>
        <v>PACIFICBLU SpA.</v>
      </c>
      <c r="F118" s="1" t="s">
        <v>59</v>
      </c>
      <c r="G118" s="1" t="s">
        <v>62</v>
      </c>
      <c r="H118" s="3">
        <f>'CUOTA INDUSTRIAL'!L125</f>
        <v>1.7380800000000001</v>
      </c>
      <c r="I118" s="3">
        <f>'CUOTA INDUSTRIAL'!M125</f>
        <v>0</v>
      </c>
      <c r="J118" s="3">
        <f>'CUOTA INDUSTRIAL'!N125</f>
        <v>1.7380800000000001</v>
      </c>
      <c r="K118" s="3">
        <f>'CUOTA INDUSTRIAL'!O125</f>
        <v>0</v>
      </c>
      <c r="L118" s="3">
        <f>'CUOTA INDUSTRIAL'!P125</f>
        <v>1.7380800000000001</v>
      </c>
      <c r="M118" s="82">
        <f>'CUOTA INDUSTRIAL'!Q125</f>
        <v>0</v>
      </c>
      <c r="N118" s="4" t="s">
        <v>82</v>
      </c>
      <c r="O118" s="5">
        <f>RESUMEN!$B$3</f>
        <v>44895</v>
      </c>
      <c r="P118" s="1">
        <f t="shared" si="3"/>
        <v>2022</v>
      </c>
      <c r="Q118" s="1"/>
    </row>
    <row r="119" spans="1:17">
      <c r="A119" s="2" t="s">
        <v>69</v>
      </c>
      <c r="B119" s="1" t="s">
        <v>57</v>
      </c>
      <c r="C119" s="1" t="s">
        <v>38</v>
      </c>
      <c r="D119" s="1" t="s">
        <v>58</v>
      </c>
      <c r="E119" s="1" t="str">
        <f>+'CUOTA INDUSTRIAL'!C$127</f>
        <v xml:space="preserve">BLUMAR S.A.             </v>
      </c>
      <c r="F119" s="1" t="s">
        <v>59</v>
      </c>
      <c r="G119" s="1" t="s">
        <v>60</v>
      </c>
      <c r="H119" s="3">
        <f>+'CUOTA INDUSTRIAL'!F127</f>
        <v>10399.3127812</v>
      </c>
      <c r="I119" s="3">
        <f>+'CUOTA INDUSTRIAL'!G127</f>
        <v>-10000</v>
      </c>
      <c r="J119" s="3">
        <f>+'CUOTA INDUSTRIAL'!H127</f>
        <v>399.31278120000025</v>
      </c>
      <c r="K119" s="3">
        <f>+'CUOTA INDUSTRIAL'!I127</f>
        <v>0</v>
      </c>
      <c r="L119" s="3">
        <f>+'CUOTA INDUSTRIAL'!J127</f>
        <v>399.31278120000025</v>
      </c>
      <c r="M119" s="66">
        <f>+'CUOTA INDUSTRIAL'!K127</f>
        <v>0</v>
      </c>
      <c r="N119" s="4" t="s">
        <v>82</v>
      </c>
      <c r="O119" s="5">
        <f>RESUMEN!$B$3</f>
        <v>44895</v>
      </c>
      <c r="P119" s="1">
        <f t="shared" si="3"/>
        <v>2022</v>
      </c>
      <c r="Q119" s="1"/>
    </row>
    <row r="120" spans="1:17">
      <c r="A120" s="2" t="s">
        <v>69</v>
      </c>
      <c r="B120" s="1" t="s">
        <v>57</v>
      </c>
      <c r="C120" s="1" t="s">
        <v>38</v>
      </c>
      <c r="D120" s="1" t="s">
        <v>58</v>
      </c>
      <c r="E120" s="1" t="str">
        <f>+'CUOTA INDUSTRIAL'!C$127</f>
        <v xml:space="preserve">BLUMAR S.A.             </v>
      </c>
      <c r="F120" s="1" t="s">
        <v>61</v>
      </c>
      <c r="G120" s="1" t="s">
        <v>62</v>
      </c>
      <c r="H120" s="3">
        <f>+'CUOTA INDUSTRIAL'!F128</f>
        <v>212.1461468</v>
      </c>
      <c r="I120" s="3">
        <f>+'CUOTA INDUSTRIAL'!G128</f>
        <v>-567.22</v>
      </c>
      <c r="J120" s="3">
        <f>+'CUOTA INDUSTRIAL'!H128</f>
        <v>44.238928000000215</v>
      </c>
      <c r="K120" s="3">
        <f>+'CUOTA INDUSTRIAL'!I128</f>
        <v>0</v>
      </c>
      <c r="L120" s="3">
        <f>+'CUOTA INDUSTRIAL'!J128</f>
        <v>44.238928000000215</v>
      </c>
      <c r="M120" s="66">
        <f>+'CUOTA INDUSTRIAL'!K128</f>
        <v>0</v>
      </c>
      <c r="N120" s="4" t="s">
        <v>82</v>
      </c>
      <c r="O120" s="5">
        <f>RESUMEN!$B$3</f>
        <v>44895</v>
      </c>
      <c r="P120" s="1">
        <f t="shared" si="3"/>
        <v>2022</v>
      </c>
      <c r="Q120" s="1"/>
    </row>
    <row r="121" spans="1:17">
      <c r="A121" s="2" t="s">
        <v>69</v>
      </c>
      <c r="B121" s="1" t="s">
        <v>57</v>
      </c>
      <c r="C121" s="1" t="s">
        <v>38</v>
      </c>
      <c r="D121" s="1" t="s">
        <v>58</v>
      </c>
      <c r="E121" s="1" t="str">
        <f>+'CUOTA INDUSTRIAL'!C$127</f>
        <v xml:space="preserve">BLUMAR S.A.             </v>
      </c>
      <c r="F121" s="1" t="s">
        <v>59</v>
      </c>
      <c r="G121" s="1" t="s">
        <v>62</v>
      </c>
      <c r="H121" s="3">
        <f>'CUOTA INDUSTRIAL'!L127</f>
        <v>10611.458928</v>
      </c>
      <c r="I121" s="3">
        <f>'CUOTA INDUSTRIAL'!M127</f>
        <v>-10567.22</v>
      </c>
      <c r="J121" s="3">
        <f>'CUOTA INDUSTRIAL'!N127</f>
        <v>44.238928000000669</v>
      </c>
      <c r="K121" s="3">
        <f>'CUOTA INDUSTRIAL'!O127</f>
        <v>0</v>
      </c>
      <c r="L121" s="3">
        <f>'CUOTA INDUSTRIAL'!P127</f>
        <v>44.238928000000669</v>
      </c>
      <c r="M121" s="66">
        <f>'CUOTA INDUSTRIAL'!Q127</f>
        <v>0</v>
      </c>
      <c r="N121" s="4" t="s">
        <v>82</v>
      </c>
      <c r="O121" s="5">
        <f>RESUMEN!$B$3</f>
        <v>44895</v>
      </c>
      <c r="P121" s="1">
        <f t="shared" ref="P121:P172" si="5">YEAR(O121)</f>
        <v>2022</v>
      </c>
      <c r="Q121" s="1"/>
    </row>
    <row r="122" spans="1:17">
      <c r="A122" s="2" t="s">
        <v>69</v>
      </c>
      <c r="B122" s="1" t="s">
        <v>57</v>
      </c>
      <c r="C122" s="1" t="s">
        <v>38</v>
      </c>
      <c r="D122" s="1" t="s">
        <v>58</v>
      </c>
      <c r="E122" s="1" t="str">
        <f>+'CUOTA INDUSTRIAL'!C$129</f>
        <v>CAMANCHACA S.A.</v>
      </c>
      <c r="F122" s="1" t="s">
        <v>59</v>
      </c>
      <c r="G122" s="1" t="s">
        <v>60</v>
      </c>
      <c r="H122" s="3">
        <f>+'CUOTA INDUSTRIAL'!F129</f>
        <v>243.16066259999999</v>
      </c>
      <c r="I122" s="3">
        <f>+'CUOTA INDUSTRIAL'!G129</f>
        <v>-248.12100000000001</v>
      </c>
      <c r="J122" s="3">
        <f>+'CUOTA INDUSTRIAL'!H129</f>
        <v>-4.9603374000000144</v>
      </c>
      <c r="K122" s="3">
        <f>+'CUOTA INDUSTRIAL'!I129</f>
        <v>0</v>
      </c>
      <c r="L122" s="3">
        <f>+'CUOTA INDUSTRIAL'!J129</f>
        <v>-4.9603374000000144</v>
      </c>
      <c r="M122" s="66">
        <f>+'CUOTA INDUSTRIAL'!K129</f>
        <v>0</v>
      </c>
      <c r="N122" s="4" t="s">
        <v>82</v>
      </c>
      <c r="O122" s="5">
        <f>RESUMEN!$B$3</f>
        <v>44895</v>
      </c>
      <c r="P122" s="1">
        <f t="shared" si="5"/>
        <v>2022</v>
      </c>
      <c r="Q122" s="1"/>
    </row>
    <row r="123" spans="1:17">
      <c r="A123" s="2" t="s">
        <v>69</v>
      </c>
      <c r="B123" s="1" t="s">
        <v>57</v>
      </c>
      <c r="C123" s="1" t="s">
        <v>38</v>
      </c>
      <c r="D123" s="1" t="s">
        <v>58</v>
      </c>
      <c r="E123" s="1" t="str">
        <f>+'CUOTA INDUSTRIAL'!C$129</f>
        <v>CAMANCHACA S.A.</v>
      </c>
      <c r="F123" s="1" t="s">
        <v>61</v>
      </c>
      <c r="G123" s="1" t="s">
        <v>62</v>
      </c>
      <c r="H123" s="3">
        <f>+'CUOTA INDUSTRIAL'!F130</f>
        <v>4.9604813999999999</v>
      </c>
      <c r="I123" s="3">
        <f>+'CUOTA INDUSTRIAL'!G130</f>
        <v>0</v>
      </c>
      <c r="J123" s="3">
        <f>+'CUOTA INDUSTRIAL'!H130</f>
        <v>1.4399999998548907E-4</v>
      </c>
      <c r="K123" s="3">
        <f>+'CUOTA INDUSTRIAL'!I130</f>
        <v>0</v>
      </c>
      <c r="L123" s="3">
        <f>+'CUOTA INDUSTRIAL'!J130</f>
        <v>1.4399999998548907E-4</v>
      </c>
      <c r="M123" s="66">
        <f>+'CUOTA INDUSTRIAL'!K130</f>
        <v>0</v>
      </c>
      <c r="N123" s="4" t="s">
        <v>82</v>
      </c>
      <c r="O123" s="5">
        <f>RESUMEN!$B$3</f>
        <v>44895</v>
      </c>
      <c r="P123" s="1">
        <f t="shared" si="5"/>
        <v>2022</v>
      </c>
      <c r="Q123" s="1"/>
    </row>
    <row r="124" spans="1:17">
      <c r="A124" s="2" t="s">
        <v>69</v>
      </c>
      <c r="B124" s="1" t="s">
        <v>57</v>
      </c>
      <c r="C124" s="1" t="s">
        <v>38</v>
      </c>
      <c r="D124" s="1" t="s">
        <v>58</v>
      </c>
      <c r="E124" s="1" t="str">
        <f>+'CUOTA INDUSTRIAL'!C$129</f>
        <v>CAMANCHACA S.A.</v>
      </c>
      <c r="F124" s="1" t="s">
        <v>59</v>
      </c>
      <c r="G124" s="1" t="s">
        <v>62</v>
      </c>
      <c r="H124" s="3">
        <f>'CUOTA INDUSTRIAL'!L129</f>
        <v>248.12114399999999</v>
      </c>
      <c r="I124" s="3">
        <f>'CUOTA INDUSTRIAL'!M129</f>
        <v>-248.12100000000001</v>
      </c>
      <c r="J124" s="3">
        <f>'CUOTA INDUSTRIAL'!N129</f>
        <v>1.4399999997749546E-4</v>
      </c>
      <c r="K124" s="3">
        <f>'CUOTA INDUSTRIAL'!O129</f>
        <v>0</v>
      </c>
      <c r="L124" s="3">
        <f>'CUOTA INDUSTRIAL'!P129</f>
        <v>1.4399999997749546E-4</v>
      </c>
      <c r="M124" s="66">
        <f>'CUOTA INDUSTRIAL'!Q129</f>
        <v>0</v>
      </c>
      <c r="N124" s="4" t="s">
        <v>82</v>
      </c>
      <c r="O124" s="5">
        <f>RESUMEN!$B$3</f>
        <v>44895</v>
      </c>
      <c r="P124" s="1">
        <f t="shared" si="5"/>
        <v>2022</v>
      </c>
      <c r="Q124" s="1"/>
    </row>
    <row r="125" spans="1:17">
      <c r="A125" s="2" t="s">
        <v>69</v>
      </c>
      <c r="B125" s="1" t="s">
        <v>57</v>
      </c>
      <c r="C125" s="1" t="s">
        <v>38</v>
      </c>
      <c r="D125" s="1" t="s">
        <v>58</v>
      </c>
      <c r="E125" s="1" t="str">
        <f>+'CUOTA INDUSTRIAL'!C$131</f>
        <v xml:space="preserve">LITORAL SpA PESQ   </v>
      </c>
      <c r="F125" s="1" t="s">
        <v>59</v>
      </c>
      <c r="G125" s="1" t="s">
        <v>60</v>
      </c>
      <c r="H125" s="3">
        <f>+'CUOTA INDUSTRIAL'!F131</f>
        <v>3177.6660419999998</v>
      </c>
      <c r="I125" s="3">
        <f>+'CUOTA INDUSTRIAL'!G131</f>
        <v>-3232.33</v>
      </c>
      <c r="J125" s="3">
        <f>+'CUOTA INDUSTRIAL'!H131</f>
        <v>-54.663958000000093</v>
      </c>
      <c r="K125" s="3">
        <f>+'CUOTA INDUSTRIAL'!I131</f>
        <v>0</v>
      </c>
      <c r="L125" s="3">
        <f>+'CUOTA INDUSTRIAL'!J131</f>
        <v>-54.663958000000093</v>
      </c>
      <c r="M125" s="66">
        <f>+'CUOTA INDUSTRIAL'!K131</f>
        <v>0</v>
      </c>
      <c r="N125" s="4" t="s">
        <v>82</v>
      </c>
      <c r="O125" s="5">
        <f>RESUMEN!$B$3</f>
        <v>44895</v>
      </c>
      <c r="P125" s="1">
        <f t="shared" si="5"/>
        <v>2022</v>
      </c>
      <c r="Q125" s="1"/>
    </row>
    <row r="126" spans="1:17">
      <c r="A126" s="2" t="s">
        <v>69</v>
      </c>
      <c r="B126" s="1" t="s">
        <v>57</v>
      </c>
      <c r="C126" s="1" t="s">
        <v>38</v>
      </c>
      <c r="D126" s="1" t="s">
        <v>58</v>
      </c>
      <c r="E126" s="1" t="str">
        <f>+'CUOTA INDUSTRIAL'!C$131</f>
        <v xml:space="preserve">LITORAL SpA PESQ   </v>
      </c>
      <c r="F126" s="1" t="s">
        <v>61</v>
      </c>
      <c r="G126" s="1" t="s">
        <v>62</v>
      </c>
      <c r="H126" s="3">
        <f>+'CUOTA INDUSTRIAL'!F132</f>
        <v>64.824438000000001</v>
      </c>
      <c r="I126" s="3">
        <f>+'CUOTA INDUSTRIAL'!G132</f>
        <v>0</v>
      </c>
      <c r="J126" s="3">
        <f>+'CUOTA INDUSTRIAL'!H132</f>
        <v>10.160479999999907</v>
      </c>
      <c r="K126" s="3">
        <f>+'CUOTA INDUSTRIAL'!I132</f>
        <v>0</v>
      </c>
      <c r="L126" s="3">
        <f>+'CUOTA INDUSTRIAL'!J132</f>
        <v>10.160479999999907</v>
      </c>
      <c r="M126" s="66">
        <f>+'CUOTA INDUSTRIAL'!K132</f>
        <v>0</v>
      </c>
      <c r="N126" s="4" t="s">
        <v>82</v>
      </c>
      <c r="O126" s="5">
        <f>RESUMEN!$B$3</f>
        <v>44895</v>
      </c>
      <c r="P126" s="1">
        <f t="shared" si="5"/>
        <v>2022</v>
      </c>
      <c r="Q126" s="1"/>
    </row>
    <row r="127" spans="1:17">
      <c r="A127" s="2" t="s">
        <v>69</v>
      </c>
      <c r="B127" s="1" t="s">
        <v>57</v>
      </c>
      <c r="C127" s="1" t="s">
        <v>38</v>
      </c>
      <c r="D127" s="1" t="s">
        <v>58</v>
      </c>
      <c r="E127" s="1" t="str">
        <f>+'CUOTA INDUSTRIAL'!C$131</f>
        <v xml:space="preserve">LITORAL SpA PESQ   </v>
      </c>
      <c r="F127" s="1" t="s">
        <v>59</v>
      </c>
      <c r="G127" s="1" t="s">
        <v>62</v>
      </c>
      <c r="H127" s="3">
        <f>'CUOTA INDUSTRIAL'!L131</f>
        <v>3242.4904799999999</v>
      </c>
      <c r="I127" s="3">
        <f>'CUOTA INDUSTRIAL'!M131</f>
        <v>-3232.33</v>
      </c>
      <c r="J127" s="3">
        <f>'CUOTA INDUSTRIAL'!N131</f>
        <v>10.160480000000007</v>
      </c>
      <c r="K127" s="3">
        <f>'CUOTA INDUSTRIAL'!O131</f>
        <v>0</v>
      </c>
      <c r="L127" s="3">
        <f>'CUOTA INDUSTRIAL'!P131</f>
        <v>10.160480000000007</v>
      </c>
      <c r="M127" s="66">
        <f>'CUOTA INDUSTRIAL'!Q131</f>
        <v>0</v>
      </c>
      <c r="N127" s="4" t="s">
        <v>82</v>
      </c>
      <c r="O127" s="5">
        <f>RESUMEN!$B$3</f>
        <v>44895</v>
      </c>
      <c r="P127" s="1">
        <f t="shared" si="5"/>
        <v>2022</v>
      </c>
      <c r="Q127" s="1"/>
    </row>
    <row r="128" spans="1:17">
      <c r="A128" s="2" t="s">
        <v>69</v>
      </c>
      <c r="B128" s="1" t="s">
        <v>57</v>
      </c>
      <c r="C128" s="1" t="s">
        <v>38</v>
      </c>
      <c r="D128" s="1" t="s">
        <v>58</v>
      </c>
      <c r="E128" s="1" t="str">
        <f>+'CUOTA INDUSTRIAL'!C$133</f>
        <v xml:space="preserve">FOODCORP CHILE S.A.   </v>
      </c>
      <c r="F128" s="1" t="s">
        <v>59</v>
      </c>
      <c r="G128" s="1" t="s">
        <v>60</v>
      </c>
      <c r="H128" s="3">
        <f>+'CUOTA INDUSTRIAL'!F133</f>
        <v>4997.1502550000005</v>
      </c>
      <c r="I128" s="3">
        <f>+'CUOTA INDUSTRIAL'!G133</f>
        <v>-5099</v>
      </c>
      <c r="J128" s="3">
        <f>+'CUOTA INDUSTRIAL'!H133</f>
        <v>-101.84974499999953</v>
      </c>
      <c r="K128" s="3">
        <f>+'CUOTA INDUSTRIAL'!I133</f>
        <v>0</v>
      </c>
      <c r="L128" s="3">
        <f>+'CUOTA INDUSTRIAL'!J133</f>
        <v>-101.84974499999953</v>
      </c>
      <c r="M128" s="66">
        <f>+'CUOTA INDUSTRIAL'!K133</f>
        <v>0</v>
      </c>
      <c r="N128" s="4" t="s">
        <v>82</v>
      </c>
      <c r="O128" s="5">
        <f>RESUMEN!$B$3</f>
        <v>44895</v>
      </c>
      <c r="P128" s="1">
        <f t="shared" si="5"/>
        <v>2022</v>
      </c>
      <c r="Q128" s="1"/>
    </row>
    <row r="129" spans="1:17">
      <c r="A129" s="2" t="s">
        <v>69</v>
      </c>
      <c r="B129" s="1" t="s">
        <v>57</v>
      </c>
      <c r="C129" s="1" t="s">
        <v>38</v>
      </c>
      <c r="D129" s="1" t="s">
        <v>58</v>
      </c>
      <c r="E129" s="1" t="str">
        <f>+'CUOTA INDUSTRIAL'!C$133</f>
        <v xml:space="preserve">FOODCORP CHILE S.A.   </v>
      </c>
      <c r="F129" s="1" t="s">
        <v>61</v>
      </c>
      <c r="G129" s="1" t="s">
        <v>62</v>
      </c>
      <c r="H129" s="3">
        <f>+'CUOTA INDUSTRIAL'!F134</f>
        <v>101.941945</v>
      </c>
      <c r="I129" s="3">
        <f>+'CUOTA INDUSTRIAL'!G134</f>
        <v>0</v>
      </c>
      <c r="J129" s="3">
        <f>+'CUOTA INDUSTRIAL'!H134</f>
        <v>9.2200000000474347E-2</v>
      </c>
      <c r="K129" s="3">
        <f>+'CUOTA INDUSTRIAL'!I134</f>
        <v>0</v>
      </c>
      <c r="L129" s="3">
        <f>+'CUOTA INDUSTRIAL'!J134</f>
        <v>9.2200000000474347E-2</v>
      </c>
      <c r="M129" s="66">
        <f>+'CUOTA INDUSTRIAL'!K134</f>
        <v>0</v>
      </c>
      <c r="N129" s="4" t="s">
        <v>82</v>
      </c>
      <c r="O129" s="5">
        <f>RESUMEN!$B$3</f>
        <v>44895</v>
      </c>
      <c r="P129" s="1">
        <f t="shared" si="5"/>
        <v>2022</v>
      </c>
      <c r="Q129" s="1"/>
    </row>
    <row r="130" spans="1:17">
      <c r="A130" s="2" t="s">
        <v>69</v>
      </c>
      <c r="B130" s="1" t="s">
        <v>57</v>
      </c>
      <c r="C130" s="1" t="s">
        <v>38</v>
      </c>
      <c r="D130" s="1" t="s">
        <v>58</v>
      </c>
      <c r="E130" s="1" t="str">
        <f>+'CUOTA INDUSTRIAL'!C$133</f>
        <v xml:space="preserve">FOODCORP CHILE S.A.   </v>
      </c>
      <c r="F130" s="1" t="s">
        <v>59</v>
      </c>
      <c r="G130" s="1" t="s">
        <v>62</v>
      </c>
      <c r="H130" s="3">
        <f>'CUOTA INDUSTRIAL'!L133</f>
        <v>5099.0922</v>
      </c>
      <c r="I130" s="3">
        <f>'CUOTA INDUSTRIAL'!M133</f>
        <v>-5099</v>
      </c>
      <c r="J130" s="3">
        <f>'CUOTA INDUSTRIAL'!N133</f>
        <v>9.2200000000048021E-2</v>
      </c>
      <c r="K130" s="3">
        <f>'CUOTA INDUSTRIAL'!O133</f>
        <v>0</v>
      </c>
      <c r="L130" s="3">
        <f>'CUOTA INDUSTRIAL'!P133</f>
        <v>9.2200000000048021E-2</v>
      </c>
      <c r="M130" s="66">
        <f>'CUOTA INDUSTRIAL'!Q133</f>
        <v>0</v>
      </c>
      <c r="N130" s="4" t="s">
        <v>82</v>
      </c>
      <c r="O130" s="5">
        <f>RESUMEN!$B$3</f>
        <v>44895</v>
      </c>
      <c r="P130" s="1">
        <f t="shared" si="5"/>
        <v>2022</v>
      </c>
      <c r="Q130" s="1"/>
    </row>
    <row r="131" spans="1:17">
      <c r="A131" s="2" t="s">
        <v>69</v>
      </c>
      <c r="B131" s="1" t="s">
        <v>57</v>
      </c>
      <c r="C131" s="1" t="s">
        <v>38</v>
      </c>
      <c r="D131" s="1" t="s">
        <v>58</v>
      </c>
      <c r="E131" s="1" t="str">
        <f>+'CUOTA INDUSTRIAL'!C$135</f>
        <v>PAOLA POBLETE NOVOA</v>
      </c>
      <c r="F131" s="1" t="s">
        <v>59</v>
      </c>
      <c r="G131" s="1" t="s">
        <v>60</v>
      </c>
      <c r="H131" s="3">
        <f>+'CUOTA INDUSTRIAL'!F135</f>
        <v>0.42583300000000002</v>
      </c>
      <c r="I131" s="3">
        <f>+'CUOTA INDUSTRIAL'!G135</f>
        <v>0</v>
      </c>
      <c r="J131" s="3">
        <f>+'CUOTA INDUSTRIAL'!H135</f>
        <v>0.42583300000000002</v>
      </c>
      <c r="K131" s="3">
        <f>+'CUOTA INDUSTRIAL'!I135</f>
        <v>0</v>
      </c>
      <c r="L131" s="3">
        <f>+'CUOTA INDUSTRIAL'!J135</f>
        <v>0.42583300000000002</v>
      </c>
      <c r="M131" s="66">
        <f>+'CUOTA INDUSTRIAL'!K135</f>
        <v>0</v>
      </c>
      <c r="N131" s="4" t="s">
        <v>82</v>
      </c>
      <c r="O131" s="5">
        <f>RESUMEN!$B$3</f>
        <v>44895</v>
      </c>
      <c r="P131" s="1">
        <f t="shared" si="5"/>
        <v>2022</v>
      </c>
      <c r="Q131" s="1"/>
    </row>
    <row r="132" spans="1:17">
      <c r="A132" s="2" t="s">
        <v>69</v>
      </c>
      <c r="B132" s="1" t="s">
        <v>57</v>
      </c>
      <c r="C132" s="1" t="s">
        <v>38</v>
      </c>
      <c r="D132" s="1" t="s">
        <v>58</v>
      </c>
      <c r="E132" s="1" t="str">
        <f>+'CUOTA INDUSTRIAL'!C$135</f>
        <v>PAOLA POBLETE NOVOA</v>
      </c>
      <c r="F132" s="1" t="s">
        <v>61</v>
      </c>
      <c r="G132" s="1" t="s">
        <v>62</v>
      </c>
      <c r="H132" s="3">
        <f>+'CUOTA INDUSTRIAL'!F136</f>
        <v>8.6870000000000003E-3</v>
      </c>
      <c r="I132" s="3">
        <f>+'CUOTA INDUSTRIAL'!G136</f>
        <v>0</v>
      </c>
      <c r="J132" s="3">
        <f>+'CUOTA INDUSTRIAL'!H136</f>
        <v>0.43452000000000002</v>
      </c>
      <c r="K132" s="3">
        <f>+'CUOTA INDUSTRIAL'!I136</f>
        <v>0</v>
      </c>
      <c r="L132" s="3">
        <f>+'CUOTA INDUSTRIAL'!J136</f>
        <v>0.43452000000000002</v>
      </c>
      <c r="M132" s="66">
        <f>+'CUOTA INDUSTRIAL'!K136</f>
        <v>0</v>
      </c>
      <c r="N132" s="4" t="s">
        <v>82</v>
      </c>
      <c r="O132" s="5">
        <f>RESUMEN!$B$3</f>
        <v>44895</v>
      </c>
      <c r="P132" s="1">
        <f t="shared" si="5"/>
        <v>2022</v>
      </c>
      <c r="Q132" s="1"/>
    </row>
    <row r="133" spans="1:17">
      <c r="A133" s="2" t="s">
        <v>69</v>
      </c>
      <c r="B133" s="1" t="s">
        <v>57</v>
      </c>
      <c r="C133" s="1" t="s">
        <v>38</v>
      </c>
      <c r="D133" s="1" t="s">
        <v>58</v>
      </c>
      <c r="E133" s="1" t="str">
        <f>+'CUOTA INDUSTRIAL'!C$135</f>
        <v>PAOLA POBLETE NOVOA</v>
      </c>
      <c r="F133" s="1" t="s">
        <v>59</v>
      </c>
      <c r="G133" s="1" t="s">
        <v>62</v>
      </c>
      <c r="H133" s="3">
        <f>'CUOTA INDUSTRIAL'!L135</f>
        <v>0.43452000000000002</v>
      </c>
      <c r="I133" s="3">
        <f>'CUOTA INDUSTRIAL'!M135</f>
        <v>0</v>
      </c>
      <c r="J133" s="3">
        <f>'CUOTA INDUSTRIAL'!N135</f>
        <v>0.43452000000000002</v>
      </c>
      <c r="K133" s="3">
        <f>'CUOTA INDUSTRIAL'!O135</f>
        <v>0</v>
      </c>
      <c r="L133" s="3">
        <f>'CUOTA INDUSTRIAL'!P135</f>
        <v>0.43452000000000002</v>
      </c>
      <c r="M133" s="66">
        <f>'CUOTA INDUSTRIAL'!Q135</f>
        <v>0</v>
      </c>
      <c r="N133" s="4" t="s">
        <v>82</v>
      </c>
      <c r="O133" s="5">
        <f>RESUMEN!$B$3</f>
        <v>44895</v>
      </c>
      <c r="P133" s="1">
        <f t="shared" si="5"/>
        <v>2022</v>
      </c>
      <c r="Q133" s="1"/>
    </row>
    <row r="134" spans="1:17">
      <c r="A134" s="2" t="s">
        <v>69</v>
      </c>
      <c r="B134" s="1" t="s">
        <v>57</v>
      </c>
      <c r="C134" s="1" t="s">
        <v>38</v>
      </c>
      <c r="D134" s="1" t="s">
        <v>58</v>
      </c>
      <c r="E134" s="1" t="str">
        <f>+'CUOTA INDUSTRIAL'!C$137</f>
        <v xml:space="preserve">LANDES S.A. SOC. PESQ.      </v>
      </c>
      <c r="F134" s="1" t="s">
        <v>59</v>
      </c>
      <c r="G134" s="1" t="s">
        <v>60</v>
      </c>
      <c r="H134" s="3">
        <f>+'CUOTA INDUSTRIAL'!F137</f>
        <v>4831.5763649999999</v>
      </c>
      <c r="I134" s="3">
        <f>+'CUOTA INDUSTRIAL'!G137</f>
        <v>-4909.8962000000001</v>
      </c>
      <c r="J134" s="3">
        <f>+'CUOTA INDUSTRIAL'!H137</f>
        <v>-78.319835000000239</v>
      </c>
      <c r="K134" s="3">
        <f>+'CUOTA INDUSTRIAL'!I137</f>
        <v>0</v>
      </c>
      <c r="L134" s="3">
        <f>+'CUOTA INDUSTRIAL'!J137</f>
        <v>-78.319835000000239</v>
      </c>
      <c r="M134" s="66">
        <f>+'CUOTA INDUSTRIAL'!K137</f>
        <v>0</v>
      </c>
      <c r="N134" s="4" t="s">
        <v>82</v>
      </c>
      <c r="O134" s="5">
        <f>RESUMEN!$B$3</f>
        <v>44895</v>
      </c>
      <c r="P134" s="1">
        <f t="shared" si="5"/>
        <v>2022</v>
      </c>
      <c r="Q134" s="1"/>
    </row>
    <row r="135" spans="1:17">
      <c r="A135" s="2" t="s">
        <v>69</v>
      </c>
      <c r="B135" s="1" t="s">
        <v>57</v>
      </c>
      <c r="C135" s="1" t="s">
        <v>38</v>
      </c>
      <c r="D135" s="1" t="s">
        <v>58</v>
      </c>
      <c r="E135" s="1" t="str">
        <f>+'CUOTA INDUSTRIAL'!C$137</f>
        <v xml:space="preserve">LANDES S.A. SOC. PESQ.      </v>
      </c>
      <c r="F135" s="1" t="s">
        <v>61</v>
      </c>
      <c r="G135" s="1" t="s">
        <v>62</v>
      </c>
      <c r="H135" s="3">
        <f>+'CUOTA INDUSTRIAL'!F138</f>
        <v>98.564234999999996</v>
      </c>
      <c r="I135" s="3">
        <f>+'CUOTA INDUSTRIAL'!G138</f>
        <v>0</v>
      </c>
      <c r="J135" s="3">
        <f>+'CUOTA INDUSTRIAL'!H138</f>
        <v>20.244399999999757</v>
      </c>
      <c r="K135" s="3">
        <f>+'CUOTA INDUSTRIAL'!I138</f>
        <v>0</v>
      </c>
      <c r="L135" s="3">
        <f>+'CUOTA INDUSTRIAL'!J138</f>
        <v>20.244399999999757</v>
      </c>
      <c r="M135" s="66">
        <f>+'CUOTA INDUSTRIAL'!K138</f>
        <v>0</v>
      </c>
      <c r="N135" s="4" t="s">
        <v>82</v>
      </c>
      <c r="O135" s="5">
        <f>RESUMEN!$B$3</f>
        <v>44895</v>
      </c>
      <c r="P135" s="1">
        <f t="shared" si="5"/>
        <v>2022</v>
      </c>
      <c r="Q135" s="1"/>
    </row>
    <row r="136" spans="1:17">
      <c r="A136" s="2" t="s">
        <v>69</v>
      </c>
      <c r="B136" s="1" t="s">
        <v>57</v>
      </c>
      <c r="C136" s="1" t="s">
        <v>38</v>
      </c>
      <c r="D136" s="1" t="s">
        <v>58</v>
      </c>
      <c r="E136" s="1" t="str">
        <f>+'CUOTA INDUSTRIAL'!C$137</f>
        <v xml:space="preserve">LANDES S.A. SOC. PESQ.      </v>
      </c>
      <c r="F136" s="1" t="s">
        <v>59</v>
      </c>
      <c r="G136" s="1" t="s">
        <v>62</v>
      </c>
      <c r="H136" s="3">
        <f>'CUOTA INDUSTRIAL'!L137</f>
        <v>4930.1405999999997</v>
      </c>
      <c r="I136" s="3">
        <f>'CUOTA INDUSTRIAL'!M137</f>
        <v>-4909.8962000000001</v>
      </c>
      <c r="J136" s="3">
        <f>'CUOTA INDUSTRIAL'!N137</f>
        <v>20.244399999999587</v>
      </c>
      <c r="K136" s="3">
        <f>'CUOTA INDUSTRIAL'!O137</f>
        <v>0</v>
      </c>
      <c r="L136" s="3">
        <f>'CUOTA INDUSTRIAL'!P137</f>
        <v>20.244399999999587</v>
      </c>
      <c r="M136" s="66">
        <f>'CUOTA INDUSTRIAL'!Q137</f>
        <v>0</v>
      </c>
      <c r="N136" s="4" t="s">
        <v>82</v>
      </c>
      <c r="O136" s="5">
        <f>RESUMEN!$B$3</f>
        <v>44895</v>
      </c>
      <c r="P136" s="1">
        <f t="shared" si="5"/>
        <v>2022</v>
      </c>
      <c r="Q136" s="1"/>
    </row>
    <row r="137" spans="1:17">
      <c r="A137" s="2" t="s">
        <v>69</v>
      </c>
      <c r="B137" s="1" t="s">
        <v>57</v>
      </c>
      <c r="C137" s="1" t="s">
        <v>38</v>
      </c>
      <c r="D137" s="1" t="s">
        <v>58</v>
      </c>
      <c r="E137" s="1" t="str">
        <f>+'CUOTA INDUSTRIAL'!C$139</f>
        <v>ORIZON S.A</v>
      </c>
      <c r="F137" s="1" t="s">
        <v>59</v>
      </c>
      <c r="G137" s="1" t="s">
        <v>60</v>
      </c>
      <c r="H137" s="3">
        <f>+'CUOTA INDUSTRIAL'!F139</f>
        <v>13224.3890992</v>
      </c>
      <c r="I137" s="3">
        <f>+'CUOTA INDUSTRIAL'!G139</f>
        <v>-12945</v>
      </c>
      <c r="J137" s="3">
        <f>+'CUOTA INDUSTRIAL'!H139</f>
        <v>279.38909919999969</v>
      </c>
      <c r="K137" s="3">
        <f>+'CUOTA INDUSTRIAL'!I139</f>
        <v>0</v>
      </c>
      <c r="L137" s="3">
        <f>+'CUOTA INDUSTRIAL'!J139</f>
        <v>279.38909919999969</v>
      </c>
      <c r="M137" s="66">
        <f>+'CUOTA INDUSTRIAL'!K139</f>
        <v>0</v>
      </c>
      <c r="N137" s="4" t="s">
        <v>82</v>
      </c>
      <c r="O137" s="5">
        <f>RESUMEN!$B$3</f>
        <v>44895</v>
      </c>
      <c r="P137" s="1">
        <f t="shared" si="5"/>
        <v>2022</v>
      </c>
      <c r="Q137" s="1"/>
    </row>
    <row r="138" spans="1:17">
      <c r="A138" s="2" t="s">
        <v>69</v>
      </c>
      <c r="B138" s="1" t="s">
        <v>57</v>
      </c>
      <c r="C138" s="1" t="s">
        <v>38</v>
      </c>
      <c r="D138" s="1" t="s">
        <v>58</v>
      </c>
      <c r="E138" s="1" t="str">
        <f>+'CUOTA INDUSTRIAL'!C$139</f>
        <v>ORIZON S.A</v>
      </c>
      <c r="F138" s="1" t="s">
        <v>61</v>
      </c>
      <c r="G138" s="1" t="s">
        <v>62</v>
      </c>
      <c r="H138" s="3">
        <f>+'CUOTA INDUSTRIAL'!F140</f>
        <v>269.77774879999998</v>
      </c>
      <c r="I138" s="3">
        <f>+'CUOTA INDUSTRIAL'!G140</f>
        <v>0</v>
      </c>
      <c r="J138" s="3">
        <f>+'CUOTA INDUSTRIAL'!H140</f>
        <v>549.16684799999962</v>
      </c>
      <c r="K138" s="3">
        <f>+'CUOTA INDUSTRIAL'!I140</f>
        <v>0</v>
      </c>
      <c r="L138" s="3">
        <f>+'CUOTA INDUSTRIAL'!J140</f>
        <v>549.16684799999962</v>
      </c>
      <c r="M138" s="66">
        <f>+'CUOTA INDUSTRIAL'!K140</f>
        <v>0</v>
      </c>
      <c r="N138" s="4" t="s">
        <v>82</v>
      </c>
      <c r="O138" s="5">
        <f>RESUMEN!$B$3</f>
        <v>44895</v>
      </c>
      <c r="P138" s="1">
        <f t="shared" si="5"/>
        <v>2022</v>
      </c>
      <c r="Q138" s="1"/>
    </row>
    <row r="139" spans="1:17">
      <c r="A139" s="2" t="s">
        <v>69</v>
      </c>
      <c r="B139" s="1" t="s">
        <v>57</v>
      </c>
      <c r="C139" s="1" t="s">
        <v>38</v>
      </c>
      <c r="D139" s="1" t="s">
        <v>58</v>
      </c>
      <c r="E139" s="1" t="str">
        <f>+'CUOTA INDUSTRIAL'!C$139</f>
        <v>ORIZON S.A</v>
      </c>
      <c r="F139" s="1" t="s">
        <v>59</v>
      </c>
      <c r="G139" s="1" t="s">
        <v>62</v>
      </c>
      <c r="H139" s="3">
        <f>'CUOTA INDUSTRIAL'!L139</f>
        <v>13494.166847999999</v>
      </c>
      <c r="I139" s="3">
        <f>'CUOTA INDUSTRIAL'!M139</f>
        <v>-12945</v>
      </c>
      <c r="J139" s="3">
        <f>'CUOTA INDUSTRIAL'!N139</f>
        <v>549.16684799999894</v>
      </c>
      <c r="K139" s="3">
        <f>'CUOTA INDUSTRIAL'!O139</f>
        <v>0</v>
      </c>
      <c r="L139" s="3">
        <f>'CUOTA INDUSTRIAL'!P139</f>
        <v>549.16684799999894</v>
      </c>
      <c r="M139" s="66">
        <f>'CUOTA INDUSTRIAL'!Q139</f>
        <v>0</v>
      </c>
      <c r="N139" s="4" t="s">
        <v>82</v>
      </c>
      <c r="O139" s="5">
        <f>RESUMEN!$B$3</f>
        <v>44895</v>
      </c>
      <c r="P139" s="1">
        <f t="shared" si="5"/>
        <v>2022</v>
      </c>
      <c r="Q139" s="1"/>
    </row>
    <row r="140" spans="1:17">
      <c r="A140" s="2" t="s">
        <v>69</v>
      </c>
      <c r="B140" s="1" t="s">
        <v>57</v>
      </c>
      <c r="C140" s="1" t="s">
        <v>38</v>
      </c>
      <c r="D140" s="1" t="s">
        <v>58</v>
      </c>
      <c r="E140" s="1" t="str">
        <f>+'CUOTA INDUSTRIAL'!C$141</f>
        <v>SUR AUSTRAL S.A. PESQ.</v>
      </c>
      <c r="F140" s="1" t="s">
        <v>59</v>
      </c>
      <c r="G140" s="1" t="s">
        <v>60</v>
      </c>
      <c r="H140" s="3">
        <f>+'CUOTA INDUSTRIAL'!F141</f>
        <v>84.114542</v>
      </c>
      <c r="I140" s="3">
        <f>+'CUOTA INDUSTRIAL'!G141</f>
        <v>0</v>
      </c>
      <c r="J140" s="3">
        <f>+'CUOTA INDUSTRIAL'!H141</f>
        <v>84.114542</v>
      </c>
      <c r="K140" s="3">
        <f>+'CUOTA INDUSTRIAL'!I141</f>
        <v>1.7999999999999999E-2</v>
      </c>
      <c r="L140" s="3">
        <f>+'CUOTA INDUSTRIAL'!J141</f>
        <v>84.096541999999999</v>
      </c>
      <c r="M140" s="66">
        <f>+'CUOTA INDUSTRIAL'!K141</f>
        <v>2.13993913204687E-4</v>
      </c>
      <c r="N140" s="4" t="s">
        <v>82</v>
      </c>
      <c r="O140" s="5">
        <f>RESUMEN!$B$3</f>
        <v>44895</v>
      </c>
      <c r="P140" s="1">
        <f t="shared" si="5"/>
        <v>2022</v>
      </c>
      <c r="Q140" s="1"/>
    </row>
    <row r="141" spans="1:17">
      <c r="A141" s="2" t="s">
        <v>69</v>
      </c>
      <c r="B141" s="1" t="s">
        <v>57</v>
      </c>
      <c r="C141" s="1" t="s">
        <v>38</v>
      </c>
      <c r="D141" s="1" t="s">
        <v>58</v>
      </c>
      <c r="E141" s="1" t="str">
        <f>+'CUOTA INDUSTRIAL'!C$141</f>
        <v>SUR AUSTRAL S.A. PESQ.</v>
      </c>
      <c r="F141" s="1" t="s">
        <v>61</v>
      </c>
      <c r="G141" s="1" t="s">
        <v>62</v>
      </c>
      <c r="H141" s="3">
        <f>+'CUOTA INDUSTRIAL'!F142</f>
        <v>1.715938</v>
      </c>
      <c r="I141" s="3">
        <f>+'CUOTA INDUSTRIAL'!G142</f>
        <v>0</v>
      </c>
      <c r="J141" s="3">
        <f>+'CUOTA INDUSTRIAL'!H142</f>
        <v>85.812479999999994</v>
      </c>
      <c r="K141" s="3">
        <f>+'CUOTA INDUSTRIAL'!I142</f>
        <v>0</v>
      </c>
      <c r="L141" s="3">
        <f>+'CUOTA INDUSTRIAL'!J142</f>
        <v>85.812479999999994</v>
      </c>
      <c r="M141" s="66">
        <f>+'CUOTA INDUSTRIAL'!K142</f>
        <v>0</v>
      </c>
      <c r="N141" s="4" t="s">
        <v>82</v>
      </c>
      <c r="O141" s="5">
        <f>RESUMEN!$B$3</f>
        <v>44895</v>
      </c>
      <c r="P141" s="1">
        <f t="shared" si="5"/>
        <v>2022</v>
      </c>
      <c r="Q141" s="1"/>
    </row>
    <row r="142" spans="1:17">
      <c r="A142" s="2" t="s">
        <v>69</v>
      </c>
      <c r="B142" s="1" t="s">
        <v>57</v>
      </c>
      <c r="C142" s="1" t="s">
        <v>38</v>
      </c>
      <c r="D142" s="1" t="s">
        <v>58</v>
      </c>
      <c r="E142" s="1" t="str">
        <f>+'CUOTA INDUSTRIAL'!C$141</f>
        <v>SUR AUSTRAL S.A. PESQ.</v>
      </c>
      <c r="F142" s="1" t="s">
        <v>59</v>
      </c>
      <c r="G142" s="1" t="s">
        <v>62</v>
      </c>
      <c r="H142" s="3">
        <f>'CUOTA INDUSTRIAL'!L141</f>
        <v>85.830479999999994</v>
      </c>
      <c r="I142" s="3">
        <f>'CUOTA INDUSTRIAL'!M141</f>
        <v>0</v>
      </c>
      <c r="J142" s="3">
        <f>'CUOTA INDUSTRIAL'!N141</f>
        <v>85.830479999999994</v>
      </c>
      <c r="K142" s="3">
        <f>'CUOTA INDUSTRIAL'!O141</f>
        <v>1.7999999999999999E-2</v>
      </c>
      <c r="L142" s="3">
        <f>'CUOTA INDUSTRIAL'!P141</f>
        <v>85.812479999999994</v>
      </c>
      <c r="M142" s="66">
        <f>'CUOTA INDUSTRIAL'!Q141</f>
        <v>2.0971570938435857E-4</v>
      </c>
      <c r="N142" s="4" t="s">
        <v>82</v>
      </c>
      <c r="O142" s="5">
        <f>RESUMEN!$B$3</f>
        <v>44895</v>
      </c>
      <c r="P142" s="1">
        <f t="shared" si="5"/>
        <v>2022</v>
      </c>
      <c r="Q142" s="1"/>
    </row>
    <row r="143" spans="1:17">
      <c r="A143" s="2" t="s">
        <v>69</v>
      </c>
      <c r="B143" s="1" t="s">
        <v>57</v>
      </c>
      <c r="C143" s="1" t="s">
        <v>38</v>
      </c>
      <c r="D143" s="1" t="s">
        <v>58</v>
      </c>
      <c r="E143" s="1" t="str">
        <f>+'CUOTA INDUSTRIAL'!C$143</f>
        <v>COMERCIAL Y CONSERVERA SAN LAZARO LIMITADA</v>
      </c>
      <c r="F143" s="1" t="s">
        <v>59</v>
      </c>
      <c r="G143" s="1" t="s">
        <v>60</v>
      </c>
      <c r="H143" s="3">
        <f>+'CUOTA INDUSTRIAL'!F143</f>
        <v>1277.499</v>
      </c>
      <c r="I143" s="3">
        <f>+'CUOTA INDUSTRIAL'!G143</f>
        <v>-1303.56</v>
      </c>
      <c r="J143" s="3">
        <f>+'CUOTA INDUSTRIAL'!H143</f>
        <v>-26.060999999999922</v>
      </c>
      <c r="K143" s="3">
        <f>+'CUOTA INDUSTRIAL'!I143</f>
        <v>0</v>
      </c>
      <c r="L143" s="3">
        <f>+'CUOTA INDUSTRIAL'!J143</f>
        <v>-26.060999999999922</v>
      </c>
      <c r="M143" s="66">
        <f>+'CUOTA INDUSTRIAL'!K143</f>
        <v>0</v>
      </c>
      <c r="N143" s="4" t="s">
        <v>82</v>
      </c>
      <c r="O143" s="5">
        <f>RESUMEN!$B$3</f>
        <v>44895</v>
      </c>
      <c r="P143" s="1">
        <f t="shared" si="5"/>
        <v>2022</v>
      </c>
      <c r="Q143" s="1"/>
    </row>
    <row r="144" spans="1:17">
      <c r="A144" s="2" t="s">
        <v>69</v>
      </c>
      <c r="B144" s="1" t="s">
        <v>57</v>
      </c>
      <c r="C144" s="1" t="s">
        <v>38</v>
      </c>
      <c r="D144" s="1" t="s">
        <v>58</v>
      </c>
      <c r="E144" s="1" t="str">
        <f>+'CUOTA INDUSTRIAL'!C$143</f>
        <v>COMERCIAL Y CONSERVERA SAN LAZARO LIMITADA</v>
      </c>
      <c r="F144" s="1" t="s">
        <v>61</v>
      </c>
      <c r="G144" s="1" t="s">
        <v>62</v>
      </c>
      <c r="H144" s="3">
        <f>+'CUOTA INDUSTRIAL'!F144</f>
        <v>26.061</v>
      </c>
      <c r="I144" s="3">
        <f>+'CUOTA INDUSTRIAL'!G144</f>
        <v>0</v>
      </c>
      <c r="J144" s="3">
        <f>+'CUOTA INDUSTRIAL'!H144</f>
        <v>7.815970093361102E-14</v>
      </c>
      <c r="K144" s="3">
        <f>+'CUOTA INDUSTRIAL'!I144</f>
        <v>0</v>
      </c>
      <c r="L144" s="3">
        <f>+'CUOTA INDUSTRIAL'!J144</f>
        <v>7.815970093361102E-14</v>
      </c>
      <c r="M144" s="66">
        <f>+'CUOTA INDUSTRIAL'!K144</f>
        <v>0</v>
      </c>
      <c r="N144" s="4" t="s">
        <v>82</v>
      </c>
      <c r="O144" s="5">
        <f>RESUMEN!$B$3</f>
        <v>44895</v>
      </c>
      <c r="P144" s="1">
        <f t="shared" si="5"/>
        <v>2022</v>
      </c>
      <c r="Q144" s="1"/>
    </row>
    <row r="145" spans="1:17">
      <c r="A145" s="2" t="s">
        <v>69</v>
      </c>
      <c r="B145" s="1" t="s">
        <v>57</v>
      </c>
      <c r="C145" s="1" t="s">
        <v>38</v>
      </c>
      <c r="D145" s="1" t="s">
        <v>58</v>
      </c>
      <c r="E145" s="1" t="str">
        <f>+'CUOTA INDUSTRIAL'!C$143</f>
        <v>COMERCIAL Y CONSERVERA SAN LAZARO LIMITADA</v>
      </c>
      <c r="F145" s="1" t="s">
        <v>59</v>
      </c>
      <c r="G145" s="1" t="s">
        <v>62</v>
      </c>
      <c r="H145" s="3">
        <f>'CUOTA INDUSTRIAL'!L143</f>
        <v>1303.56</v>
      </c>
      <c r="I145" s="3">
        <f>'CUOTA INDUSTRIAL'!M143</f>
        <v>-1303.56</v>
      </c>
      <c r="J145" s="3">
        <f>'CUOTA INDUSTRIAL'!N143</f>
        <v>0</v>
      </c>
      <c r="K145" s="3">
        <f>'CUOTA INDUSTRIAL'!O143</f>
        <v>0</v>
      </c>
      <c r="L145" s="3">
        <f>'CUOTA INDUSTRIAL'!P143</f>
        <v>0</v>
      </c>
      <c r="M145" s="66">
        <f>'CUOTA INDUSTRIAL'!Q143</f>
        <v>0</v>
      </c>
      <c r="N145" s="4" t="s">
        <v>82</v>
      </c>
      <c r="O145" s="5">
        <f>RESUMEN!$B$3</f>
        <v>44895</v>
      </c>
      <c r="P145" s="1">
        <f t="shared" si="5"/>
        <v>2022</v>
      </c>
      <c r="Q145" s="1"/>
    </row>
    <row r="146" spans="1:17">
      <c r="A146" s="2" t="s">
        <v>69</v>
      </c>
      <c r="B146" s="1" t="s">
        <v>57</v>
      </c>
      <c r="C146" s="1" t="s">
        <v>38</v>
      </c>
      <c r="D146" s="1" t="s">
        <v>58</v>
      </c>
      <c r="E146" s="1" t="str">
        <f>'CUOTA INDUSTRIAL'!C145</f>
        <v>THOR FISHIRIES CHILE SPA</v>
      </c>
      <c r="F146" s="1" t="s">
        <v>59</v>
      </c>
      <c r="G146" s="1" t="s">
        <v>60</v>
      </c>
      <c r="H146" s="3">
        <f>'CUOTA INDUSTRIAL'!F145</f>
        <v>3.5068599999999996</v>
      </c>
      <c r="I146" s="3">
        <f>'CUOTA INDUSTRIAL'!G145</f>
        <v>0.51119999999999999</v>
      </c>
      <c r="J146" s="3">
        <f>'CUOTA INDUSTRIAL'!H145</f>
        <v>4.0180599999999993</v>
      </c>
      <c r="K146" s="3">
        <f>'CUOTA INDUSTRIAL'!I145</f>
        <v>0</v>
      </c>
      <c r="L146" s="3">
        <f>'CUOTA INDUSTRIAL'!J145</f>
        <v>4.0180599999999993</v>
      </c>
      <c r="M146" s="66">
        <f>'CUOTA INDUSTRIAL'!K145</f>
        <v>0</v>
      </c>
      <c r="N146" s="4" t="s">
        <v>82</v>
      </c>
      <c r="O146" s="5">
        <f>RESUMEN!$B$3</f>
        <v>44895</v>
      </c>
      <c r="P146" s="1">
        <f t="shared" ref="P146:P148" si="6">YEAR(O146)</f>
        <v>2022</v>
      </c>
      <c r="Q146" s="1"/>
    </row>
    <row r="147" spans="1:17">
      <c r="A147" s="2" t="s">
        <v>69</v>
      </c>
      <c r="B147" s="1" t="s">
        <v>57</v>
      </c>
      <c r="C147" s="1" t="s">
        <v>38</v>
      </c>
      <c r="D147" s="1" t="s">
        <v>58</v>
      </c>
      <c r="E147" s="1" t="str">
        <f>'CUOTA INDUSTRIAL'!C145</f>
        <v>THOR FISHIRIES CHILE SPA</v>
      </c>
      <c r="F147" s="1" t="s">
        <v>61</v>
      </c>
      <c r="G147" s="1" t="s">
        <v>62</v>
      </c>
      <c r="H147" s="3">
        <f>'CUOTA INDUSTRIAL'!F146</f>
        <v>7.1539999999999992E-2</v>
      </c>
      <c r="I147" s="3">
        <f>'CUOTA INDUSTRIAL'!G146</f>
        <v>0</v>
      </c>
      <c r="J147" s="3">
        <f>'CUOTA INDUSTRIAL'!H146</f>
        <v>4.089599999999999</v>
      </c>
      <c r="K147" s="3">
        <f>'CUOTA INDUSTRIAL'!I146</f>
        <v>0</v>
      </c>
      <c r="L147" s="3">
        <f>'CUOTA INDUSTRIAL'!J146</f>
        <v>4.089599999999999</v>
      </c>
      <c r="M147" s="66">
        <f>'CUOTA INDUSTRIAL'!K146</f>
        <v>0</v>
      </c>
      <c r="N147" s="4" t="s">
        <v>82</v>
      </c>
      <c r="O147" s="5">
        <f>RESUMEN!$B$3</f>
        <v>44895</v>
      </c>
      <c r="P147" s="1">
        <f t="shared" si="6"/>
        <v>2022</v>
      </c>
      <c r="Q147" s="1"/>
    </row>
    <row r="148" spans="1:17">
      <c r="A148" s="2" t="s">
        <v>69</v>
      </c>
      <c r="B148" s="1" t="s">
        <v>57</v>
      </c>
      <c r="C148" s="1" t="s">
        <v>38</v>
      </c>
      <c r="D148" s="1" t="s">
        <v>58</v>
      </c>
      <c r="E148" s="1" t="str">
        <f>'CUOTA INDUSTRIAL'!C145</f>
        <v>THOR FISHIRIES CHILE SPA</v>
      </c>
      <c r="F148" s="1" t="s">
        <v>59</v>
      </c>
      <c r="G148" s="1" t="s">
        <v>62</v>
      </c>
      <c r="H148" s="3">
        <f>'CUOTA INDUSTRIAL'!L145</f>
        <v>3.5783999999999998</v>
      </c>
      <c r="I148" s="3">
        <f>'CUOTA INDUSTRIAL'!M145</f>
        <v>0.51119999999999999</v>
      </c>
      <c r="J148" s="3">
        <f>'CUOTA INDUSTRIAL'!N145</f>
        <v>4.0895999999999999</v>
      </c>
      <c r="K148" s="3">
        <f>'CUOTA INDUSTRIAL'!O145</f>
        <v>0</v>
      </c>
      <c r="L148" s="3">
        <f>'CUOTA INDUSTRIAL'!P145</f>
        <v>4.0895999999999999</v>
      </c>
      <c r="M148" s="66">
        <f>'CUOTA INDUSTRIAL'!Q145</f>
        <v>0</v>
      </c>
      <c r="N148" s="4" t="s">
        <v>82</v>
      </c>
      <c r="O148" s="5">
        <f>RESUMEN!$B$3</f>
        <v>44895</v>
      </c>
      <c r="P148" s="1">
        <f t="shared" si="6"/>
        <v>2022</v>
      </c>
      <c r="Q148" s="1"/>
    </row>
    <row r="149" spans="1:17">
      <c r="A149" s="2" t="s">
        <v>56</v>
      </c>
      <c r="B149" s="1" t="s">
        <v>57</v>
      </c>
      <c r="C149" s="1" t="s">
        <v>70</v>
      </c>
      <c r="D149" s="1" t="s">
        <v>63</v>
      </c>
      <c r="E149" s="1" t="str">
        <f>+'CUOTA ARTESANAL'!C$6</f>
        <v>MACROZONA XV-I</v>
      </c>
      <c r="F149" s="1" t="s">
        <v>59</v>
      </c>
      <c r="G149" s="1" t="s">
        <v>62</v>
      </c>
      <c r="H149" s="3">
        <f>'CUOTA ARTESANAL'!E6</f>
        <v>2059</v>
      </c>
      <c r="I149" s="3">
        <f>'CUOTA ARTESANAL'!F6</f>
        <v>0</v>
      </c>
      <c r="J149" s="3">
        <f>'CUOTA ARTESANAL'!G6</f>
        <v>2059</v>
      </c>
      <c r="K149" s="3">
        <f>'CUOTA ARTESANAL'!H6</f>
        <v>124.175</v>
      </c>
      <c r="L149" s="3">
        <f>'CUOTA ARTESANAL'!I6</f>
        <v>1934.825</v>
      </c>
      <c r="M149" s="66">
        <f>'CUOTA ARTESANAL'!J6</f>
        <v>6.0308402136959691E-2</v>
      </c>
      <c r="N149" s="4" t="str">
        <f>'CUOTA ARTESANAL'!Q6</f>
        <v>-</v>
      </c>
      <c r="O149" s="5">
        <f>RESUMEN!$B$3</f>
        <v>44895</v>
      </c>
      <c r="P149" s="1">
        <f t="shared" si="5"/>
        <v>2022</v>
      </c>
      <c r="Q149" s="1"/>
    </row>
    <row r="150" spans="1:17">
      <c r="A150" s="2" t="s">
        <v>56</v>
      </c>
      <c r="B150" s="1" t="s">
        <v>57</v>
      </c>
      <c r="C150" s="1" t="s">
        <v>70</v>
      </c>
      <c r="D150" s="1" t="s">
        <v>63</v>
      </c>
      <c r="E150" s="1" t="str">
        <f>+'CUOTA ARTESANAL'!C$6</f>
        <v>MACROZONA XV-I</v>
      </c>
      <c r="F150" s="1" t="s">
        <v>59</v>
      </c>
      <c r="G150" s="1" t="s">
        <v>62</v>
      </c>
      <c r="H150" s="3">
        <f>'CUOTA ARTESANAL'!K6</f>
        <v>2059</v>
      </c>
      <c r="I150" s="3">
        <f>'CUOTA ARTESANAL'!L6</f>
        <v>0</v>
      </c>
      <c r="J150" s="3">
        <f>'CUOTA ARTESANAL'!M6</f>
        <v>2059</v>
      </c>
      <c r="K150" s="3">
        <f>'CUOTA ARTESANAL'!N6</f>
        <v>124.175</v>
      </c>
      <c r="L150" s="3">
        <f>'CUOTA ARTESANAL'!O6</f>
        <v>1934.825</v>
      </c>
      <c r="M150" s="66">
        <f>'CUOTA ARTESANAL'!P6</f>
        <v>6.0308402136959691E-2</v>
      </c>
      <c r="N150" s="4" t="s">
        <v>82</v>
      </c>
      <c r="O150" s="5">
        <f>RESUMEN!$B$3</f>
        <v>44895</v>
      </c>
      <c r="P150" s="1">
        <f t="shared" si="5"/>
        <v>2022</v>
      </c>
      <c r="Q150" s="1"/>
    </row>
    <row r="151" spans="1:17">
      <c r="A151" s="2" t="s">
        <v>56</v>
      </c>
      <c r="B151" s="1" t="s">
        <v>57</v>
      </c>
      <c r="C151" s="1" t="s">
        <v>16</v>
      </c>
      <c r="D151" s="1" t="s">
        <v>64</v>
      </c>
      <c r="E151" s="1" t="str">
        <f>+'CUOTA ARTESANAL'!C$9</f>
        <v>II REGION</v>
      </c>
      <c r="F151" s="1" t="s">
        <v>59</v>
      </c>
      <c r="G151" s="1" t="s">
        <v>62</v>
      </c>
      <c r="H151" s="3">
        <f>'CUOTA ARTESANAL'!E9</f>
        <v>2059</v>
      </c>
      <c r="I151" s="3">
        <f>'CUOTA ARTESANAL'!F9</f>
        <v>0</v>
      </c>
      <c r="J151" s="3">
        <f>'CUOTA ARTESANAL'!G9</f>
        <v>2059</v>
      </c>
      <c r="K151" s="3">
        <f>'CUOTA ARTESANAL'!H9</f>
        <v>244.70099999999999</v>
      </c>
      <c r="L151" s="3">
        <f>'CUOTA ARTESANAL'!I9</f>
        <v>1814.299</v>
      </c>
      <c r="M151" s="66">
        <f>'CUOTA ARTESANAL'!J9</f>
        <v>0.11884458474987858</v>
      </c>
      <c r="N151" s="4" t="str">
        <f>'CUOTA ARTESANAL'!Q9</f>
        <v>-</v>
      </c>
      <c r="O151" s="5">
        <f>RESUMEN!$B$3</f>
        <v>44895</v>
      </c>
      <c r="P151" s="1">
        <f t="shared" si="5"/>
        <v>2022</v>
      </c>
      <c r="Q151" s="1"/>
    </row>
    <row r="152" spans="1:17">
      <c r="A152" s="2" t="s">
        <v>56</v>
      </c>
      <c r="B152" s="1" t="s">
        <v>57</v>
      </c>
      <c r="C152" s="1" t="s">
        <v>16</v>
      </c>
      <c r="D152" s="1" t="s">
        <v>64</v>
      </c>
      <c r="E152" s="1" t="str">
        <f>+'CUOTA ARTESANAL'!C$9</f>
        <v>II REGION</v>
      </c>
      <c r="F152" s="1" t="s">
        <v>59</v>
      </c>
      <c r="G152" s="1" t="s">
        <v>62</v>
      </c>
      <c r="H152" s="3">
        <f>+'CUOTA ARTESANAL'!K9</f>
        <v>2059</v>
      </c>
      <c r="I152" s="3">
        <f>'CUOTA ARTESANAL'!L9</f>
        <v>0</v>
      </c>
      <c r="J152" s="3">
        <f>'CUOTA ARTESANAL'!M9</f>
        <v>2059</v>
      </c>
      <c r="K152" s="3">
        <f>'CUOTA ARTESANAL'!N9</f>
        <v>244.70099999999999</v>
      </c>
      <c r="L152" s="3">
        <f>'CUOTA ARTESANAL'!O9</f>
        <v>1814.299</v>
      </c>
      <c r="M152" s="66">
        <f>'CUOTA ARTESANAL'!P9</f>
        <v>0.11884458474987858</v>
      </c>
      <c r="N152" s="4" t="s">
        <v>82</v>
      </c>
      <c r="O152" s="5">
        <f>RESUMEN!$B$3</f>
        <v>44895</v>
      </c>
      <c r="P152" s="1">
        <f t="shared" si="5"/>
        <v>2022</v>
      </c>
      <c r="Q152" s="1"/>
    </row>
    <row r="153" spans="1:17">
      <c r="A153" s="2" t="s">
        <v>65</v>
      </c>
      <c r="B153" s="1" t="s">
        <v>57</v>
      </c>
      <c r="C153" s="1" t="s">
        <v>17</v>
      </c>
      <c r="D153" s="1" t="s">
        <v>64</v>
      </c>
      <c r="E153" s="1" t="str">
        <f>+'CUOTA ARTESANAL'!C$15</f>
        <v>III REGION</v>
      </c>
      <c r="F153" s="1" t="s">
        <v>59</v>
      </c>
      <c r="G153" s="1" t="s">
        <v>62</v>
      </c>
      <c r="H153" s="3">
        <f>+'CUOTA ARTESANAL'!E15</f>
        <v>5356</v>
      </c>
      <c r="I153" s="3">
        <f>'CUOTA ARTESANAL'!F15</f>
        <v>2905</v>
      </c>
      <c r="J153" s="3">
        <f>'CUOTA ARTESANAL'!G15</f>
        <v>8261</v>
      </c>
      <c r="K153" s="3">
        <f>'CUOTA ARTESANAL'!H15</f>
        <v>8202.3379999999997</v>
      </c>
      <c r="L153" s="3">
        <f>'CUOTA ARTESANAL'!I15</f>
        <v>58.662000000000262</v>
      </c>
      <c r="M153" s="66">
        <f>'CUOTA ARTESANAL'!J15</f>
        <v>0.9928989226485897</v>
      </c>
      <c r="N153" s="4" t="str">
        <f>'CUOTA ARTESANAL'!Q15</f>
        <v>-</v>
      </c>
      <c r="O153" s="5">
        <f>RESUMEN!$B$3</f>
        <v>44895</v>
      </c>
      <c r="P153" s="1">
        <f t="shared" si="5"/>
        <v>2022</v>
      </c>
      <c r="Q153" s="1"/>
    </row>
    <row r="154" spans="1:17">
      <c r="A154" s="2" t="s">
        <v>65</v>
      </c>
      <c r="B154" s="1" t="s">
        <v>57</v>
      </c>
      <c r="C154" s="1" t="s">
        <v>17</v>
      </c>
      <c r="D154" s="1" t="s">
        <v>64</v>
      </c>
      <c r="E154" s="1" t="str">
        <f>+'CUOTA ARTESANAL'!C$15</f>
        <v>III REGION</v>
      </c>
      <c r="F154" s="1" t="s">
        <v>59</v>
      </c>
      <c r="G154" s="1" t="s">
        <v>62</v>
      </c>
      <c r="H154" s="3">
        <f>'CUOTA ARTESANAL'!K15</f>
        <v>5356</v>
      </c>
      <c r="I154" s="3">
        <f>'CUOTA ARTESANAL'!L15</f>
        <v>2905</v>
      </c>
      <c r="J154" s="3">
        <f>'CUOTA ARTESANAL'!M15</f>
        <v>8261</v>
      </c>
      <c r="K154" s="3">
        <f>'CUOTA ARTESANAL'!N15</f>
        <v>8202.3379999999997</v>
      </c>
      <c r="L154" s="3">
        <f>'CUOTA ARTESANAL'!O15</f>
        <v>58.662000000000262</v>
      </c>
      <c r="M154" s="66">
        <f>'CUOTA ARTESANAL'!P15</f>
        <v>0.9928989226485897</v>
      </c>
      <c r="N154" s="4" t="s">
        <v>82</v>
      </c>
      <c r="O154" s="5">
        <f>RESUMEN!$B$3</f>
        <v>44895</v>
      </c>
      <c r="P154" s="1">
        <f t="shared" si="5"/>
        <v>2022</v>
      </c>
      <c r="Q154" s="1"/>
    </row>
    <row r="155" spans="1:17">
      <c r="A155" s="2" t="s">
        <v>65</v>
      </c>
      <c r="B155" s="1" t="s">
        <v>57</v>
      </c>
      <c r="C155" s="1" t="s">
        <v>71</v>
      </c>
      <c r="D155" s="1" t="s">
        <v>83</v>
      </c>
      <c r="E155" s="1" t="str">
        <f>+'CUOTA ARTESANAL'!C$18</f>
        <v xml:space="preserve"> AG. PAR Y BUZOS DE COQUIMBO AG 55-04</v>
      </c>
      <c r="F155" s="1" t="s">
        <v>59</v>
      </c>
      <c r="G155" s="1" t="s">
        <v>62</v>
      </c>
      <c r="H155" s="3">
        <f>+'CUOTA ARTESANAL'!E18</f>
        <v>1520.355</v>
      </c>
      <c r="I155" s="3">
        <f>'CUOTA ARTESANAL'!F18</f>
        <v>-1400</v>
      </c>
      <c r="J155" s="3">
        <f>'CUOTA ARTESANAL'!G18</f>
        <v>120.35500000000002</v>
      </c>
      <c r="K155" s="3">
        <f>'CUOTA ARTESANAL'!H18</f>
        <v>118.423</v>
      </c>
      <c r="L155" s="3">
        <f>'CUOTA ARTESANAL'!I18</f>
        <v>1.9320000000000164</v>
      </c>
      <c r="M155" s="66">
        <f>'CUOTA ARTESANAL'!J18</f>
        <v>0.98394748867932358</v>
      </c>
      <c r="N155" s="4" t="str">
        <f>'CUOTA ARTESANAL'!Q18</f>
        <v>-</v>
      </c>
      <c r="O155" s="5">
        <f>RESUMEN!$B$3</f>
        <v>44895</v>
      </c>
      <c r="P155" s="1">
        <f t="shared" si="5"/>
        <v>2022</v>
      </c>
      <c r="Q155" s="1"/>
    </row>
    <row r="156" spans="1:17">
      <c r="A156" s="2" t="s">
        <v>65</v>
      </c>
      <c r="B156" s="1" t="s">
        <v>57</v>
      </c>
      <c r="C156" s="1" t="s">
        <v>71</v>
      </c>
      <c r="D156" s="1" t="s">
        <v>83</v>
      </c>
      <c r="E156" s="1" t="str">
        <f>+'CUOTA ARTESANAL'!C$18</f>
        <v xml:space="preserve"> AG. PAR Y BUZOS DE COQUIMBO AG 55-04</v>
      </c>
      <c r="F156" s="1" t="s">
        <v>59</v>
      </c>
      <c r="G156" s="1" t="s">
        <v>62</v>
      </c>
      <c r="H156" s="3">
        <f>'CUOTA ARTESANAL'!K18</f>
        <v>1520.355</v>
      </c>
      <c r="I156" s="3">
        <f>'CUOTA ARTESANAL'!L18</f>
        <v>-1400</v>
      </c>
      <c r="J156" s="3">
        <f>'CUOTA ARTESANAL'!M18</f>
        <v>120.35500000000002</v>
      </c>
      <c r="K156" s="3">
        <f>'CUOTA ARTESANAL'!N18</f>
        <v>118.423</v>
      </c>
      <c r="L156" s="3">
        <f>'CUOTA ARTESANAL'!O18</f>
        <v>1.9320000000000164</v>
      </c>
      <c r="M156" s="66">
        <f>'CUOTA ARTESANAL'!P18</f>
        <v>0.98394748867932358</v>
      </c>
      <c r="N156" s="4" t="s">
        <v>82</v>
      </c>
      <c r="O156" s="5">
        <f>RESUMEN!$B$3</f>
        <v>44895</v>
      </c>
      <c r="P156" s="1">
        <f t="shared" si="5"/>
        <v>2022</v>
      </c>
      <c r="Q156" s="1"/>
    </row>
    <row r="157" spans="1:17">
      <c r="A157" s="2" t="s">
        <v>65</v>
      </c>
      <c r="B157" s="1" t="s">
        <v>57</v>
      </c>
      <c r="C157" s="1" t="s">
        <v>71</v>
      </c>
      <c r="D157" s="1" t="s">
        <v>83</v>
      </c>
      <c r="E157" s="1" t="str">
        <f>+'CUOTA ARTESANAL'!C$19</f>
        <v>CERCOPESCA. ROL 4276</v>
      </c>
      <c r="F157" s="1" t="s">
        <v>59</v>
      </c>
      <c r="G157" s="1" t="s">
        <v>62</v>
      </c>
      <c r="H157" s="3">
        <f>'CUOTA ARTESANAL'!E19</f>
        <v>8229.6959999999999</v>
      </c>
      <c r="I157" s="3">
        <f>'CUOTA ARTESANAL'!F19</f>
        <v>1913.194</v>
      </c>
      <c r="J157" s="3">
        <f>'CUOTA ARTESANAL'!G19</f>
        <v>10142.89</v>
      </c>
      <c r="K157" s="3">
        <f>'CUOTA ARTESANAL'!H19</f>
        <v>9635.8790000000008</v>
      </c>
      <c r="L157" s="3">
        <f>'CUOTA ARTESANAL'!I19</f>
        <v>507.0109999999986</v>
      </c>
      <c r="M157" s="66">
        <f>'CUOTA ARTESANAL'!J19</f>
        <v>0.95001316192919394</v>
      </c>
      <c r="N157" s="4" t="str">
        <f>'CUOTA ARTESANAL'!Q19</f>
        <v>-</v>
      </c>
      <c r="O157" s="5">
        <f>RESUMEN!$B$3</f>
        <v>44895</v>
      </c>
      <c r="P157" s="1">
        <f t="shared" si="5"/>
        <v>2022</v>
      </c>
      <c r="Q157" s="1"/>
    </row>
    <row r="158" spans="1:17">
      <c r="A158" s="2" t="s">
        <v>65</v>
      </c>
      <c r="B158" s="1" t="s">
        <v>57</v>
      </c>
      <c r="C158" s="1" t="s">
        <v>71</v>
      </c>
      <c r="D158" s="1" t="s">
        <v>83</v>
      </c>
      <c r="E158" s="1" t="str">
        <f>+'CUOTA ARTESANAL'!C$19</f>
        <v>CERCOPESCA. ROL 4276</v>
      </c>
      <c r="F158" s="1" t="s">
        <v>59</v>
      </c>
      <c r="G158" s="1" t="s">
        <v>62</v>
      </c>
      <c r="H158" s="3">
        <f>'CUOTA ARTESANAL'!K19</f>
        <v>8229.6959999999999</v>
      </c>
      <c r="I158" s="3">
        <f>'CUOTA ARTESANAL'!L19</f>
        <v>1913.194</v>
      </c>
      <c r="J158" s="3">
        <f>'CUOTA ARTESANAL'!M19</f>
        <v>10142.89</v>
      </c>
      <c r="K158" s="3">
        <f>'CUOTA ARTESANAL'!N19</f>
        <v>9635.8790000000008</v>
      </c>
      <c r="L158" s="3">
        <f>'CUOTA ARTESANAL'!O19</f>
        <v>507.0109999999986</v>
      </c>
      <c r="M158" s="66">
        <f>'CUOTA ARTESANAL'!P19</f>
        <v>0.95001316192919394</v>
      </c>
      <c r="N158" s="4" t="s">
        <v>82</v>
      </c>
      <c r="O158" s="5">
        <f>RESUMEN!$B$3</f>
        <v>44895</v>
      </c>
      <c r="P158" s="1">
        <f t="shared" si="5"/>
        <v>2022</v>
      </c>
      <c r="Q158" s="1"/>
    </row>
    <row r="159" spans="1:17">
      <c r="A159" s="2" t="s">
        <v>65</v>
      </c>
      <c r="B159" s="1" t="s">
        <v>57</v>
      </c>
      <c r="C159" s="1" t="s">
        <v>71</v>
      </c>
      <c r="D159" s="1" t="s">
        <v>78</v>
      </c>
      <c r="E159" s="1" t="str">
        <f>+'CUOTA ARTESANAL'!C$21</f>
        <v xml:space="preserve"> BOLSON RESIDUAL</v>
      </c>
      <c r="F159" s="1" t="s">
        <v>59</v>
      </c>
      <c r="G159" s="1" t="s">
        <v>62</v>
      </c>
      <c r="H159" s="3">
        <f>'CUOTA ARTESANAL'!E21</f>
        <v>2608.3470000000002</v>
      </c>
      <c r="I159" s="3">
        <f>'CUOTA ARTESANAL'!F21</f>
        <v>0</v>
      </c>
      <c r="J159" s="3">
        <f>'CUOTA ARTESANAL'!G21</f>
        <v>2608.3470000000002</v>
      </c>
      <c r="K159" s="3">
        <f>'CUOTA ARTESANAL'!H21</f>
        <v>1482.6569999999999</v>
      </c>
      <c r="L159" s="3">
        <f>'CUOTA ARTESANAL'!I21</f>
        <v>1125.6900000000003</v>
      </c>
      <c r="M159" s="66">
        <f>'CUOTA ARTESANAL'!J21</f>
        <v>0.5684278203781935</v>
      </c>
      <c r="N159" s="4" t="str">
        <f>'CUOTA ARTESANAL'!Q21</f>
        <v>-</v>
      </c>
      <c r="O159" s="5">
        <f>RESUMEN!$B$3</f>
        <v>44895</v>
      </c>
      <c r="P159" s="1">
        <f t="shared" si="5"/>
        <v>2022</v>
      </c>
      <c r="Q159" s="1"/>
    </row>
    <row r="160" spans="1:17">
      <c r="A160" s="2" t="s">
        <v>65</v>
      </c>
      <c r="B160" s="1" t="s">
        <v>57</v>
      </c>
      <c r="C160" s="1" t="s">
        <v>71</v>
      </c>
      <c r="D160" s="1" t="s">
        <v>78</v>
      </c>
      <c r="E160" s="1" t="str">
        <f>+'CUOTA ARTESANAL'!C$21</f>
        <v xml:space="preserve"> BOLSON RESIDUAL</v>
      </c>
      <c r="F160" s="1" t="s">
        <v>59</v>
      </c>
      <c r="G160" s="1" t="s">
        <v>62</v>
      </c>
      <c r="H160" s="3">
        <f>'CUOTA ARTESANAL'!K21</f>
        <v>2608.3470000000002</v>
      </c>
      <c r="I160" s="3">
        <f>'CUOTA ARTESANAL'!L21</f>
        <v>0</v>
      </c>
      <c r="J160" s="3">
        <f>'CUOTA ARTESANAL'!M21</f>
        <v>2608.3470000000002</v>
      </c>
      <c r="K160" s="3">
        <f>'CUOTA ARTESANAL'!N21</f>
        <v>1482.6569999999999</v>
      </c>
      <c r="L160" s="3">
        <f>'CUOTA ARTESANAL'!O21</f>
        <v>1125.6900000000003</v>
      </c>
      <c r="M160" s="66">
        <f>'CUOTA ARTESANAL'!P21</f>
        <v>0.5684278203781935</v>
      </c>
      <c r="N160" s="4" t="s">
        <v>82</v>
      </c>
      <c r="O160" s="5">
        <f>RESUMEN!$B$3</f>
        <v>44895</v>
      </c>
      <c r="P160" s="1">
        <f t="shared" si="5"/>
        <v>2022</v>
      </c>
      <c r="Q160" s="1"/>
    </row>
    <row r="161" spans="1:17">
      <c r="A161" s="2" t="s">
        <v>68</v>
      </c>
      <c r="B161" s="1" t="s">
        <v>57</v>
      </c>
      <c r="C161" s="1" t="s">
        <v>72</v>
      </c>
      <c r="D161" s="1" t="s">
        <v>83</v>
      </c>
      <c r="E161" s="1" t="str">
        <f>+'CUOTA ARTESANAL'!C$24</f>
        <v>AG DEL PUERTO DE SAN ANTONIO. RAG 2510</v>
      </c>
      <c r="F161" s="1" t="s">
        <v>59</v>
      </c>
      <c r="G161" s="1" t="s">
        <v>62</v>
      </c>
      <c r="H161" s="3">
        <f>'CUOTA ARTESANAL'!E24</f>
        <v>4789.4610000000002</v>
      </c>
      <c r="I161" s="3">
        <f>'CUOTA ARTESANAL'!F24</f>
        <v>-4788</v>
      </c>
      <c r="J161" s="3">
        <f>'CUOTA ARTESANAL'!G24</f>
        <v>1.4610000000002401</v>
      </c>
      <c r="K161" s="3">
        <f>'CUOTA ARTESANAL'!H24</f>
        <v>0</v>
      </c>
      <c r="L161" s="3">
        <f>'CUOTA ARTESANAL'!I24</f>
        <v>1.4610000000002401</v>
      </c>
      <c r="M161" s="66">
        <f>'CUOTA ARTESANAL'!J24</f>
        <v>0</v>
      </c>
      <c r="N161" s="11" t="str">
        <f>'CUOTA ARTESANAL'!Q24</f>
        <v>-</v>
      </c>
      <c r="O161" s="5">
        <f>RESUMEN!$B$3</f>
        <v>44895</v>
      </c>
      <c r="P161" s="1">
        <f t="shared" si="5"/>
        <v>2022</v>
      </c>
      <c r="Q161" s="1"/>
    </row>
    <row r="162" spans="1:17">
      <c r="A162" s="2" t="s">
        <v>68</v>
      </c>
      <c r="B162" s="1" t="s">
        <v>57</v>
      </c>
      <c r="C162" s="1" t="s">
        <v>72</v>
      </c>
      <c r="D162" s="1" t="s">
        <v>83</v>
      </c>
      <c r="E162" s="1" t="str">
        <f>+'CUOTA ARTESANAL'!C$24</f>
        <v>AG DEL PUERTO DE SAN ANTONIO. RAG 2510</v>
      </c>
      <c r="F162" s="1" t="s">
        <v>59</v>
      </c>
      <c r="G162" s="1" t="s">
        <v>62</v>
      </c>
      <c r="H162" s="3">
        <f>'CUOTA ARTESANAL'!K24</f>
        <v>4789.4610000000002</v>
      </c>
      <c r="I162" s="3">
        <f>'CUOTA ARTESANAL'!L24</f>
        <v>-4788</v>
      </c>
      <c r="J162" s="3">
        <f>'CUOTA ARTESANAL'!M24</f>
        <v>1.4610000000002401</v>
      </c>
      <c r="K162" s="3">
        <f>'CUOTA ARTESANAL'!N24</f>
        <v>0</v>
      </c>
      <c r="L162" s="3">
        <f>'CUOTA ARTESANAL'!O24</f>
        <v>1.4610000000002401</v>
      </c>
      <c r="M162" s="66">
        <f>'CUOTA ARTESANAL'!P24</f>
        <v>0</v>
      </c>
      <c r="N162" s="4" t="s">
        <v>82</v>
      </c>
      <c r="O162" s="5">
        <f>RESUMEN!$B$3</f>
        <v>44895</v>
      </c>
      <c r="P162" s="1">
        <f t="shared" si="5"/>
        <v>2022</v>
      </c>
      <c r="Q162" s="1"/>
    </row>
    <row r="163" spans="1:17">
      <c r="A163" s="2" t="s">
        <v>68</v>
      </c>
      <c r="B163" s="1" t="s">
        <v>57</v>
      </c>
      <c r="C163" s="1" t="s">
        <v>72</v>
      </c>
      <c r="D163" s="1" t="s">
        <v>83</v>
      </c>
      <c r="E163" s="1" t="str">
        <f>+'CUOTA ARTESANAL'!C$25</f>
        <v>AG AGRAPES A.G 4399</v>
      </c>
      <c r="F163" s="1" t="s">
        <v>59</v>
      </c>
      <c r="G163" s="1" t="s">
        <v>62</v>
      </c>
      <c r="H163" s="3">
        <f>'CUOTA ARTESANAL'!E25</f>
        <v>81.819999999999993</v>
      </c>
      <c r="I163" s="3">
        <f>'CUOTA ARTESANAL'!F25</f>
        <v>-81.819999999999993</v>
      </c>
      <c r="J163" s="3">
        <f>'CUOTA ARTESANAL'!G25</f>
        <v>0</v>
      </c>
      <c r="K163" s="3">
        <f>'CUOTA ARTESANAL'!H25</f>
        <v>0</v>
      </c>
      <c r="L163" s="3">
        <f>'CUOTA ARTESANAL'!I25</f>
        <v>0</v>
      </c>
      <c r="M163" s="66">
        <f>'CUOTA ARTESANAL'!J25</f>
        <v>0</v>
      </c>
      <c r="N163" s="4" t="str">
        <f>+'CUOTA ARTESANAL'!Q25</f>
        <v>-</v>
      </c>
      <c r="O163" s="5">
        <f>RESUMEN!$B$3</f>
        <v>44895</v>
      </c>
      <c r="P163" s="1">
        <f t="shared" si="5"/>
        <v>2022</v>
      </c>
      <c r="Q163" s="1"/>
    </row>
    <row r="164" spans="1:17">
      <c r="A164" s="2" t="s">
        <v>68</v>
      </c>
      <c r="B164" s="1" t="s">
        <v>57</v>
      </c>
      <c r="C164" s="1" t="s">
        <v>72</v>
      </c>
      <c r="D164" s="1" t="s">
        <v>83</v>
      </c>
      <c r="E164" s="1" t="str">
        <f>+'CUOTA ARTESANAL'!C$25</f>
        <v>AG AGRAPES A.G 4399</v>
      </c>
      <c r="F164" s="1" t="s">
        <v>59</v>
      </c>
      <c r="G164" s="1" t="s">
        <v>62</v>
      </c>
      <c r="H164" s="3">
        <f>'CUOTA ARTESANAL'!K25</f>
        <v>81.819999999999993</v>
      </c>
      <c r="I164" s="3">
        <f>'CUOTA ARTESANAL'!L25</f>
        <v>-81.819999999999993</v>
      </c>
      <c r="J164" s="3">
        <f>'CUOTA ARTESANAL'!M25</f>
        <v>0</v>
      </c>
      <c r="K164" s="3">
        <f>'CUOTA ARTESANAL'!N25</f>
        <v>0</v>
      </c>
      <c r="L164" s="3">
        <f>'CUOTA ARTESANAL'!O25</f>
        <v>0</v>
      </c>
      <c r="M164" s="66" t="e">
        <f>'CUOTA ARTESANAL'!P25</f>
        <v>#DIV/0!</v>
      </c>
      <c r="N164" s="4" t="s">
        <v>82</v>
      </c>
      <c r="O164" s="5">
        <f>RESUMEN!$B$3</f>
        <v>44895</v>
      </c>
      <c r="P164" s="1">
        <f t="shared" si="5"/>
        <v>2022</v>
      </c>
      <c r="Q164" s="1"/>
    </row>
    <row r="165" spans="1:17">
      <c r="A165" s="2" t="s">
        <v>68</v>
      </c>
      <c r="B165" s="1" t="s">
        <v>57</v>
      </c>
      <c r="C165" s="1" t="s">
        <v>72</v>
      </c>
      <c r="D165" s="1" t="s">
        <v>83</v>
      </c>
      <c r="E165" s="1" t="str">
        <f>'CUOTA ARTESANAL'!C26</f>
        <v>STI DE PESCADORES MONTEMAR RSU 05.04.0117</v>
      </c>
      <c r="F165" s="1" t="s">
        <v>59</v>
      </c>
      <c r="G165" s="1" t="s">
        <v>62</v>
      </c>
      <c r="H165" s="3">
        <f>'CUOTA ARTESANAL'!E26</f>
        <v>2.431</v>
      </c>
      <c r="I165" s="3">
        <f>'CUOTA ARTESANAL'!F26</f>
        <v>0</v>
      </c>
      <c r="J165" s="3">
        <f>'CUOTA ARTESANAL'!G26</f>
        <v>2.431</v>
      </c>
      <c r="K165" s="3">
        <f>'CUOTA ARTESANAL'!H26</f>
        <v>0</v>
      </c>
      <c r="L165" s="3">
        <f>'CUOTA ARTESANAL'!I26</f>
        <v>2.431</v>
      </c>
      <c r="M165" s="66">
        <f>'CUOTA ARTESANAL'!J26</f>
        <v>0</v>
      </c>
      <c r="N165" s="4" t="str">
        <f>'CUOTA ARTESANAL'!Q26</f>
        <v>-</v>
      </c>
      <c r="O165" s="5">
        <f>RESUMEN!$B$3</f>
        <v>44895</v>
      </c>
      <c r="P165" s="1">
        <f t="shared" si="5"/>
        <v>2022</v>
      </c>
      <c r="Q165" s="1"/>
    </row>
    <row r="166" spans="1:17">
      <c r="A166" s="2" t="s">
        <v>68</v>
      </c>
      <c r="B166" s="1" t="s">
        <v>57</v>
      </c>
      <c r="C166" s="1" t="s">
        <v>72</v>
      </c>
      <c r="D166" s="1" t="s">
        <v>83</v>
      </c>
      <c r="E166" s="1" t="str">
        <f>'CUOTA ARTESANAL'!C26</f>
        <v>STI DE PESCADORES MONTEMAR RSU 05.04.0117</v>
      </c>
      <c r="F166" s="1" t="s">
        <v>59</v>
      </c>
      <c r="G166" s="1" t="s">
        <v>62</v>
      </c>
      <c r="H166" s="3">
        <f>'CUOTA ARTESANAL'!K26</f>
        <v>2.431</v>
      </c>
      <c r="I166" s="3">
        <f>'CUOTA ARTESANAL'!L26</f>
        <v>0</v>
      </c>
      <c r="J166" s="3">
        <f>'CUOTA ARTESANAL'!M26</f>
        <v>2.431</v>
      </c>
      <c r="K166" s="3">
        <f>'CUOTA ARTESANAL'!N26</f>
        <v>0</v>
      </c>
      <c r="L166" s="3">
        <f>'CUOTA ARTESANAL'!O26</f>
        <v>2.431</v>
      </c>
      <c r="M166" s="66">
        <f>'CUOTA ARTESANAL'!P26</f>
        <v>0</v>
      </c>
      <c r="N166" s="4" t="s">
        <v>82</v>
      </c>
      <c r="O166" s="5">
        <f>RESUMEN!$B$3</f>
        <v>44895</v>
      </c>
      <c r="P166" s="1">
        <f t="shared" si="5"/>
        <v>2022</v>
      </c>
      <c r="Q166" s="1"/>
    </row>
    <row r="167" spans="1:17">
      <c r="A167" s="2" t="s">
        <v>68</v>
      </c>
      <c r="B167" s="1" t="s">
        <v>57</v>
      </c>
      <c r="C167" s="1" t="s">
        <v>72</v>
      </c>
      <c r="D167" s="1" t="s">
        <v>83</v>
      </c>
      <c r="E167" s="1" t="str">
        <f>+'CUOTA ARTESANAL'!C$27</f>
        <v>STI MUELLE SUD AMERICANA. RSU 5010462</v>
      </c>
      <c r="F167" s="1" t="s">
        <v>59</v>
      </c>
      <c r="G167" s="1" t="s">
        <v>62</v>
      </c>
      <c r="H167" s="3">
        <f>+'CUOTA ARTESANAL'!E27</f>
        <v>166.88399999999999</v>
      </c>
      <c r="I167" s="3">
        <f>+'CUOTA ARTESANAL'!F27</f>
        <v>-150</v>
      </c>
      <c r="J167" s="3">
        <f>+'CUOTA ARTESANAL'!G27</f>
        <v>16.883999999999986</v>
      </c>
      <c r="K167" s="3">
        <f>+'CUOTA ARTESANAL'!H27</f>
        <v>6.78</v>
      </c>
      <c r="L167" s="3">
        <f>+'CUOTA ARTESANAL'!I27</f>
        <v>10.103999999999985</v>
      </c>
      <c r="M167" s="66">
        <f>+'CUOTA ARTESANAL'!J27</f>
        <v>0.40156361051883477</v>
      </c>
      <c r="N167" s="4" t="str">
        <f>+'CUOTA ARTESANAL'!Q27</f>
        <v>-</v>
      </c>
      <c r="O167" s="5">
        <f>RESUMEN!$B$3</f>
        <v>44895</v>
      </c>
      <c r="P167" s="1">
        <f t="shared" si="5"/>
        <v>2022</v>
      </c>
      <c r="Q167" s="1"/>
    </row>
    <row r="168" spans="1:17">
      <c r="A168" s="2" t="s">
        <v>68</v>
      </c>
      <c r="B168" s="1" t="s">
        <v>57</v>
      </c>
      <c r="C168" s="1" t="s">
        <v>72</v>
      </c>
      <c r="D168" s="1" t="s">
        <v>83</v>
      </c>
      <c r="E168" s="1" t="str">
        <f>+'CUOTA ARTESANAL'!C$27</f>
        <v>STI MUELLE SUD AMERICANA. RSU 5010462</v>
      </c>
      <c r="F168" s="1" t="s">
        <v>59</v>
      </c>
      <c r="G168" s="1" t="s">
        <v>62</v>
      </c>
      <c r="H168" s="3">
        <f>'CUOTA ARTESANAL'!K27</f>
        <v>166.88399999999999</v>
      </c>
      <c r="I168" s="3">
        <f>'CUOTA ARTESANAL'!L27</f>
        <v>-150</v>
      </c>
      <c r="J168" s="3">
        <f>'CUOTA ARTESANAL'!M27</f>
        <v>16.883999999999986</v>
      </c>
      <c r="K168" s="3">
        <f>'CUOTA ARTESANAL'!N27</f>
        <v>6.78</v>
      </c>
      <c r="L168" s="3">
        <f>'CUOTA ARTESANAL'!O27</f>
        <v>10.103999999999985</v>
      </c>
      <c r="M168" s="66">
        <f>'CUOTA ARTESANAL'!P27</f>
        <v>0.40156361051883477</v>
      </c>
      <c r="N168" s="4" t="s">
        <v>82</v>
      </c>
      <c r="O168" s="5">
        <f>RESUMEN!$B$3</f>
        <v>44895</v>
      </c>
      <c r="P168" s="1">
        <f t="shared" si="5"/>
        <v>2022</v>
      </c>
      <c r="Q168" s="1"/>
    </row>
    <row r="169" spans="1:17">
      <c r="A169" s="2" t="s">
        <v>68</v>
      </c>
      <c r="B169" s="1" t="s">
        <v>57</v>
      </c>
      <c r="C169" s="1" t="s">
        <v>72</v>
      </c>
      <c r="D169" s="1" t="s">
        <v>83</v>
      </c>
      <c r="E169" s="1" t="str">
        <f>+'CUOTA ARTESANAL'!C$28</f>
        <v>STI CALETA EMBARCADERO DE QUINTERO. RSU 05.06.0125</v>
      </c>
      <c r="F169" s="1" t="s">
        <v>59</v>
      </c>
      <c r="G169" s="1" t="s">
        <v>62</v>
      </c>
      <c r="H169" s="3">
        <f>+'CUOTA ARTESANAL'!E28</f>
        <v>127.926</v>
      </c>
      <c r="I169" s="3">
        <f>+'CUOTA ARTESANAL'!F28</f>
        <v>0</v>
      </c>
      <c r="J169" s="3">
        <f>+'CUOTA ARTESANAL'!G28</f>
        <v>127.926</v>
      </c>
      <c r="K169" s="3">
        <f>+'CUOTA ARTESANAL'!H28</f>
        <v>0</v>
      </c>
      <c r="L169" s="3">
        <f>+'CUOTA ARTESANAL'!I28</f>
        <v>127.926</v>
      </c>
      <c r="M169" s="66">
        <f>+'CUOTA ARTESANAL'!J28</f>
        <v>0</v>
      </c>
      <c r="N169" s="4" t="str">
        <f>+'CUOTA ARTESANAL'!Q28</f>
        <v>-</v>
      </c>
      <c r="O169" s="5">
        <f>RESUMEN!$B$3</f>
        <v>44895</v>
      </c>
      <c r="P169" s="1">
        <f t="shared" si="5"/>
        <v>2022</v>
      </c>
      <c r="Q169" s="1"/>
    </row>
    <row r="170" spans="1:17">
      <c r="A170" s="2" t="s">
        <v>68</v>
      </c>
      <c r="B170" s="1" t="s">
        <v>57</v>
      </c>
      <c r="C170" s="1" t="s">
        <v>72</v>
      </c>
      <c r="D170" s="1" t="s">
        <v>83</v>
      </c>
      <c r="E170" s="1" t="str">
        <f>+'CUOTA ARTESANAL'!C$28</f>
        <v>STI CALETA EMBARCADERO DE QUINTERO. RSU 05.06.0125</v>
      </c>
      <c r="F170" s="1" t="s">
        <v>59</v>
      </c>
      <c r="G170" s="1" t="s">
        <v>62</v>
      </c>
      <c r="H170" s="3">
        <f>+'CUOTA ARTESANAL'!K28</f>
        <v>127.926</v>
      </c>
      <c r="I170" s="3">
        <f>+'CUOTA ARTESANAL'!L28</f>
        <v>0</v>
      </c>
      <c r="J170" s="3">
        <f>+'CUOTA ARTESANAL'!M28</f>
        <v>127.926</v>
      </c>
      <c r="K170" s="3">
        <f>+'CUOTA ARTESANAL'!N28</f>
        <v>0</v>
      </c>
      <c r="L170" s="3">
        <f>+'CUOTA ARTESANAL'!O28</f>
        <v>127.926</v>
      </c>
      <c r="M170" s="66">
        <f>+'CUOTA ARTESANAL'!P28</f>
        <v>0</v>
      </c>
      <c r="N170" s="4" t="s">
        <v>82</v>
      </c>
      <c r="O170" s="5">
        <f>RESUMEN!$B$3</f>
        <v>44895</v>
      </c>
      <c r="P170" s="1">
        <f t="shared" si="5"/>
        <v>2022</v>
      </c>
      <c r="Q170" s="1"/>
    </row>
    <row r="171" spans="1:17">
      <c r="A171" s="2" t="s">
        <v>68</v>
      </c>
      <c r="B171" s="1" t="s">
        <v>57</v>
      </c>
      <c r="C171" s="1" t="s">
        <v>72</v>
      </c>
      <c r="D171" s="1" t="s">
        <v>78</v>
      </c>
      <c r="E171" s="1" t="s">
        <v>78</v>
      </c>
      <c r="F171" s="1" t="s">
        <v>59</v>
      </c>
      <c r="G171" s="1" t="s">
        <v>62</v>
      </c>
      <c r="H171" s="3">
        <f>'CUOTA ARTESANAL'!E29</f>
        <v>714.47799999999995</v>
      </c>
      <c r="I171" s="3">
        <f>'CUOTA ARTESANAL'!F29</f>
        <v>0</v>
      </c>
      <c r="J171" s="3">
        <f>'CUOTA ARTESANAL'!G29</f>
        <v>714.47799999999995</v>
      </c>
      <c r="K171" s="3">
        <f>'CUOTA ARTESANAL'!H29</f>
        <v>54.438000000000002</v>
      </c>
      <c r="L171" s="3">
        <f>'CUOTA ARTESANAL'!I29</f>
        <v>660.04</v>
      </c>
      <c r="M171" s="66">
        <f>'CUOTA ARTESANAL'!J29</f>
        <v>7.6192688928140559E-2</v>
      </c>
      <c r="N171" s="4" t="str">
        <f>'CUOTA ARTESANAL'!Q29</f>
        <v>-</v>
      </c>
      <c r="O171" s="5">
        <f>RESUMEN!$B$3</f>
        <v>44895</v>
      </c>
      <c r="P171" s="1">
        <f t="shared" si="5"/>
        <v>2022</v>
      </c>
      <c r="Q171" s="1"/>
    </row>
    <row r="172" spans="1:17">
      <c r="A172" s="2" t="s">
        <v>68</v>
      </c>
      <c r="B172" s="1" t="s">
        <v>57</v>
      </c>
      <c r="C172" s="1" t="s">
        <v>72</v>
      </c>
      <c r="D172" s="1" t="s">
        <v>78</v>
      </c>
      <c r="E172" s="1" t="s">
        <v>78</v>
      </c>
      <c r="F172" s="1" t="s">
        <v>59</v>
      </c>
      <c r="G172" s="1" t="s">
        <v>62</v>
      </c>
      <c r="H172" s="3">
        <f>'CUOTA ARTESANAL'!K29</f>
        <v>714.47799999999995</v>
      </c>
      <c r="I172" s="3">
        <f>'CUOTA ARTESANAL'!L29</f>
        <v>0</v>
      </c>
      <c r="J172" s="3">
        <f>'CUOTA ARTESANAL'!M29</f>
        <v>714.47799999999995</v>
      </c>
      <c r="K172" s="3">
        <f>'CUOTA ARTESANAL'!N29</f>
        <v>54.438000000000002</v>
      </c>
      <c r="L172" s="3">
        <f>'CUOTA ARTESANAL'!O29</f>
        <v>660.04</v>
      </c>
      <c r="M172" s="66">
        <f>'CUOTA ARTESANAL'!P29</f>
        <v>7.6192688928140559E-2</v>
      </c>
      <c r="N172" s="4" t="s">
        <v>82</v>
      </c>
      <c r="O172" s="5">
        <f>RESUMEN!$B$3</f>
        <v>44895</v>
      </c>
      <c r="P172" s="1">
        <f t="shared" si="5"/>
        <v>2022</v>
      </c>
      <c r="Q172" s="1"/>
    </row>
    <row r="173" spans="1:17">
      <c r="A173" s="2" t="s">
        <v>68</v>
      </c>
      <c r="B173" s="1" t="s">
        <v>57</v>
      </c>
      <c r="C173" s="1" t="s">
        <v>73</v>
      </c>
      <c r="D173" s="1" t="s">
        <v>64</v>
      </c>
      <c r="E173" s="1" t="s">
        <v>74</v>
      </c>
      <c r="F173" s="1" t="s">
        <v>59</v>
      </c>
      <c r="G173" s="1" t="s">
        <v>62</v>
      </c>
      <c r="H173" s="3">
        <f>'CUOTA ARTESANAL'!E32</f>
        <v>23</v>
      </c>
      <c r="I173" s="3">
        <f>'CUOTA ARTESANAL'!F32</f>
        <v>0</v>
      </c>
      <c r="J173" s="3">
        <f>'CUOTA ARTESANAL'!G32</f>
        <v>23</v>
      </c>
      <c r="K173" s="3">
        <f>'CUOTA ARTESANAL'!H32</f>
        <v>13.590999999999999</v>
      </c>
      <c r="L173" s="3">
        <f>'CUOTA ARTESANAL'!I32</f>
        <v>9.4090000000000007</v>
      </c>
      <c r="M173" s="66">
        <f>'CUOTA ARTESANAL'!J32</f>
        <v>0.59091304347826079</v>
      </c>
      <c r="N173" s="4" t="str">
        <f>'CUOTA ARTESANAL'!Q32</f>
        <v>-</v>
      </c>
      <c r="O173" s="5">
        <f>RESUMEN!$B$3</f>
        <v>44895</v>
      </c>
      <c r="P173" s="1">
        <f t="shared" ref="P173:P213" si="7">YEAR(O173)</f>
        <v>2022</v>
      </c>
      <c r="Q173" s="1"/>
    </row>
    <row r="174" spans="1:17">
      <c r="A174" s="2" t="s">
        <v>68</v>
      </c>
      <c r="B174" s="1" t="s">
        <v>57</v>
      </c>
      <c r="C174" s="1" t="s">
        <v>73</v>
      </c>
      <c r="D174" s="1" t="s">
        <v>64</v>
      </c>
      <c r="E174" s="1" t="s">
        <v>74</v>
      </c>
      <c r="F174" s="1" t="s">
        <v>59</v>
      </c>
      <c r="G174" s="1" t="s">
        <v>62</v>
      </c>
      <c r="H174" s="3">
        <f>'CUOTA ARTESANAL'!K32</f>
        <v>23</v>
      </c>
      <c r="I174" s="3">
        <f>'CUOTA ARTESANAL'!L32</f>
        <v>0</v>
      </c>
      <c r="J174" s="3">
        <f>'CUOTA ARTESANAL'!M32</f>
        <v>23</v>
      </c>
      <c r="K174" s="3">
        <f>'CUOTA ARTESANAL'!N32</f>
        <v>13.590999999999999</v>
      </c>
      <c r="L174" s="3">
        <f>'CUOTA ARTESANAL'!O32</f>
        <v>9.4090000000000007</v>
      </c>
      <c r="M174" s="66">
        <f>'CUOTA ARTESANAL'!P32</f>
        <v>0.59091304347826079</v>
      </c>
      <c r="N174" s="4" t="s">
        <v>82</v>
      </c>
      <c r="O174" s="5">
        <f>RESUMEN!$B$3</f>
        <v>44895</v>
      </c>
      <c r="P174" s="1">
        <f t="shared" si="7"/>
        <v>2022</v>
      </c>
      <c r="Q174" s="1"/>
    </row>
    <row r="175" spans="1:17">
      <c r="A175" s="2" t="s">
        <v>68</v>
      </c>
      <c r="B175" s="1" t="s">
        <v>57</v>
      </c>
      <c r="C175" s="1" t="s">
        <v>39</v>
      </c>
      <c r="D175" s="1" t="s">
        <v>64</v>
      </c>
      <c r="E175" s="1" t="s">
        <v>75</v>
      </c>
      <c r="F175" s="1" t="s">
        <v>59</v>
      </c>
      <c r="G175" s="1" t="s">
        <v>62</v>
      </c>
      <c r="H175" s="3">
        <f>'CUOTA ARTESANAL'!E35</f>
        <v>192</v>
      </c>
      <c r="I175" s="3">
        <f>'CUOTA ARTESANAL'!F35</f>
        <v>0</v>
      </c>
      <c r="J175" s="3">
        <f>'CUOTA ARTESANAL'!G35</f>
        <v>192</v>
      </c>
      <c r="K175" s="3">
        <f>'CUOTA ARTESANAL'!H35</f>
        <v>174.982</v>
      </c>
      <c r="L175" s="3">
        <f>'CUOTA ARTESANAL'!I35</f>
        <v>17.018000000000001</v>
      </c>
      <c r="M175" s="66">
        <f>'CUOTA ARTESANAL'!J35</f>
        <v>0.91136458333333337</v>
      </c>
      <c r="N175" s="4" t="str">
        <f>'CUOTA ARTESANAL'!Q35</f>
        <v>-</v>
      </c>
      <c r="O175" s="5">
        <f>RESUMEN!$B$3</f>
        <v>44895</v>
      </c>
      <c r="P175" s="1">
        <f t="shared" si="7"/>
        <v>2022</v>
      </c>
      <c r="Q175" s="1"/>
    </row>
    <row r="176" spans="1:17">
      <c r="A176" s="2" t="s">
        <v>68</v>
      </c>
      <c r="B176" s="1" t="s">
        <v>57</v>
      </c>
      <c r="C176" s="1" t="s">
        <v>39</v>
      </c>
      <c r="D176" s="1" t="s">
        <v>64</v>
      </c>
      <c r="E176" s="1" t="s">
        <v>75</v>
      </c>
      <c r="F176" s="1" t="s">
        <v>59</v>
      </c>
      <c r="G176" s="1" t="s">
        <v>62</v>
      </c>
      <c r="H176" s="3">
        <f>'CUOTA ARTESANAL'!K35</f>
        <v>192</v>
      </c>
      <c r="I176" s="3">
        <f>'CUOTA ARTESANAL'!L35</f>
        <v>0</v>
      </c>
      <c r="J176" s="3">
        <f>'CUOTA ARTESANAL'!M35</f>
        <v>192</v>
      </c>
      <c r="K176" s="3">
        <f>'CUOTA ARTESANAL'!N35</f>
        <v>174.982</v>
      </c>
      <c r="L176" s="3">
        <f>'CUOTA ARTESANAL'!O35</f>
        <v>17.018000000000001</v>
      </c>
      <c r="M176" s="66">
        <f>'CUOTA ARTESANAL'!P35</f>
        <v>0.91136458333333337</v>
      </c>
      <c r="N176" s="4" t="s">
        <v>82</v>
      </c>
      <c r="O176" s="5">
        <f>RESUMEN!$B$3</f>
        <v>44895</v>
      </c>
      <c r="P176" s="1">
        <f t="shared" si="7"/>
        <v>2022</v>
      </c>
      <c r="Q176" s="1"/>
    </row>
    <row r="177" spans="1:17">
      <c r="A177" s="2" t="s">
        <v>68</v>
      </c>
      <c r="B177" s="1" t="s">
        <v>57</v>
      </c>
      <c r="C177" s="1" t="s">
        <v>40</v>
      </c>
      <c r="D177" s="1" t="s">
        <v>64</v>
      </c>
      <c r="E177" s="1" t="s">
        <v>103</v>
      </c>
      <c r="F177" s="1" t="s">
        <v>59</v>
      </c>
      <c r="G177" s="1" t="s">
        <v>62</v>
      </c>
      <c r="H177" s="3">
        <f>'CUOTA ARTESANAL'!E38</f>
        <v>12536</v>
      </c>
      <c r="I177" s="3">
        <f>'CUOTA ARTESANAL'!F38</f>
        <v>0</v>
      </c>
      <c r="J177" s="3">
        <f>'CUOTA ARTESANAL'!G38</f>
        <v>12536</v>
      </c>
      <c r="K177" s="3">
        <f>'CUOTA ARTESANAL'!H38</f>
        <v>16714.684000000001</v>
      </c>
      <c r="L177" s="3">
        <f>'CUOTA ARTESANAL'!I38</f>
        <v>-4178.6840000000011</v>
      </c>
      <c r="M177" s="66">
        <f>'CUOTA ARTESANAL'!J38</f>
        <v>1.3333347160178686</v>
      </c>
      <c r="N177" s="4">
        <f>'CUOTA ARTESANAL'!Q38</f>
        <v>44570</v>
      </c>
      <c r="O177" s="5">
        <f>RESUMEN!$B$3</f>
        <v>44895</v>
      </c>
      <c r="P177" s="1">
        <f t="shared" si="7"/>
        <v>2022</v>
      </c>
      <c r="Q177" s="1"/>
    </row>
    <row r="178" spans="1:17">
      <c r="A178" s="2" t="s">
        <v>68</v>
      </c>
      <c r="B178" s="1" t="s">
        <v>57</v>
      </c>
      <c r="C178" s="1" t="s">
        <v>40</v>
      </c>
      <c r="D178" s="1" t="s">
        <v>64</v>
      </c>
      <c r="E178" s="1" t="s">
        <v>103</v>
      </c>
      <c r="F178" s="1" t="s">
        <v>59</v>
      </c>
      <c r="G178" s="1" t="s">
        <v>62</v>
      </c>
      <c r="H178" s="3">
        <f>'CUOTA ARTESANAL'!K38</f>
        <v>12536</v>
      </c>
      <c r="I178" s="3">
        <f>'CUOTA ARTESANAL'!L38</f>
        <v>0</v>
      </c>
      <c r="J178" s="3">
        <f>'CUOTA ARTESANAL'!M38</f>
        <v>12536</v>
      </c>
      <c r="K178" s="3">
        <f>'CUOTA ARTESANAL'!N38</f>
        <v>16714.684000000001</v>
      </c>
      <c r="L178" s="3">
        <f>'CUOTA ARTESANAL'!O38</f>
        <v>-4178.6840000000011</v>
      </c>
      <c r="M178" s="66">
        <f>'CUOTA ARTESANAL'!P38</f>
        <v>1.3333347160178686</v>
      </c>
      <c r="N178" s="4" t="s">
        <v>82</v>
      </c>
      <c r="O178" s="5">
        <f>RESUMEN!$B$3</f>
        <v>44895</v>
      </c>
      <c r="P178" s="1">
        <f t="shared" si="7"/>
        <v>2022</v>
      </c>
      <c r="Q178" s="1"/>
    </row>
    <row r="179" spans="1:17">
      <c r="A179" s="2" t="s">
        <v>68</v>
      </c>
      <c r="B179" s="1" t="s">
        <v>57</v>
      </c>
      <c r="C179" s="1" t="s">
        <v>23</v>
      </c>
      <c r="D179" s="1" t="s">
        <v>64</v>
      </c>
      <c r="E179" s="1" t="s">
        <v>76</v>
      </c>
      <c r="F179" s="1" t="s">
        <v>59</v>
      </c>
      <c r="G179" s="1" t="s">
        <v>62</v>
      </c>
      <c r="H179" s="3">
        <f>'CUOTA ARTESANAL'!E41</f>
        <v>282</v>
      </c>
      <c r="I179" s="3">
        <f>'CUOTA ARTESANAL'!F41</f>
        <v>0</v>
      </c>
      <c r="J179" s="3">
        <f>'CUOTA ARTESANAL'!G41</f>
        <v>282</v>
      </c>
      <c r="K179" s="3">
        <f>'CUOTA ARTESANAL'!H41</f>
        <v>5.4930000000000003</v>
      </c>
      <c r="L179" s="3">
        <f>'CUOTA ARTESANAL'!I41</f>
        <v>276.50700000000001</v>
      </c>
      <c r="M179" s="66">
        <f>'CUOTA ARTESANAL'!J41</f>
        <v>1.947872340425532E-2</v>
      </c>
      <c r="N179" s="4" t="str">
        <f>'CUOTA ARTESANAL'!Q41</f>
        <v>-</v>
      </c>
      <c r="O179" s="5">
        <f>RESUMEN!$B$3</f>
        <v>44895</v>
      </c>
      <c r="P179" s="1">
        <f t="shared" si="7"/>
        <v>2022</v>
      </c>
      <c r="Q179" s="1"/>
    </row>
    <row r="180" spans="1:17">
      <c r="A180" s="2" t="s">
        <v>68</v>
      </c>
      <c r="B180" s="1" t="s">
        <v>57</v>
      </c>
      <c r="C180" s="1" t="s">
        <v>23</v>
      </c>
      <c r="D180" s="1" t="s">
        <v>64</v>
      </c>
      <c r="E180" s="1" t="s">
        <v>76</v>
      </c>
      <c r="F180" s="1" t="s">
        <v>59</v>
      </c>
      <c r="G180" s="1" t="s">
        <v>62</v>
      </c>
      <c r="H180" s="3">
        <f>'CUOTA ARTESANAL'!K41</f>
        <v>282</v>
      </c>
      <c r="I180" s="3">
        <f>'CUOTA ARTESANAL'!L41</f>
        <v>0</v>
      </c>
      <c r="J180" s="3">
        <f>'CUOTA ARTESANAL'!M41</f>
        <v>282</v>
      </c>
      <c r="K180" s="3">
        <f>'CUOTA ARTESANAL'!N41</f>
        <v>5.4930000000000003</v>
      </c>
      <c r="L180" s="3">
        <f>'CUOTA ARTESANAL'!O41</f>
        <v>276.50700000000001</v>
      </c>
      <c r="M180" s="66">
        <f>'CUOTA ARTESANAL'!P41</f>
        <v>1.947872340425532E-2</v>
      </c>
      <c r="N180" s="4" t="s">
        <v>82</v>
      </c>
      <c r="O180" s="5">
        <f>RESUMEN!$B$3</f>
        <v>44895</v>
      </c>
      <c r="P180" s="1">
        <f t="shared" si="7"/>
        <v>2022</v>
      </c>
      <c r="Q180" s="1"/>
    </row>
    <row r="181" spans="1:17">
      <c r="A181" s="1" t="s">
        <v>69</v>
      </c>
      <c r="B181" s="1" t="s">
        <v>57</v>
      </c>
      <c r="C181" s="1" t="s">
        <v>24</v>
      </c>
      <c r="D181" s="1" t="s">
        <v>64</v>
      </c>
      <c r="E181" s="1" t="s">
        <v>77</v>
      </c>
      <c r="F181" s="1" t="s">
        <v>59</v>
      </c>
      <c r="G181" s="1" t="s">
        <v>62</v>
      </c>
      <c r="H181" s="3">
        <f>'CUOTA ARTESANAL'!E44</f>
        <v>1466</v>
      </c>
      <c r="I181" s="3">
        <f>'CUOTA ARTESANAL'!F44</f>
        <v>0</v>
      </c>
      <c r="J181" s="3">
        <f>'CUOTA ARTESANAL'!G44</f>
        <v>1466</v>
      </c>
      <c r="K181" s="3">
        <f>'CUOTA ARTESANAL'!H44</f>
        <v>1481.2149999999999</v>
      </c>
      <c r="L181" s="3">
        <f>'CUOTA ARTESANAL'!I44</f>
        <v>-15.214999999999918</v>
      </c>
      <c r="M181" s="66">
        <f>'CUOTA ARTESANAL'!J44</f>
        <v>1.0103785811732606</v>
      </c>
      <c r="N181" s="4">
        <f>'CUOTA ARTESANAL'!Q44</f>
        <v>44654</v>
      </c>
      <c r="O181" s="5">
        <f>RESUMEN!$B$3</f>
        <v>44895</v>
      </c>
      <c r="P181" s="1">
        <f t="shared" si="7"/>
        <v>2022</v>
      </c>
      <c r="Q181" s="1"/>
    </row>
    <row r="182" spans="1:17">
      <c r="A182" s="1" t="s">
        <v>69</v>
      </c>
      <c r="B182" s="1" t="s">
        <v>57</v>
      </c>
      <c r="C182" s="1" t="s">
        <v>24</v>
      </c>
      <c r="D182" s="1" t="s">
        <v>64</v>
      </c>
      <c r="E182" s="1" t="s">
        <v>77</v>
      </c>
      <c r="F182" s="1" t="s">
        <v>59</v>
      </c>
      <c r="G182" s="1" t="s">
        <v>62</v>
      </c>
      <c r="H182" s="3">
        <f>'CUOTA ARTESANAL'!K44</f>
        <v>1466</v>
      </c>
      <c r="I182" s="3">
        <f>'CUOTA ARTESANAL'!L44</f>
        <v>0</v>
      </c>
      <c r="J182" s="3">
        <f>'CUOTA ARTESANAL'!M44</f>
        <v>1466</v>
      </c>
      <c r="K182" s="3">
        <f>'CUOTA ARTESANAL'!N44</f>
        <v>1481.2149999999999</v>
      </c>
      <c r="L182" s="3">
        <f>'CUOTA ARTESANAL'!O44</f>
        <v>-15.214999999999918</v>
      </c>
      <c r="M182" s="66">
        <f>'CUOTA ARTESANAL'!P44</f>
        <v>1.0103785811732606</v>
      </c>
      <c r="N182" s="4" t="s">
        <v>82</v>
      </c>
      <c r="O182" s="5">
        <f>RESUMEN!$B$3</f>
        <v>44895</v>
      </c>
      <c r="P182" s="1">
        <f t="shared" si="7"/>
        <v>2022</v>
      </c>
      <c r="Q182" s="1"/>
    </row>
    <row r="183" spans="1:17">
      <c r="A183" s="1" t="s">
        <v>69</v>
      </c>
      <c r="B183" s="1" t="s">
        <v>57</v>
      </c>
      <c r="C183" s="1" t="s">
        <v>34</v>
      </c>
      <c r="D183" s="1" t="s">
        <v>83</v>
      </c>
      <c r="E183" s="1" t="str">
        <f>+'CUOTA ARTESANAL'!C47</f>
        <v>ARMAR AG. RAG 320-10</v>
      </c>
      <c r="F183" s="1" t="s">
        <v>59</v>
      </c>
      <c r="G183" s="1" t="s">
        <v>62</v>
      </c>
      <c r="H183" s="3">
        <f>'CUOTA ARTESANAL'!E47</f>
        <v>150.12899999999999</v>
      </c>
      <c r="I183" s="3">
        <f>'CUOTA ARTESANAL'!F47</f>
        <v>-150</v>
      </c>
      <c r="J183" s="3">
        <f>'CUOTA ARTESANAL'!G47</f>
        <v>0.12899999999999068</v>
      </c>
      <c r="K183" s="3">
        <f>'CUOTA ARTESANAL'!H47</f>
        <v>0</v>
      </c>
      <c r="L183" s="3">
        <f>'CUOTA ARTESANAL'!I47</f>
        <v>0.12899999999999068</v>
      </c>
      <c r="M183" s="66">
        <f>'CUOTA ARTESANAL'!J47</f>
        <v>0</v>
      </c>
      <c r="N183" s="4">
        <f>'CUOTA ARTESANAL'!Q47</f>
        <v>44637</v>
      </c>
      <c r="O183" s="5">
        <f>RESUMEN!$B$3</f>
        <v>44895</v>
      </c>
      <c r="P183" s="1">
        <f t="shared" si="7"/>
        <v>2022</v>
      </c>
      <c r="Q183" s="1"/>
    </row>
    <row r="184" spans="1:17">
      <c r="A184" s="1" t="s">
        <v>69</v>
      </c>
      <c r="B184" s="1" t="s">
        <v>57</v>
      </c>
      <c r="C184" s="1" t="s">
        <v>34</v>
      </c>
      <c r="D184" s="1" t="s">
        <v>83</v>
      </c>
      <c r="E184" s="1" t="str">
        <f>+'CUOTA ARTESANAL'!C47</f>
        <v>ARMAR AG. RAG 320-10</v>
      </c>
      <c r="F184" s="1" t="s">
        <v>59</v>
      </c>
      <c r="G184" s="1" t="s">
        <v>62</v>
      </c>
      <c r="H184" s="3">
        <f>'CUOTA ARTESANAL'!K47</f>
        <v>150.12899999999999</v>
      </c>
      <c r="I184" s="3">
        <f>'CUOTA ARTESANAL'!L47</f>
        <v>-150</v>
      </c>
      <c r="J184" s="3">
        <f>'CUOTA ARTESANAL'!M47</f>
        <v>0.12899999999999068</v>
      </c>
      <c r="K184" s="3">
        <f>'CUOTA ARTESANAL'!N47</f>
        <v>0</v>
      </c>
      <c r="L184" s="3">
        <f>'CUOTA ARTESANAL'!O47</f>
        <v>0.12899999999999068</v>
      </c>
      <c r="M184" s="66">
        <f>'CUOTA ARTESANAL'!P47</f>
        <v>0</v>
      </c>
      <c r="N184" s="4" t="s">
        <v>82</v>
      </c>
      <c r="O184" s="5">
        <f>RESUMEN!$B$3</f>
        <v>44895</v>
      </c>
      <c r="P184" s="1">
        <f t="shared" si="7"/>
        <v>2022</v>
      </c>
      <c r="Q184" s="1"/>
    </row>
    <row r="185" spans="1:17">
      <c r="A185" s="1" t="s">
        <v>69</v>
      </c>
      <c r="B185" s="1" t="s">
        <v>57</v>
      </c>
      <c r="C185" s="1" t="s">
        <v>34</v>
      </c>
      <c r="D185" s="1" t="s">
        <v>83</v>
      </c>
      <c r="E185" s="1" t="str">
        <f>+'CUOTA ARTESANAL'!C48</f>
        <v>ASOGFER AG. RAG 310-10</v>
      </c>
      <c r="F185" s="1" t="s">
        <v>59</v>
      </c>
      <c r="G185" s="1" t="s">
        <v>62</v>
      </c>
      <c r="H185" s="3">
        <f>'CUOTA ARTESANAL'!E48</f>
        <v>709.26599999999996</v>
      </c>
      <c r="I185" s="3">
        <f>'CUOTA ARTESANAL'!F48</f>
        <v>-709.26599999999996</v>
      </c>
      <c r="J185" s="3">
        <f>'CUOTA ARTESANAL'!G48</f>
        <v>0</v>
      </c>
      <c r="K185" s="3">
        <f>'CUOTA ARTESANAL'!H48</f>
        <v>0</v>
      </c>
      <c r="L185" s="3">
        <f>'CUOTA ARTESANAL'!I48</f>
        <v>0</v>
      </c>
      <c r="M185" s="66" t="e">
        <f>'CUOTA ARTESANAL'!J48</f>
        <v>#DIV/0!</v>
      </c>
      <c r="N185" s="4">
        <f>'CUOTA ARTESANAL'!Q48</f>
        <v>44637</v>
      </c>
      <c r="O185" s="5">
        <f>RESUMEN!$B$3</f>
        <v>44895</v>
      </c>
      <c r="P185" s="1">
        <f t="shared" si="7"/>
        <v>2022</v>
      </c>
      <c r="Q185" s="1"/>
    </row>
    <row r="186" spans="1:17">
      <c r="A186" s="1" t="s">
        <v>69</v>
      </c>
      <c r="B186" s="1" t="s">
        <v>57</v>
      </c>
      <c r="C186" s="1" t="s">
        <v>34</v>
      </c>
      <c r="D186" s="1" t="s">
        <v>83</v>
      </c>
      <c r="E186" s="1" t="str">
        <f>+'CUOTA ARTESANAL'!C48</f>
        <v>ASOGFER AG. RAG 310-10</v>
      </c>
      <c r="F186" s="1" t="s">
        <v>59</v>
      </c>
      <c r="G186" s="1" t="s">
        <v>62</v>
      </c>
      <c r="H186" s="3">
        <f>'CUOTA ARTESANAL'!K48</f>
        <v>709.26599999999996</v>
      </c>
      <c r="I186" s="3">
        <f>'CUOTA ARTESANAL'!L48</f>
        <v>-709.26599999999996</v>
      </c>
      <c r="J186" s="3">
        <f>'CUOTA ARTESANAL'!M48</f>
        <v>0</v>
      </c>
      <c r="K186" s="3">
        <f>'CUOTA ARTESANAL'!N48</f>
        <v>0</v>
      </c>
      <c r="L186" s="3">
        <f>'CUOTA ARTESANAL'!O48</f>
        <v>0</v>
      </c>
      <c r="M186" s="66" t="e">
        <f>'CUOTA ARTESANAL'!P48</f>
        <v>#DIV/0!</v>
      </c>
      <c r="N186" s="4" t="s">
        <v>82</v>
      </c>
      <c r="O186" s="5">
        <f>RESUMEN!$B$3</f>
        <v>44895</v>
      </c>
      <c r="P186" s="1">
        <f t="shared" si="7"/>
        <v>2022</v>
      </c>
      <c r="Q186" s="1"/>
    </row>
    <row r="187" spans="1:17">
      <c r="A187" s="1" t="s">
        <v>69</v>
      </c>
      <c r="B187" s="1" t="s">
        <v>57</v>
      </c>
      <c r="C187" s="1" t="s">
        <v>34</v>
      </c>
      <c r="D187" s="1" t="s">
        <v>83</v>
      </c>
      <c r="E187" s="1" t="str">
        <f>+'CUOTA ARTESANAL'!C49</f>
        <v>AGARMAR.  RAG 156-10</v>
      </c>
      <c r="F187" s="1" t="s">
        <v>59</v>
      </c>
      <c r="G187" s="1" t="s">
        <v>62</v>
      </c>
      <c r="H187" s="3">
        <f>'CUOTA ARTESANAL'!E49</f>
        <v>4329.8779999999997</v>
      </c>
      <c r="I187" s="3">
        <f>'CUOTA ARTESANAL'!F49</f>
        <v>-4140</v>
      </c>
      <c r="J187" s="3">
        <f>'CUOTA ARTESANAL'!G49</f>
        <v>189.8779999999997</v>
      </c>
      <c r="K187" s="3">
        <f>'CUOTA ARTESANAL'!H49</f>
        <v>0</v>
      </c>
      <c r="L187" s="3">
        <f>'CUOTA ARTESANAL'!I49</f>
        <v>189.8779999999997</v>
      </c>
      <c r="M187" s="66">
        <f>'CUOTA ARTESANAL'!J49</f>
        <v>0</v>
      </c>
      <c r="N187" s="4" t="str">
        <f>'CUOTA ARTESANAL'!Q49</f>
        <v>-</v>
      </c>
      <c r="O187" s="5">
        <f>RESUMEN!$B$3</f>
        <v>44895</v>
      </c>
      <c r="P187" s="1">
        <f t="shared" si="7"/>
        <v>2022</v>
      </c>
      <c r="Q187" s="1"/>
    </row>
    <row r="188" spans="1:17">
      <c r="A188" s="1" t="s">
        <v>69</v>
      </c>
      <c r="B188" s="1" t="s">
        <v>57</v>
      </c>
      <c r="C188" s="1" t="s">
        <v>34</v>
      </c>
      <c r="D188" s="1" t="s">
        <v>83</v>
      </c>
      <c r="E188" s="1" t="str">
        <f>+'CUOTA ARTESANAL'!C49</f>
        <v>AGARMAR.  RAG 156-10</v>
      </c>
      <c r="F188" s="1" t="s">
        <v>59</v>
      </c>
      <c r="G188" s="1" t="s">
        <v>62</v>
      </c>
      <c r="H188" s="3">
        <f>'CUOTA ARTESANAL'!K49</f>
        <v>4329.8779999999997</v>
      </c>
      <c r="I188" s="3">
        <f>'CUOTA ARTESANAL'!L49</f>
        <v>-4140</v>
      </c>
      <c r="J188" s="3">
        <f>'CUOTA ARTESANAL'!M49</f>
        <v>189.8779999999997</v>
      </c>
      <c r="K188" s="3">
        <f>'CUOTA ARTESANAL'!N49</f>
        <v>0</v>
      </c>
      <c r="L188" s="3">
        <f>'CUOTA ARTESANAL'!O49</f>
        <v>189.8779999999997</v>
      </c>
      <c r="M188" s="66">
        <f>'CUOTA ARTESANAL'!P49</f>
        <v>0</v>
      </c>
      <c r="N188" s="4" t="s">
        <v>82</v>
      </c>
      <c r="O188" s="5">
        <f>RESUMEN!$B$3</f>
        <v>44895</v>
      </c>
      <c r="P188" s="1">
        <f t="shared" si="7"/>
        <v>2022</v>
      </c>
      <c r="Q188" s="1"/>
    </row>
    <row r="189" spans="1:17">
      <c r="A189" s="1" t="s">
        <v>69</v>
      </c>
      <c r="B189" s="1" t="s">
        <v>57</v>
      </c>
      <c r="C189" s="1" t="s">
        <v>34</v>
      </c>
      <c r="D189" s="1" t="s">
        <v>83</v>
      </c>
      <c r="E189" s="1" t="str">
        <f>+'CUOTA ARTESANAL'!C50</f>
        <v>PESCA AUSTRAL. RAG 326-10</v>
      </c>
      <c r="F189" s="1" t="s">
        <v>59</v>
      </c>
      <c r="G189" s="1" t="s">
        <v>62</v>
      </c>
      <c r="H189" s="3">
        <f>'CUOTA ARTESANAL'!E50</f>
        <v>723.53899999999999</v>
      </c>
      <c r="I189" s="3">
        <f>'CUOTA ARTESANAL'!F50</f>
        <v>-720</v>
      </c>
      <c r="J189" s="3">
        <f>'CUOTA ARTESANAL'!G50</f>
        <v>3.5389999999999873</v>
      </c>
      <c r="K189" s="3">
        <f>'CUOTA ARTESANAL'!H50</f>
        <v>0</v>
      </c>
      <c r="L189" s="3">
        <f>'CUOTA ARTESANAL'!I50</f>
        <v>3.5389999999999873</v>
      </c>
      <c r="M189" s="66">
        <f>'CUOTA ARTESANAL'!J50</f>
        <v>0</v>
      </c>
      <c r="N189" s="4" t="str">
        <f>'CUOTA ARTESANAL'!Q50</f>
        <v>-</v>
      </c>
      <c r="O189" s="5">
        <f>RESUMEN!$B$3</f>
        <v>44895</v>
      </c>
      <c r="P189" s="1">
        <f t="shared" si="7"/>
        <v>2022</v>
      </c>
      <c r="Q189" s="1"/>
    </row>
    <row r="190" spans="1:17">
      <c r="A190" s="1" t="s">
        <v>69</v>
      </c>
      <c r="B190" s="1" t="s">
        <v>57</v>
      </c>
      <c r="C190" s="1" t="s">
        <v>34</v>
      </c>
      <c r="D190" s="1" t="s">
        <v>83</v>
      </c>
      <c r="E190" s="1" t="str">
        <f>+'CUOTA ARTESANAL'!C50</f>
        <v>PESCA AUSTRAL. RAG 326-10</v>
      </c>
      <c r="F190" s="1" t="s">
        <v>59</v>
      </c>
      <c r="G190" s="1" t="s">
        <v>62</v>
      </c>
      <c r="H190" s="3">
        <f>'CUOTA ARTESANAL'!K50</f>
        <v>723.53899999999999</v>
      </c>
      <c r="I190" s="3">
        <f>'CUOTA ARTESANAL'!L50</f>
        <v>-720</v>
      </c>
      <c r="J190" s="3">
        <f>'CUOTA ARTESANAL'!M50</f>
        <v>3.5389999999999873</v>
      </c>
      <c r="K190" s="3">
        <f>'CUOTA ARTESANAL'!N50</f>
        <v>0</v>
      </c>
      <c r="L190" s="3">
        <f>'CUOTA ARTESANAL'!O50</f>
        <v>3.5389999999999873</v>
      </c>
      <c r="M190" s="66">
        <f>'CUOTA ARTESANAL'!P50</f>
        <v>0.99510876400581039</v>
      </c>
      <c r="N190" s="4" t="s">
        <v>82</v>
      </c>
      <c r="O190" s="5">
        <f>RESUMEN!$B$3</f>
        <v>44895</v>
      </c>
      <c r="P190" s="1">
        <f t="shared" si="7"/>
        <v>2022</v>
      </c>
      <c r="Q190" s="1"/>
    </row>
    <row r="191" spans="1:17">
      <c r="A191" s="1" t="s">
        <v>69</v>
      </c>
      <c r="B191" s="1" t="s">
        <v>57</v>
      </c>
      <c r="C191" s="1" t="s">
        <v>34</v>
      </c>
      <c r="D191" s="1" t="s">
        <v>83</v>
      </c>
      <c r="E191" s="1" t="str">
        <f>+'CUOTA ARTESANAL'!C51</f>
        <v>ASOGPESCA ANCUD. AG 4266</v>
      </c>
      <c r="F191" s="1" t="s">
        <v>59</v>
      </c>
      <c r="G191" s="1" t="s">
        <v>62</v>
      </c>
      <c r="H191" s="3">
        <f>'CUOTA ARTESANAL'!E51</f>
        <v>2294.152</v>
      </c>
      <c r="I191" s="3">
        <f>'CUOTA ARTESANAL'!F51</f>
        <v>-2294</v>
      </c>
      <c r="J191" s="3">
        <f>'CUOTA ARTESANAL'!G51</f>
        <v>0.15200000000004366</v>
      </c>
      <c r="K191" s="3">
        <f>'CUOTA ARTESANAL'!H51</f>
        <v>0</v>
      </c>
      <c r="L191" s="3">
        <f>'CUOTA ARTESANAL'!I51</f>
        <v>0.15200000000004366</v>
      </c>
      <c r="M191" s="66">
        <f>'CUOTA ARTESANAL'!J51</f>
        <v>0</v>
      </c>
      <c r="N191" s="4">
        <f>'CUOTA ARTESANAL'!Q51</f>
        <v>44586</v>
      </c>
      <c r="O191" s="5">
        <f>RESUMEN!$B$3</f>
        <v>44895</v>
      </c>
      <c r="P191" s="1">
        <f t="shared" si="7"/>
        <v>2022</v>
      </c>
      <c r="Q191" s="1"/>
    </row>
    <row r="192" spans="1:17">
      <c r="A192" s="1" t="s">
        <v>69</v>
      </c>
      <c r="B192" s="1" t="s">
        <v>57</v>
      </c>
      <c r="C192" s="1" t="s">
        <v>34</v>
      </c>
      <c r="D192" s="1" t="s">
        <v>83</v>
      </c>
      <c r="E192" s="1" t="str">
        <f>+'CUOTA ARTESANAL'!C51</f>
        <v>ASOGPESCA ANCUD. AG 4266</v>
      </c>
      <c r="F192" s="1" t="s">
        <v>59</v>
      </c>
      <c r="G192" s="1" t="s">
        <v>62</v>
      </c>
      <c r="H192" s="3">
        <f>'CUOTA ARTESANAL'!K51</f>
        <v>2294.152</v>
      </c>
      <c r="I192" s="3">
        <f>'CUOTA ARTESANAL'!L51</f>
        <v>-2294</v>
      </c>
      <c r="J192" s="3">
        <f>'CUOTA ARTESANAL'!M51</f>
        <v>0.15200000000004366</v>
      </c>
      <c r="K192" s="3">
        <f>'CUOTA ARTESANAL'!N51</f>
        <v>0</v>
      </c>
      <c r="L192" s="3">
        <f>'CUOTA ARTESANAL'!O51</f>
        <v>0.15200000000004366</v>
      </c>
      <c r="M192" s="66">
        <f>'CUOTA ARTESANAL'!P51</f>
        <v>0</v>
      </c>
      <c r="N192" s="4" t="s">
        <v>82</v>
      </c>
      <c r="O192" s="5">
        <f>RESUMEN!$B$3</f>
        <v>44895</v>
      </c>
      <c r="P192" s="1">
        <f t="shared" si="7"/>
        <v>2022</v>
      </c>
      <c r="Q192" s="1"/>
    </row>
    <row r="193" spans="1:17">
      <c r="A193" s="1" t="s">
        <v>69</v>
      </c>
      <c r="B193" s="1" t="s">
        <v>57</v>
      </c>
      <c r="C193" s="1" t="s">
        <v>34</v>
      </c>
      <c r="D193" s="1" t="s">
        <v>83</v>
      </c>
      <c r="E193" s="1" t="str">
        <f>+'CUOTA ARTESANAL'!C52</f>
        <v>STI PECERCAL RSU 10.01.0948</v>
      </c>
      <c r="F193" s="1" t="s">
        <v>59</v>
      </c>
      <c r="G193" s="1" t="s">
        <v>62</v>
      </c>
      <c r="H193" s="3">
        <f>'CUOTA ARTESANAL'!E52</f>
        <v>1090.26</v>
      </c>
      <c r="I193" s="3">
        <f>'CUOTA ARTESANAL'!F52</f>
        <v>-1090.26</v>
      </c>
      <c r="J193" s="3">
        <f>'CUOTA ARTESANAL'!G52</f>
        <v>0</v>
      </c>
      <c r="K193" s="3">
        <f>'CUOTA ARTESANAL'!H52</f>
        <v>0</v>
      </c>
      <c r="L193" s="3">
        <f>'CUOTA ARTESANAL'!I52</f>
        <v>0</v>
      </c>
      <c r="M193" s="66" t="e">
        <f>'CUOTA ARTESANAL'!J52</f>
        <v>#DIV/0!</v>
      </c>
      <c r="N193" s="4">
        <f>'CUOTA ARTESANAL'!Q52</f>
        <v>44596</v>
      </c>
      <c r="O193" s="5">
        <f>RESUMEN!$B$3</f>
        <v>44895</v>
      </c>
      <c r="P193" s="1">
        <f t="shared" si="7"/>
        <v>2022</v>
      </c>
      <c r="Q193" s="1"/>
    </row>
    <row r="194" spans="1:17">
      <c r="A194" s="1" t="s">
        <v>69</v>
      </c>
      <c r="B194" s="1" t="s">
        <v>57</v>
      </c>
      <c r="C194" s="1" t="s">
        <v>34</v>
      </c>
      <c r="D194" s="1" t="s">
        <v>83</v>
      </c>
      <c r="E194" s="1" t="str">
        <f>+'CUOTA ARTESANAL'!C52</f>
        <v>STI PECERCAL RSU 10.01.0948</v>
      </c>
      <c r="F194" s="1" t="s">
        <v>59</v>
      </c>
      <c r="G194" s="1" t="s">
        <v>62</v>
      </c>
      <c r="H194" s="3">
        <f>'CUOTA ARTESANAL'!K52</f>
        <v>1090.26</v>
      </c>
      <c r="I194" s="3">
        <f>'CUOTA ARTESANAL'!L52</f>
        <v>-1090.26</v>
      </c>
      <c r="J194" s="3">
        <f>'CUOTA ARTESANAL'!M52</f>
        <v>0</v>
      </c>
      <c r="K194" s="3">
        <f>'CUOTA ARTESANAL'!N52</f>
        <v>0</v>
      </c>
      <c r="L194" s="3">
        <f>'CUOTA ARTESANAL'!O52</f>
        <v>0</v>
      </c>
      <c r="M194" s="66" t="e">
        <f>'CUOTA ARTESANAL'!P52</f>
        <v>#DIV/0!</v>
      </c>
      <c r="N194" s="4" t="s">
        <v>82</v>
      </c>
      <c r="O194" s="5">
        <f>RESUMEN!$B$3</f>
        <v>44895</v>
      </c>
      <c r="P194" s="1">
        <f t="shared" si="7"/>
        <v>2022</v>
      </c>
      <c r="Q194" s="1"/>
    </row>
    <row r="195" spans="1:17">
      <c r="A195" s="1" t="s">
        <v>69</v>
      </c>
      <c r="B195" s="1" t="s">
        <v>57</v>
      </c>
      <c r="C195" s="1" t="s">
        <v>34</v>
      </c>
      <c r="D195" s="1" t="s">
        <v>83</v>
      </c>
      <c r="E195" s="1" t="str">
        <f>+'CUOTA ARTESANAL'!C53</f>
        <v>STI PROVEEDORES MARITIMOS DE QUILLAIPE 10.01.0835</v>
      </c>
      <c r="F195" s="1" t="s">
        <v>59</v>
      </c>
      <c r="G195" s="1" t="s">
        <v>62</v>
      </c>
      <c r="H195" s="3">
        <f>'CUOTA ARTESANAL'!E53</f>
        <v>146.27000000000001</v>
      </c>
      <c r="I195" s="3">
        <f>'CUOTA ARTESANAL'!F53</f>
        <v>-143</v>
      </c>
      <c r="J195" s="3">
        <f>'CUOTA ARTESANAL'!G53</f>
        <v>3.2700000000000102</v>
      </c>
      <c r="K195" s="3">
        <f>'CUOTA ARTESANAL'!H53</f>
        <v>0</v>
      </c>
      <c r="L195" s="3">
        <f>'CUOTA ARTESANAL'!I53</f>
        <v>3.2700000000000102</v>
      </c>
      <c r="M195" s="66">
        <f>'CUOTA ARTESANAL'!J53</f>
        <v>0</v>
      </c>
      <c r="N195" s="4" t="str">
        <f>'CUOTA ARTESANAL'!Q53</f>
        <v>-</v>
      </c>
      <c r="O195" s="5">
        <f>RESUMEN!$B$3</f>
        <v>44895</v>
      </c>
      <c r="P195" s="1">
        <f t="shared" si="7"/>
        <v>2022</v>
      </c>
      <c r="Q195" s="1"/>
    </row>
    <row r="196" spans="1:17">
      <c r="A196" s="1" t="s">
        <v>69</v>
      </c>
      <c r="B196" s="1" t="s">
        <v>57</v>
      </c>
      <c r="C196" s="1" t="s">
        <v>34</v>
      </c>
      <c r="D196" s="1" t="s">
        <v>83</v>
      </c>
      <c r="E196" s="1" t="str">
        <f>+'CUOTA ARTESANAL'!C53</f>
        <v>STI PROVEEDORES MARITIMOS DE QUILLAIPE 10.01.0835</v>
      </c>
      <c r="F196" s="1" t="s">
        <v>59</v>
      </c>
      <c r="G196" s="1" t="s">
        <v>62</v>
      </c>
      <c r="H196" s="3">
        <f>'CUOTA ARTESANAL'!K53</f>
        <v>146.27000000000001</v>
      </c>
      <c r="I196" s="3">
        <f>'CUOTA ARTESANAL'!L53</f>
        <v>-143</v>
      </c>
      <c r="J196" s="3">
        <f>'CUOTA ARTESANAL'!M53</f>
        <v>3.2700000000000102</v>
      </c>
      <c r="K196" s="3">
        <f>'CUOTA ARTESANAL'!N53</f>
        <v>0</v>
      </c>
      <c r="L196" s="3">
        <f>'CUOTA ARTESANAL'!O53</f>
        <v>3.2700000000000102</v>
      </c>
      <c r="M196" s="66">
        <f>'CUOTA ARTESANAL'!P53</f>
        <v>0</v>
      </c>
      <c r="N196" s="4" t="s">
        <v>82</v>
      </c>
      <c r="O196" s="5">
        <f>RESUMEN!$B$3</f>
        <v>44895</v>
      </c>
      <c r="P196" s="1">
        <f t="shared" si="7"/>
        <v>2022</v>
      </c>
      <c r="Q196" s="1"/>
    </row>
    <row r="197" spans="1:17" ht="15.75" customHeight="1">
      <c r="A197" s="1" t="s">
        <v>69</v>
      </c>
      <c r="B197" s="1" t="s">
        <v>57</v>
      </c>
      <c r="C197" s="1" t="s">
        <v>34</v>
      </c>
      <c r="D197" s="1" t="s">
        <v>78</v>
      </c>
      <c r="E197" s="1" t="str">
        <f>+'CUOTA ARTESANAL'!C54</f>
        <v xml:space="preserve"> BOLSON RESIDUAL</v>
      </c>
      <c r="F197" s="1" t="s">
        <v>59</v>
      </c>
      <c r="G197" s="1" t="s">
        <v>62</v>
      </c>
      <c r="H197" s="3">
        <f>'CUOTA ARTESANAL'!E54</f>
        <v>364.50700000000001</v>
      </c>
      <c r="I197" s="3">
        <f>'CUOTA ARTESANAL'!F54</f>
        <v>0</v>
      </c>
      <c r="J197" s="3">
        <f>'CUOTA ARTESANAL'!G54</f>
        <v>364.50700000000001</v>
      </c>
      <c r="K197" s="3">
        <f>'CUOTA ARTESANAL'!H54</f>
        <v>391.50799999999998</v>
      </c>
      <c r="L197" s="3">
        <f>'CUOTA ARTESANAL'!I54</f>
        <v>-27.000999999999976</v>
      </c>
      <c r="M197" s="66">
        <f>'CUOTA ARTESANAL'!J54</f>
        <v>1.0740753949855557</v>
      </c>
      <c r="N197" s="4">
        <f>'CUOTA ARTESANAL'!Q54</f>
        <v>44873</v>
      </c>
      <c r="O197" s="5">
        <f>RESUMEN!$B$3</f>
        <v>44895</v>
      </c>
      <c r="P197" s="1">
        <f t="shared" si="7"/>
        <v>2022</v>
      </c>
      <c r="Q197" s="1"/>
    </row>
    <row r="198" spans="1:17">
      <c r="A198" s="1" t="s">
        <v>69</v>
      </c>
      <c r="B198" s="1" t="s">
        <v>57</v>
      </c>
      <c r="C198" s="1" t="s">
        <v>34</v>
      </c>
      <c r="D198" s="1" t="s">
        <v>78</v>
      </c>
      <c r="E198" s="1" t="str">
        <f>+'CUOTA ARTESANAL'!C54</f>
        <v xml:space="preserve"> BOLSON RESIDUAL</v>
      </c>
      <c r="F198" s="1" t="s">
        <v>59</v>
      </c>
      <c r="G198" s="1" t="s">
        <v>62</v>
      </c>
      <c r="H198" s="3">
        <f>'CUOTA ARTESANAL'!K54</f>
        <v>364.50700000000001</v>
      </c>
      <c r="I198" s="3">
        <f>'CUOTA ARTESANAL'!L54</f>
        <v>0</v>
      </c>
      <c r="J198" s="3">
        <f>'CUOTA ARTESANAL'!M54</f>
        <v>364.50700000000001</v>
      </c>
      <c r="K198" s="3">
        <f>'CUOTA ARTESANAL'!N54</f>
        <v>391.50799999999998</v>
      </c>
      <c r="L198" s="3">
        <f>'CUOTA ARTESANAL'!O54</f>
        <v>-27.000999999999976</v>
      </c>
      <c r="M198" s="66">
        <f>'CUOTA ARTESANAL'!P54</f>
        <v>1.0740753949855557</v>
      </c>
      <c r="N198" s="4" t="s">
        <v>82</v>
      </c>
      <c r="O198" s="5">
        <f>RESUMEN!$B$3</f>
        <v>44895</v>
      </c>
      <c r="P198" s="1">
        <f t="shared" si="7"/>
        <v>2022</v>
      </c>
      <c r="Q198" s="1"/>
    </row>
    <row r="199" spans="1:17">
      <c r="A199" s="2" t="s">
        <v>56</v>
      </c>
      <c r="B199" s="1" t="s">
        <v>57</v>
      </c>
      <c r="C199" s="1" t="s">
        <v>30</v>
      </c>
      <c r="D199" s="12" t="s">
        <v>79</v>
      </c>
      <c r="E199" s="12" t="s">
        <v>80</v>
      </c>
      <c r="F199" s="1" t="s">
        <v>59</v>
      </c>
      <c r="G199" s="1" t="s">
        <v>62</v>
      </c>
      <c r="H199" s="3">
        <f>RESUMEN!E25</f>
        <v>81090</v>
      </c>
      <c r="I199" s="3">
        <f>RESUMEN!F25</f>
        <v>-15765.519000000002</v>
      </c>
      <c r="J199" s="3">
        <f>RESUMEN!G25</f>
        <v>65324.481</v>
      </c>
      <c r="K199" s="3">
        <f>RESUMEN!H25</f>
        <v>60001.288</v>
      </c>
      <c r="L199" s="3">
        <f>RESUMEN!I25</f>
        <v>5323.1929999999993</v>
      </c>
      <c r="M199" s="66">
        <f>RESUMEN!J25</f>
        <v>0.91851151484846849</v>
      </c>
      <c r="N199" s="4" t="s">
        <v>82</v>
      </c>
      <c r="O199" s="5">
        <f>RESUMEN!$B$3</f>
        <v>44895</v>
      </c>
      <c r="P199" s="1">
        <f t="shared" si="7"/>
        <v>2022</v>
      </c>
      <c r="Q199" s="1"/>
    </row>
    <row r="200" spans="1:17">
      <c r="A200" s="2" t="s">
        <v>65</v>
      </c>
      <c r="B200" s="1" t="s">
        <v>57</v>
      </c>
      <c r="C200" s="1" t="s">
        <v>66</v>
      </c>
      <c r="D200" s="12" t="s">
        <v>79</v>
      </c>
      <c r="E200" s="12" t="s">
        <v>80</v>
      </c>
      <c r="F200" s="1" t="s">
        <v>59</v>
      </c>
      <c r="G200" s="1" t="s">
        <v>62</v>
      </c>
      <c r="H200" s="3">
        <f>RESUMEN!E26</f>
        <v>17113.001711300003</v>
      </c>
      <c r="I200" s="3">
        <f>RESUMEN!F26</f>
        <v>-16965.397000000001</v>
      </c>
      <c r="J200" s="3">
        <f>RESUMEN!G26</f>
        <v>147.60471130000224</v>
      </c>
      <c r="K200" s="3">
        <f>RESUMEN!H26</f>
        <v>0</v>
      </c>
      <c r="L200" s="3">
        <f>RESUMEN!I26</f>
        <v>147.60471130000224</v>
      </c>
      <c r="M200" s="66">
        <f>RESUMEN!J26</f>
        <v>0</v>
      </c>
      <c r="N200" s="4" t="s">
        <v>82</v>
      </c>
      <c r="O200" s="5">
        <f>RESUMEN!$B$3</f>
        <v>44895</v>
      </c>
      <c r="P200" s="1">
        <f t="shared" si="7"/>
        <v>2022</v>
      </c>
      <c r="Q200" s="1"/>
    </row>
    <row r="201" spans="1:17">
      <c r="A201" s="2" t="s">
        <v>68</v>
      </c>
      <c r="B201" s="1" t="s">
        <v>57</v>
      </c>
      <c r="C201" s="1" t="s">
        <v>36</v>
      </c>
      <c r="D201" s="12" t="s">
        <v>79</v>
      </c>
      <c r="E201" s="12" t="s">
        <v>80</v>
      </c>
      <c r="F201" s="1" t="s">
        <v>59</v>
      </c>
      <c r="G201" s="1" t="s">
        <v>62</v>
      </c>
      <c r="H201" s="3">
        <f>RESUMEN!E27</f>
        <v>367092.03670920001</v>
      </c>
      <c r="I201" s="3">
        <f>RESUMEN!F27</f>
        <v>97828.564000000013</v>
      </c>
      <c r="J201" s="3">
        <f>RESUMEN!G27</f>
        <v>464920.60070920002</v>
      </c>
      <c r="K201" s="3">
        <f>RESUMEN!H27</f>
        <v>455140.56300000002</v>
      </c>
      <c r="L201" s="3">
        <f>RESUMEN!I27</f>
        <v>9780.0377091999981</v>
      </c>
      <c r="M201" s="66">
        <f>RESUMEN!J27</f>
        <v>0.97896406893073507</v>
      </c>
      <c r="N201" s="4" t="s">
        <v>82</v>
      </c>
      <c r="O201" s="5">
        <f>RESUMEN!$B$3</f>
        <v>44895</v>
      </c>
      <c r="P201" s="1">
        <f t="shared" si="7"/>
        <v>2022</v>
      </c>
      <c r="Q201" s="1"/>
    </row>
    <row r="202" spans="1:17">
      <c r="A202" s="2" t="s">
        <v>69</v>
      </c>
      <c r="B202" s="1" t="s">
        <v>57</v>
      </c>
      <c r="C202" s="1" t="s">
        <v>38</v>
      </c>
      <c r="D202" s="12" t="s">
        <v>79</v>
      </c>
      <c r="E202" s="12" t="s">
        <v>80</v>
      </c>
      <c r="F202" s="1" t="s">
        <v>59</v>
      </c>
      <c r="G202" s="1" t="s">
        <v>62</v>
      </c>
      <c r="H202" s="3">
        <f>RESUMEN!E28</f>
        <v>51119.994888000008</v>
      </c>
      <c r="I202" s="3">
        <f>RESUMEN!F28</f>
        <v>-50319.301999999996</v>
      </c>
      <c r="J202" s="3">
        <f>RESUMEN!G28</f>
        <v>800.69288800001232</v>
      </c>
      <c r="K202" s="3">
        <f>RESUMEN!H28</f>
        <v>1.7999999999999999E-2</v>
      </c>
      <c r="L202" s="3">
        <f>RESUMEN!I28</f>
        <v>800.67488800001229</v>
      </c>
      <c r="M202" s="66">
        <f>RESUMEN!J28</f>
        <v>2.2480529388690814E-5</v>
      </c>
      <c r="N202" s="4" t="s">
        <v>82</v>
      </c>
      <c r="O202" s="5">
        <f>RESUMEN!$B$3</f>
        <v>44895</v>
      </c>
      <c r="P202" s="1">
        <f t="shared" si="7"/>
        <v>2022</v>
      </c>
      <c r="Q202" s="1"/>
    </row>
    <row r="203" spans="1:17">
      <c r="A203" s="2" t="s">
        <v>56</v>
      </c>
      <c r="B203" s="1" t="s">
        <v>57</v>
      </c>
      <c r="C203" s="1" t="s">
        <v>70</v>
      </c>
      <c r="D203" s="1" t="s">
        <v>64</v>
      </c>
      <c r="E203" s="13" t="s">
        <v>81</v>
      </c>
      <c r="F203" s="1" t="s">
        <v>59</v>
      </c>
      <c r="G203" s="1" t="s">
        <v>62</v>
      </c>
      <c r="H203" s="3">
        <f>RESUMEN!E6</f>
        <v>2059</v>
      </c>
      <c r="I203" s="3">
        <f>RESUMEN!F6</f>
        <v>0</v>
      </c>
      <c r="J203" s="3">
        <f>RESUMEN!G6</f>
        <v>2059</v>
      </c>
      <c r="K203" s="3">
        <f>RESUMEN!H6</f>
        <v>124.175</v>
      </c>
      <c r="L203" s="3">
        <f>RESUMEN!I6</f>
        <v>1934.825</v>
      </c>
      <c r="M203" s="66">
        <f>RESUMEN!J6</f>
        <v>6.0308402136959691E-2</v>
      </c>
      <c r="N203" s="4" t="s">
        <v>82</v>
      </c>
      <c r="O203" s="5">
        <f>RESUMEN!$B$3</f>
        <v>44895</v>
      </c>
      <c r="P203" s="1">
        <f t="shared" si="7"/>
        <v>2022</v>
      </c>
      <c r="Q203" s="1"/>
    </row>
    <row r="204" spans="1:17">
      <c r="A204" s="2" t="s">
        <v>56</v>
      </c>
      <c r="B204" s="1" t="s">
        <v>57</v>
      </c>
      <c r="C204" s="1" t="s">
        <v>16</v>
      </c>
      <c r="D204" s="1" t="s">
        <v>64</v>
      </c>
      <c r="E204" s="13" t="s">
        <v>81</v>
      </c>
      <c r="F204" s="1" t="s">
        <v>59</v>
      </c>
      <c r="G204" s="1" t="s">
        <v>62</v>
      </c>
      <c r="H204" s="3">
        <f>RESUMEN!E7</f>
        <v>2059</v>
      </c>
      <c r="I204" s="3">
        <f>RESUMEN!F7</f>
        <v>0</v>
      </c>
      <c r="J204" s="3">
        <f>RESUMEN!G7</f>
        <v>2059</v>
      </c>
      <c r="K204" s="3">
        <f>RESUMEN!H7</f>
        <v>244.70099999999999</v>
      </c>
      <c r="L204" s="3">
        <f>RESUMEN!I7</f>
        <v>1814.299</v>
      </c>
      <c r="M204" s="66">
        <f>RESUMEN!J7</f>
        <v>0.11884458474987858</v>
      </c>
      <c r="N204" s="4" t="s">
        <v>82</v>
      </c>
      <c r="O204" s="5">
        <f>RESUMEN!$B$3</f>
        <v>44895</v>
      </c>
      <c r="P204" s="1">
        <f t="shared" si="7"/>
        <v>2022</v>
      </c>
      <c r="Q204" s="1"/>
    </row>
    <row r="205" spans="1:17">
      <c r="A205" s="2" t="s">
        <v>56</v>
      </c>
      <c r="B205" s="1" t="s">
        <v>57</v>
      </c>
      <c r="C205" s="1" t="s">
        <v>17</v>
      </c>
      <c r="D205" s="1" t="s">
        <v>64</v>
      </c>
      <c r="E205" s="13" t="s">
        <v>81</v>
      </c>
      <c r="F205" s="1" t="s">
        <v>59</v>
      </c>
      <c r="G205" s="1" t="s">
        <v>62</v>
      </c>
      <c r="H205" s="3">
        <f>+RESUMEN!E9</f>
        <v>5356</v>
      </c>
      <c r="I205" s="3">
        <f>+RESUMEN!F9</f>
        <v>2905</v>
      </c>
      <c r="J205" s="3">
        <f>+RESUMEN!G9</f>
        <v>8261</v>
      </c>
      <c r="K205" s="3">
        <f>+RESUMEN!H9</f>
        <v>8202.3379999999997</v>
      </c>
      <c r="L205" s="3">
        <f>+RESUMEN!I9</f>
        <v>58.662000000000262</v>
      </c>
      <c r="M205" s="66">
        <f>+RESUMEN!J9</f>
        <v>0.9928989226485897</v>
      </c>
      <c r="N205" s="4" t="s">
        <v>82</v>
      </c>
      <c r="O205" s="5">
        <f>RESUMEN!$B$3</f>
        <v>44895</v>
      </c>
      <c r="P205" s="1">
        <f t="shared" si="7"/>
        <v>2022</v>
      </c>
      <c r="Q205" s="1"/>
    </row>
    <row r="206" spans="1:17">
      <c r="A206" s="2" t="s">
        <v>65</v>
      </c>
      <c r="B206" s="1" t="s">
        <v>57</v>
      </c>
      <c r="C206" s="1" t="s">
        <v>71</v>
      </c>
      <c r="D206" s="1" t="s">
        <v>64</v>
      </c>
      <c r="E206" s="13" t="s">
        <v>81</v>
      </c>
      <c r="F206" s="1" t="s">
        <v>59</v>
      </c>
      <c r="G206" s="1" t="s">
        <v>62</v>
      </c>
      <c r="H206" s="3">
        <f>RESUMEN!E10</f>
        <v>12496</v>
      </c>
      <c r="I206" s="3">
        <f>RESUMEN!F10</f>
        <v>393.19399999999996</v>
      </c>
      <c r="J206" s="3">
        <f>RESUMEN!G10</f>
        <v>12889.194</v>
      </c>
      <c r="K206" s="3">
        <f>RESUMEN!H10</f>
        <v>11239.819000000001</v>
      </c>
      <c r="L206" s="3">
        <f>RESUMEN!I10</f>
        <v>1634.6329999999989</v>
      </c>
      <c r="M206" s="66">
        <f>RESUMEN!J10</f>
        <v>0.87203427925749288</v>
      </c>
      <c r="N206" s="4" t="s">
        <v>82</v>
      </c>
      <c r="O206" s="5">
        <f>RESUMEN!$B$3</f>
        <v>44895</v>
      </c>
      <c r="P206" s="1">
        <f t="shared" si="7"/>
        <v>2022</v>
      </c>
      <c r="Q206" s="1"/>
    </row>
    <row r="207" spans="1:17">
      <c r="A207" s="2" t="s">
        <v>68</v>
      </c>
      <c r="B207" s="1" t="s">
        <v>57</v>
      </c>
      <c r="C207" s="1" t="s">
        <v>72</v>
      </c>
      <c r="D207" s="1" t="s">
        <v>64</v>
      </c>
      <c r="E207" s="13" t="s">
        <v>81</v>
      </c>
      <c r="F207" s="1" t="s">
        <v>59</v>
      </c>
      <c r="G207" s="1" t="s">
        <v>62</v>
      </c>
      <c r="H207" s="3">
        <f>RESUMEN!E11</f>
        <v>5883</v>
      </c>
      <c r="I207" s="3">
        <f>RESUMEN!F11</f>
        <v>-5019.82</v>
      </c>
      <c r="J207" s="3">
        <f>RESUMEN!G11</f>
        <v>863.18000000000018</v>
      </c>
      <c r="K207" s="3">
        <f>RESUMEN!H11</f>
        <v>61.218000000000004</v>
      </c>
      <c r="L207" s="3">
        <f>RESUMEN!I11</f>
        <v>801.96200000000022</v>
      </c>
      <c r="M207" s="66">
        <f>RESUMEN!J11</f>
        <v>7.0921476401214101E-2</v>
      </c>
      <c r="N207" s="4" t="s">
        <v>82</v>
      </c>
      <c r="O207" s="5">
        <f>RESUMEN!$B$3</f>
        <v>44895</v>
      </c>
      <c r="P207" s="1">
        <f t="shared" si="7"/>
        <v>2022</v>
      </c>
      <c r="Q207" s="1"/>
    </row>
    <row r="208" spans="1:17">
      <c r="A208" s="2" t="s">
        <v>68</v>
      </c>
      <c r="B208" s="1" t="s">
        <v>57</v>
      </c>
      <c r="C208" s="1" t="s">
        <v>73</v>
      </c>
      <c r="D208" s="1" t="s">
        <v>64</v>
      </c>
      <c r="E208" s="13" t="s">
        <v>81</v>
      </c>
      <c r="F208" s="1" t="s">
        <v>59</v>
      </c>
      <c r="G208" s="1" t="s">
        <v>62</v>
      </c>
      <c r="H208" s="3">
        <f>RESUMEN!E12</f>
        <v>23</v>
      </c>
      <c r="I208" s="3">
        <f>RESUMEN!F12</f>
        <v>0</v>
      </c>
      <c r="J208" s="3">
        <f>RESUMEN!G12</f>
        <v>23</v>
      </c>
      <c r="K208" s="3">
        <f>RESUMEN!H12</f>
        <v>13.590999999999999</v>
      </c>
      <c r="L208" s="3">
        <f>RESUMEN!I12</f>
        <v>9.4090000000000007</v>
      </c>
      <c r="M208" s="66">
        <f>RESUMEN!J12</f>
        <v>0.59091304347826079</v>
      </c>
      <c r="N208" s="4" t="s">
        <v>82</v>
      </c>
      <c r="O208" s="5">
        <f>RESUMEN!$B$3</f>
        <v>44895</v>
      </c>
      <c r="P208" s="1">
        <f t="shared" si="7"/>
        <v>2022</v>
      </c>
      <c r="Q208" s="1"/>
    </row>
    <row r="209" spans="1:17">
      <c r="A209" s="2" t="s">
        <v>68</v>
      </c>
      <c r="B209" s="1" t="s">
        <v>57</v>
      </c>
      <c r="C209" s="1" t="s">
        <v>39</v>
      </c>
      <c r="D209" s="1" t="s">
        <v>64</v>
      </c>
      <c r="E209" s="13" t="s">
        <v>81</v>
      </c>
      <c r="F209" s="1" t="s">
        <v>59</v>
      </c>
      <c r="G209" s="1" t="s">
        <v>62</v>
      </c>
      <c r="H209" s="3">
        <f>RESUMEN!E13</f>
        <v>192</v>
      </c>
      <c r="I209" s="3">
        <f>RESUMEN!F13</f>
        <v>0</v>
      </c>
      <c r="J209" s="3">
        <f>RESUMEN!G13</f>
        <v>192</v>
      </c>
      <c r="K209" s="3">
        <f>RESUMEN!H13</f>
        <v>174.982</v>
      </c>
      <c r="L209" s="3">
        <f>RESUMEN!I13</f>
        <v>17.018000000000001</v>
      </c>
      <c r="M209" s="66">
        <f>RESUMEN!J13</f>
        <v>0.91136458333333337</v>
      </c>
      <c r="N209" s="4" t="s">
        <v>82</v>
      </c>
      <c r="O209" s="5">
        <f>RESUMEN!$B$3</f>
        <v>44895</v>
      </c>
      <c r="P209" s="1">
        <f t="shared" si="7"/>
        <v>2022</v>
      </c>
      <c r="Q209" s="1"/>
    </row>
    <row r="210" spans="1:17">
      <c r="A210" s="2" t="s">
        <v>68</v>
      </c>
      <c r="B210" s="1" t="s">
        <v>57</v>
      </c>
      <c r="C210" s="1" t="s">
        <v>40</v>
      </c>
      <c r="D210" s="1" t="s">
        <v>64</v>
      </c>
      <c r="E210" s="13" t="s">
        <v>81</v>
      </c>
      <c r="F210" s="1" t="s">
        <v>59</v>
      </c>
      <c r="G210" s="1" t="s">
        <v>62</v>
      </c>
      <c r="H210" s="3">
        <f>RESUMEN!E14</f>
        <v>12536</v>
      </c>
      <c r="I210" s="3">
        <f>RESUMEN!F14</f>
        <v>0</v>
      </c>
      <c r="J210" s="3">
        <f>RESUMEN!G14</f>
        <v>12536</v>
      </c>
      <c r="K210" s="3">
        <f>RESUMEN!H14</f>
        <v>16714.684000000001</v>
      </c>
      <c r="L210" s="3">
        <f>RESUMEN!I14</f>
        <v>-4178.6840000000011</v>
      </c>
      <c r="M210" s="66">
        <f>RESUMEN!J14</f>
        <v>1.3333347160178686</v>
      </c>
      <c r="N210" s="4" t="s">
        <v>82</v>
      </c>
      <c r="O210" s="5">
        <f>RESUMEN!$B$3</f>
        <v>44895</v>
      </c>
      <c r="P210" s="1">
        <f t="shared" si="7"/>
        <v>2022</v>
      </c>
      <c r="Q210" s="1"/>
    </row>
    <row r="211" spans="1:17">
      <c r="A211" s="2" t="s">
        <v>68</v>
      </c>
      <c r="B211" s="1" t="s">
        <v>57</v>
      </c>
      <c r="C211" s="1" t="s">
        <v>23</v>
      </c>
      <c r="D211" s="1" t="s">
        <v>64</v>
      </c>
      <c r="E211" s="13" t="s">
        <v>81</v>
      </c>
      <c r="F211" s="1" t="s">
        <v>59</v>
      </c>
      <c r="G211" s="1" t="s">
        <v>62</v>
      </c>
      <c r="H211" s="3">
        <f>RESUMEN!E15</f>
        <v>282</v>
      </c>
      <c r="I211" s="3">
        <f>RESUMEN!F15</f>
        <v>0</v>
      </c>
      <c r="J211" s="3">
        <f>RESUMEN!G15</f>
        <v>282</v>
      </c>
      <c r="K211" s="3">
        <f>RESUMEN!H15</f>
        <v>5.4930000000000003</v>
      </c>
      <c r="L211" s="3">
        <f>RESUMEN!I15</f>
        <v>276.50700000000001</v>
      </c>
      <c r="M211" s="66">
        <f>RESUMEN!J15</f>
        <v>1.947872340425532E-2</v>
      </c>
      <c r="N211" s="4" t="s">
        <v>82</v>
      </c>
      <c r="O211" s="5">
        <f>RESUMEN!$B$3</f>
        <v>44895</v>
      </c>
      <c r="P211" s="1">
        <f t="shared" si="7"/>
        <v>2022</v>
      </c>
      <c r="Q211" s="1"/>
    </row>
    <row r="212" spans="1:17">
      <c r="A212" s="1" t="s">
        <v>69</v>
      </c>
      <c r="B212" s="1" t="s">
        <v>57</v>
      </c>
      <c r="C212" s="1" t="s">
        <v>24</v>
      </c>
      <c r="D212" s="1" t="s">
        <v>64</v>
      </c>
      <c r="E212" s="13" t="s">
        <v>81</v>
      </c>
      <c r="F212" s="1" t="s">
        <v>59</v>
      </c>
      <c r="G212" s="1" t="s">
        <v>62</v>
      </c>
      <c r="H212" s="3">
        <f>RESUMEN!E16</f>
        <v>1466</v>
      </c>
      <c r="I212" s="3">
        <f>RESUMEN!F16</f>
        <v>0</v>
      </c>
      <c r="J212" s="3">
        <f>RESUMEN!G16</f>
        <v>1466</v>
      </c>
      <c r="K212" s="3">
        <f>RESUMEN!H16</f>
        <v>1481.2149999999999</v>
      </c>
      <c r="L212" s="3">
        <f>RESUMEN!I16</f>
        <v>-15.214999999999918</v>
      </c>
      <c r="M212" s="66">
        <f>RESUMEN!J16</f>
        <v>1.0103785811732606</v>
      </c>
      <c r="N212" s="4" t="s">
        <v>82</v>
      </c>
      <c r="O212" s="5">
        <f>RESUMEN!$B$3</f>
        <v>44895</v>
      </c>
      <c r="P212" s="1">
        <f t="shared" si="7"/>
        <v>2022</v>
      </c>
      <c r="Q212" s="1"/>
    </row>
    <row r="213" spans="1:17">
      <c r="A213" s="1" t="s">
        <v>69</v>
      </c>
      <c r="B213" s="1" t="s">
        <v>57</v>
      </c>
      <c r="C213" s="1" t="s">
        <v>34</v>
      </c>
      <c r="D213" s="1" t="s">
        <v>64</v>
      </c>
      <c r="E213" s="13" t="s">
        <v>81</v>
      </c>
      <c r="F213" s="1" t="s">
        <v>59</v>
      </c>
      <c r="G213" s="1" t="s">
        <v>62</v>
      </c>
      <c r="H213" s="3">
        <f>RESUMEN!E17</f>
        <v>9808.0010000000002</v>
      </c>
      <c r="I213" s="3">
        <f>RESUMEN!F17</f>
        <v>-9246.5259999999998</v>
      </c>
      <c r="J213" s="3">
        <f>RESUMEN!G17</f>
        <v>561.4749999999998</v>
      </c>
      <c r="K213" s="3">
        <f>RESUMEN!H17</f>
        <v>391.50799999999998</v>
      </c>
      <c r="L213" s="3">
        <f>RESUMEN!I17</f>
        <v>169.96699999999976</v>
      </c>
      <c r="M213" s="66">
        <f>RESUMEN!J17</f>
        <v>0.69728483013491271</v>
      </c>
      <c r="N213" s="4" t="s">
        <v>82</v>
      </c>
      <c r="O213" s="5">
        <f>RESUMEN!$B$3</f>
        <v>44895</v>
      </c>
      <c r="P213" s="1">
        <f t="shared" si="7"/>
        <v>2022</v>
      </c>
      <c r="Q213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CESIONES INDIVIDUALES</vt:lpstr>
      <vt:lpstr>CONSUMO HUMANO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2022-12-01T18:28:37Z</dcterms:modified>
</cp:coreProperties>
</file>