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5940" windowWidth="19260" windowHeight="6000" tabRatio="1000" firstSheet="1" activeTab="4"/>
  </bookViews>
  <sheets>
    <sheet name="Resumen_Anch_Sard_Esp_XV-IV" sheetId="1" r:id="rId1"/>
    <sheet name="Anchoveta-Sardina Española LTP" sheetId="2" r:id="rId2"/>
    <sheet name="Anchoveta Artesanal" sheetId="3" r:id="rId3"/>
    <sheet name="Sardina Española Artesanal" sheetId="4" r:id="rId4"/>
    <sheet name="Consumo Cesiones" sheetId="8" r:id="rId5"/>
    <sheet name="Investigacion" sheetId="7" r:id="rId6"/>
    <sheet name="Cuota " sheetId="9" state="hidden" r:id="rId7"/>
    <sheet name="Web" sheetId="10" r:id="rId8"/>
  </sheets>
  <definedNames>
    <definedName name="_xlnm._FilterDatabase" localSheetId="1" hidden="1">'Anchoveta-Sardina Española LTP'!$B$57:$J$78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/>
  <c r="E30" s="1"/>
  <c r="H10"/>
  <c r="H9"/>
  <c r="H6"/>
  <c r="H5"/>
  <c r="D30"/>
  <c r="E26"/>
  <c r="E27"/>
  <c r="E28"/>
  <c r="E29"/>
  <c r="K30" i="8"/>
  <c r="K31"/>
  <c r="J30"/>
  <c r="J31"/>
  <c r="J32"/>
  <c r="E30"/>
  <c r="F30"/>
  <c r="G30"/>
  <c r="H30"/>
  <c r="E31"/>
  <c r="F31"/>
  <c r="G31"/>
  <c r="H31"/>
  <c r="E32"/>
  <c r="F32"/>
  <c r="G32"/>
  <c r="H32"/>
  <c r="D30"/>
  <c r="D31"/>
  <c r="D32"/>
  <c r="C30"/>
  <c r="C31"/>
  <c r="C32"/>
  <c r="C33"/>
  <c r="B31"/>
  <c r="B32"/>
  <c r="B33"/>
  <c r="I84" i="2"/>
  <c r="F32"/>
  <c r="I83"/>
  <c r="E20" i="3"/>
  <c r="D26" i="8" l="1"/>
  <c r="E26"/>
  <c r="F26"/>
  <c r="G26"/>
  <c r="H26"/>
  <c r="J26" s="1"/>
  <c r="D27"/>
  <c r="E27"/>
  <c r="F27"/>
  <c r="G27"/>
  <c r="H27"/>
  <c r="K27" s="1"/>
  <c r="D28"/>
  <c r="E28"/>
  <c r="F28"/>
  <c r="G28"/>
  <c r="H28"/>
  <c r="K28" s="1"/>
  <c r="D29"/>
  <c r="E29"/>
  <c r="F29"/>
  <c r="G29"/>
  <c r="H29"/>
  <c r="J29" s="1"/>
  <c r="C25"/>
  <c r="C26"/>
  <c r="C27"/>
  <c r="C28"/>
  <c r="C29"/>
  <c r="B30"/>
  <c r="B26"/>
  <c r="B27"/>
  <c r="B28"/>
  <c r="B29"/>
  <c r="F51" i="2"/>
  <c r="F23"/>
  <c r="I82"/>
  <c r="F22"/>
  <c r="I81"/>
  <c r="I80"/>
  <c r="I79"/>
  <c r="Q18"/>
  <c r="I13" i="8"/>
  <c r="I22"/>
  <c r="I23"/>
  <c r="I24"/>
  <c r="I25"/>
  <c r="I19"/>
  <c r="I18"/>
  <c r="I17"/>
  <c r="I12"/>
  <c r="I11"/>
  <c r="I10"/>
  <c r="I6"/>
  <c r="I5"/>
  <c r="C54"/>
  <c r="D54"/>
  <c r="E42"/>
  <c r="E43"/>
  <c r="E44"/>
  <c r="E45"/>
  <c r="E46"/>
  <c r="E47"/>
  <c r="E48"/>
  <c r="E49"/>
  <c r="E50"/>
  <c r="E51"/>
  <c r="E52"/>
  <c r="E53"/>
  <c r="E41"/>
  <c r="I17" i="4"/>
  <c r="Q20" i="2"/>
  <c r="Q22"/>
  <c r="Q24"/>
  <c r="Q26"/>
  <c r="Q28"/>
  <c r="Q30"/>
  <c r="Q32"/>
  <c r="Q34"/>
  <c r="C23" i="8"/>
  <c r="J28" l="1"/>
  <c r="J27"/>
  <c r="K29"/>
  <c r="K26"/>
  <c r="E54"/>
  <c r="H16" i="3"/>
  <c r="G7" i="7"/>
  <c r="C30" i="3"/>
  <c r="H6" i="8"/>
  <c r="H7"/>
  <c r="H8"/>
  <c r="H9"/>
  <c r="H10"/>
  <c r="H11"/>
  <c r="H12"/>
  <c r="H13"/>
  <c r="H14"/>
  <c r="H15"/>
  <c r="H16"/>
  <c r="H18"/>
  <c r="H19"/>
  <c r="H20"/>
  <c r="J20" s="1"/>
  <c r="H21"/>
  <c r="H22"/>
  <c r="H23"/>
  <c r="H24"/>
  <c r="H25"/>
  <c r="G49" i="2"/>
  <c r="I22" i="10"/>
  <c r="F50" i="2"/>
  <c r="I51" i="10" s="1"/>
  <c r="G8" i="8"/>
  <c r="G9"/>
  <c r="G6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C24"/>
  <c r="D24"/>
  <c r="D25"/>
  <c r="B22"/>
  <c r="B23"/>
  <c r="B24"/>
  <c r="B25"/>
  <c r="D19"/>
  <c r="D20"/>
  <c r="D21"/>
  <c r="D22"/>
  <c r="D23"/>
  <c r="C19"/>
  <c r="C20"/>
  <c r="C21"/>
  <c r="C22"/>
  <c r="B19"/>
  <c r="B20"/>
  <c r="B21"/>
  <c r="F26" i="2"/>
  <c r="I26" i="10" s="1"/>
  <c r="F19" i="2"/>
  <c r="I75"/>
  <c r="I76"/>
  <c r="I77"/>
  <c r="I78"/>
  <c r="H70"/>
  <c r="H56" s="1"/>
  <c r="F24"/>
  <c r="G34" i="7"/>
  <c r="I74" i="2"/>
  <c r="I46" i="10"/>
  <c r="K46"/>
  <c r="I47"/>
  <c r="K47"/>
  <c r="I48"/>
  <c r="K48"/>
  <c r="I49"/>
  <c r="K49"/>
  <c r="K50"/>
  <c r="K51"/>
  <c r="K52"/>
  <c r="I53"/>
  <c r="K53"/>
  <c r="I54"/>
  <c r="K54"/>
  <c r="M54"/>
  <c r="H50"/>
  <c r="H51"/>
  <c r="H52"/>
  <c r="H53"/>
  <c r="H54"/>
  <c r="E54"/>
  <c r="E52"/>
  <c r="E53"/>
  <c r="E47"/>
  <c r="E48"/>
  <c r="E49"/>
  <c r="E50"/>
  <c r="E51"/>
  <c r="H43"/>
  <c r="H42"/>
  <c r="H40"/>
  <c r="H39"/>
  <c r="H37"/>
  <c r="H36"/>
  <c r="E43"/>
  <c r="E44"/>
  <c r="E42"/>
  <c r="E41"/>
  <c r="E40"/>
  <c r="E39"/>
  <c r="E38"/>
  <c r="E37"/>
  <c r="E36"/>
  <c r="M34"/>
  <c r="K19"/>
  <c r="K20"/>
  <c r="K21"/>
  <c r="K22"/>
  <c r="K23"/>
  <c r="K24"/>
  <c r="K25"/>
  <c r="K26"/>
  <c r="K27"/>
  <c r="K28"/>
  <c r="K29"/>
  <c r="K30"/>
  <c r="K31"/>
  <c r="K32"/>
  <c r="K33"/>
  <c r="K34"/>
  <c r="I18"/>
  <c r="I20"/>
  <c r="I21"/>
  <c r="I24"/>
  <c r="I25"/>
  <c r="I27"/>
  <c r="I28"/>
  <c r="I29"/>
  <c r="I30"/>
  <c r="I31"/>
  <c r="I32"/>
  <c r="I33"/>
  <c r="I34"/>
  <c r="H19"/>
  <c r="H20"/>
  <c r="H21"/>
  <c r="H22"/>
  <c r="H23"/>
  <c r="H24"/>
  <c r="H25"/>
  <c r="H26"/>
  <c r="H27"/>
  <c r="H28"/>
  <c r="H29"/>
  <c r="H30"/>
  <c r="H31"/>
  <c r="H32"/>
  <c r="H33"/>
  <c r="H34"/>
  <c r="E19"/>
  <c r="E20"/>
  <c r="E21"/>
  <c r="E22"/>
  <c r="E23"/>
  <c r="E24"/>
  <c r="E25"/>
  <c r="E26"/>
  <c r="E27"/>
  <c r="E28"/>
  <c r="E29"/>
  <c r="E30"/>
  <c r="E31"/>
  <c r="E32"/>
  <c r="E33"/>
  <c r="E34"/>
  <c r="E18"/>
  <c r="N73"/>
  <c r="J73"/>
  <c r="I73"/>
  <c r="H73"/>
  <c r="N72"/>
  <c r="J72"/>
  <c r="I72"/>
  <c r="H72"/>
  <c r="N70"/>
  <c r="K70"/>
  <c r="I70"/>
  <c r="H70"/>
  <c r="N69"/>
  <c r="J69"/>
  <c r="I69"/>
  <c r="I71" s="1"/>
  <c r="H69"/>
  <c r="H71" s="1"/>
  <c r="N67"/>
  <c r="M67"/>
  <c r="L67"/>
  <c r="K67"/>
  <c r="J67"/>
  <c r="I67"/>
  <c r="H67"/>
  <c r="N66"/>
  <c r="M66"/>
  <c r="M68" s="1"/>
  <c r="L66"/>
  <c r="K66"/>
  <c r="J66"/>
  <c r="I66"/>
  <c r="I68" s="1"/>
  <c r="H66"/>
  <c r="H68" s="1"/>
  <c r="N64"/>
  <c r="M64"/>
  <c r="L64"/>
  <c r="K64"/>
  <c r="J64"/>
  <c r="I64"/>
  <c r="H64"/>
  <c r="N63"/>
  <c r="J63"/>
  <c r="J65" s="1"/>
  <c r="I63"/>
  <c r="I65" s="1"/>
  <c r="H63"/>
  <c r="H65" s="1"/>
  <c r="N62"/>
  <c r="J62"/>
  <c r="I62"/>
  <c r="H62"/>
  <c r="K60"/>
  <c r="I60"/>
  <c r="H60"/>
  <c r="J59"/>
  <c r="I59"/>
  <c r="H59"/>
  <c r="K57"/>
  <c r="I57"/>
  <c r="H57"/>
  <c r="J56"/>
  <c r="I56"/>
  <c r="H56"/>
  <c r="H58" s="1"/>
  <c r="H49"/>
  <c r="H48"/>
  <c r="H47"/>
  <c r="H46"/>
  <c r="E46"/>
  <c r="K43"/>
  <c r="I43"/>
  <c r="M42"/>
  <c r="L42"/>
  <c r="K42"/>
  <c r="J42"/>
  <c r="I42"/>
  <c r="M39"/>
  <c r="K39"/>
  <c r="I39"/>
  <c r="K37"/>
  <c r="I37"/>
  <c r="K36"/>
  <c r="I36"/>
  <c r="M29"/>
  <c r="M22"/>
  <c r="M19"/>
  <c r="K18"/>
  <c r="H18"/>
  <c r="E16"/>
  <c r="K15"/>
  <c r="I15"/>
  <c r="H15"/>
  <c r="E15"/>
  <c r="K14"/>
  <c r="K16" s="1"/>
  <c r="H14"/>
  <c r="E14"/>
  <c r="E13"/>
  <c r="K12"/>
  <c r="I12"/>
  <c r="E12"/>
  <c r="K11"/>
  <c r="I11"/>
  <c r="E11"/>
  <c r="E10"/>
  <c r="K9"/>
  <c r="I9"/>
  <c r="E9"/>
  <c r="K8"/>
  <c r="I8"/>
  <c r="E7"/>
  <c r="K6"/>
  <c r="I6"/>
  <c r="E6"/>
  <c r="K5"/>
  <c r="I5"/>
  <c r="E5"/>
  <c r="M3"/>
  <c r="K3"/>
  <c r="I3"/>
  <c r="M2"/>
  <c r="K2"/>
  <c r="I2"/>
  <c r="E2"/>
  <c r="K68" l="1"/>
  <c r="L68"/>
  <c r="J68"/>
  <c r="I3" i="8"/>
  <c r="J25"/>
  <c r="K25"/>
  <c r="J21"/>
  <c r="K21"/>
  <c r="J23"/>
  <c r="K23"/>
  <c r="J19"/>
  <c r="K19"/>
  <c r="K24"/>
  <c r="J24"/>
  <c r="J22"/>
  <c r="K22"/>
  <c r="H17"/>
  <c r="F35" i="2"/>
  <c r="I23" i="10"/>
  <c r="H38"/>
  <c r="K38"/>
  <c r="K55"/>
  <c r="I38"/>
  <c r="H55"/>
  <c r="K4"/>
  <c r="I10"/>
  <c r="K13"/>
  <c r="H44"/>
  <c r="I58"/>
  <c r="H61"/>
  <c r="I61"/>
  <c r="M4"/>
  <c r="K10"/>
  <c r="I44"/>
  <c r="I4"/>
  <c r="K7"/>
  <c r="I13"/>
  <c r="K44"/>
  <c r="I7"/>
  <c r="H16"/>
  <c r="K17" l="1"/>
  <c r="G29" i="2"/>
  <c r="J29" i="10" s="1"/>
  <c r="G28" i="2"/>
  <c r="J28" i="10" s="1"/>
  <c r="G27" i="2"/>
  <c r="J27" i="10" s="1"/>
  <c r="G26" i="2"/>
  <c r="J26" i="10" s="1"/>
  <c r="G25" i="2"/>
  <c r="J25" i="10" s="1"/>
  <c r="L20" i="9"/>
  <c r="M20"/>
  <c r="M19"/>
  <c r="K20"/>
  <c r="M4"/>
  <c r="M5"/>
  <c r="M6"/>
  <c r="M7"/>
  <c r="M8"/>
  <c r="M9"/>
  <c r="M10"/>
  <c r="M11"/>
  <c r="M12"/>
  <c r="M13"/>
  <c r="M14"/>
  <c r="M15"/>
  <c r="M16"/>
  <c r="M17"/>
  <c r="M18"/>
  <c r="M3"/>
  <c r="L17"/>
  <c r="L8"/>
  <c r="L19"/>
  <c r="L14"/>
  <c r="E11"/>
  <c r="F11"/>
  <c r="D11"/>
  <c r="E62"/>
  <c r="D62"/>
  <c r="L13"/>
  <c r="J19"/>
  <c r="L18"/>
  <c r="J18"/>
  <c r="J17"/>
  <c r="L16"/>
  <c r="J16"/>
  <c r="L15"/>
  <c r="J15"/>
  <c r="J14"/>
  <c r="L12"/>
  <c r="L9"/>
  <c r="L11"/>
  <c r="E11" i="1"/>
  <c r="E12"/>
  <c r="E14"/>
  <c r="E13"/>
  <c r="K63" i="10"/>
  <c r="K65" s="1"/>
  <c r="E20" i="1" l="1"/>
  <c r="J25" i="2"/>
  <c r="J28"/>
  <c r="I27"/>
  <c r="L27" i="10" s="1"/>
  <c r="I29" i="2"/>
  <c r="L29" i="10" s="1"/>
  <c r="I25" i="2"/>
  <c r="L25" i="10" s="1"/>
  <c r="I26" i="2"/>
  <c r="L26" i="10" s="1"/>
  <c r="J26" i="2"/>
  <c r="I28"/>
  <c r="L28" i="10" s="1"/>
  <c r="J27" i="2"/>
  <c r="C40" i="4"/>
  <c r="F19"/>
  <c r="E19"/>
  <c r="F20" i="3"/>
  <c r="H18"/>
  <c r="K56" i="10"/>
  <c r="K58" s="1"/>
  <c r="K59" l="1"/>
  <c r="K61" s="1"/>
  <c r="J9" i="3"/>
  <c r="M26" i="10"/>
  <c r="M28"/>
  <c r="M27"/>
  <c r="M25"/>
  <c r="E9" i="3"/>
  <c r="K6" i="8"/>
  <c r="J10"/>
  <c r="K11"/>
  <c r="K12"/>
  <c r="K13"/>
  <c r="J15"/>
  <c r="K16"/>
  <c r="K17"/>
  <c r="J18"/>
  <c r="G7"/>
  <c r="G10"/>
  <c r="G11"/>
  <c r="G12"/>
  <c r="G13"/>
  <c r="G14"/>
  <c r="G15"/>
  <c r="G16"/>
  <c r="G17"/>
  <c r="G18"/>
  <c r="F6"/>
  <c r="F7"/>
  <c r="F8"/>
  <c r="F9"/>
  <c r="F10"/>
  <c r="F11"/>
  <c r="F12"/>
  <c r="F13"/>
  <c r="F14"/>
  <c r="F15"/>
  <c r="F16"/>
  <c r="F17"/>
  <c r="F18"/>
  <c r="E6"/>
  <c r="E7"/>
  <c r="E8"/>
  <c r="E9"/>
  <c r="E10"/>
  <c r="E11"/>
  <c r="E12"/>
  <c r="E13"/>
  <c r="E14"/>
  <c r="E15"/>
  <c r="E16"/>
  <c r="E17"/>
  <c r="E18"/>
  <c r="D6"/>
  <c r="D7"/>
  <c r="D8"/>
  <c r="D9"/>
  <c r="D10"/>
  <c r="D11"/>
  <c r="D12"/>
  <c r="D13"/>
  <c r="D14"/>
  <c r="D15"/>
  <c r="D16"/>
  <c r="D17"/>
  <c r="D18"/>
  <c r="C6"/>
  <c r="C7"/>
  <c r="C8"/>
  <c r="C9"/>
  <c r="C10"/>
  <c r="C11"/>
  <c r="C12"/>
  <c r="C13"/>
  <c r="C14"/>
  <c r="C15"/>
  <c r="C16"/>
  <c r="C17"/>
  <c r="C18"/>
  <c r="B6"/>
  <c r="B7"/>
  <c r="B8"/>
  <c r="B9"/>
  <c r="B10"/>
  <c r="B11"/>
  <c r="B12"/>
  <c r="B13"/>
  <c r="B14"/>
  <c r="B15"/>
  <c r="B16"/>
  <c r="B17"/>
  <c r="B18"/>
  <c r="H5"/>
  <c r="H3" s="1"/>
  <c r="I50" i="10"/>
  <c r="K13" i="1"/>
  <c r="G40" i="7"/>
  <c r="B4" i="8"/>
  <c r="C4"/>
  <c r="D4"/>
  <c r="E4"/>
  <c r="F4"/>
  <c r="G4"/>
  <c r="H4"/>
  <c r="B5"/>
  <c r="C5"/>
  <c r="D5"/>
  <c r="E5"/>
  <c r="F5"/>
  <c r="G5"/>
  <c r="H14" i="4"/>
  <c r="H12"/>
  <c r="K72" i="10" s="1"/>
  <c r="H9" i="4"/>
  <c r="F14" i="2"/>
  <c r="I72"/>
  <c r="I70"/>
  <c r="I62"/>
  <c r="I69"/>
  <c r="I68"/>
  <c r="I67"/>
  <c r="I71"/>
  <c r="I60"/>
  <c r="I61"/>
  <c r="I59"/>
  <c r="I64"/>
  <c r="I65"/>
  <c r="I63"/>
  <c r="I58"/>
  <c r="I66"/>
  <c r="H13" i="3"/>
  <c r="H19" i="4" l="1"/>
  <c r="I52" i="10"/>
  <c r="F54" i="2"/>
  <c r="J5" i="8"/>
  <c r="F19" i="1"/>
  <c r="I55" i="10"/>
  <c r="K69"/>
  <c r="K71" s="1"/>
  <c r="H15" i="4"/>
  <c r="K73" i="10"/>
  <c r="H20" i="3"/>
  <c r="K62" i="10"/>
  <c r="I14"/>
  <c r="I16" s="1"/>
  <c r="I17" s="1"/>
  <c r="H19" i="1"/>
  <c r="J16" i="8"/>
  <c r="K15"/>
  <c r="J6"/>
  <c r="K5"/>
  <c r="J11"/>
  <c r="K10"/>
  <c r="K18"/>
  <c r="J17"/>
  <c r="J12"/>
  <c r="J7"/>
  <c r="J13"/>
  <c r="J8"/>
  <c r="B3" i="4"/>
  <c r="B2" i="3"/>
  <c r="G19" i="1" l="1"/>
  <c r="J19" s="1"/>
  <c r="O60" i="10"/>
  <c r="O64"/>
  <c r="O63"/>
  <c r="O62"/>
  <c r="O61"/>
  <c r="O59"/>
  <c r="O57"/>
  <c r="O65"/>
  <c r="O58"/>
  <c r="O56"/>
  <c r="O73"/>
  <c r="O72"/>
  <c r="O71"/>
  <c r="O67"/>
  <c r="O66"/>
  <c r="O69"/>
  <c r="O68"/>
  <c r="O70"/>
  <c r="B3" i="2"/>
  <c r="O51" i="10" l="1"/>
  <c r="O31"/>
  <c r="O33"/>
  <c r="O53"/>
  <c r="O52"/>
  <c r="O30"/>
  <c r="O32"/>
  <c r="O34"/>
  <c r="O54"/>
  <c r="O55"/>
  <c r="O44"/>
  <c r="O40"/>
  <c r="O39"/>
  <c r="O38"/>
  <c r="O29"/>
  <c r="O28"/>
  <c r="O27"/>
  <c r="O26"/>
  <c r="O25"/>
  <c r="O24"/>
  <c r="O23"/>
  <c r="O22"/>
  <c r="O21"/>
  <c r="O20"/>
  <c r="O19"/>
  <c r="O18"/>
  <c r="O17"/>
  <c r="O6"/>
  <c r="O5"/>
  <c r="O4"/>
  <c r="O13"/>
  <c r="O43"/>
  <c r="O42"/>
  <c r="O41"/>
  <c r="O36"/>
  <c r="O35"/>
  <c r="O7"/>
  <c r="O3"/>
  <c r="O16"/>
  <c r="O12"/>
  <c r="O11"/>
  <c r="O10"/>
  <c r="O2"/>
  <c r="O49"/>
  <c r="O48"/>
  <c r="O47"/>
  <c r="O46"/>
  <c r="O50"/>
  <c r="O45"/>
  <c r="O15"/>
  <c r="O14"/>
  <c r="O9"/>
  <c r="O8"/>
  <c r="O37"/>
  <c r="I19"/>
  <c r="E14" i="3" l="1"/>
  <c r="E11"/>
  <c r="E7"/>
  <c r="O14" i="4" l="1"/>
  <c r="M14"/>
  <c r="O12"/>
  <c r="M12"/>
  <c r="H18" i="1" l="1"/>
  <c r="H13" i="4"/>
  <c r="H17" i="1" s="1"/>
  <c r="H11" i="4"/>
  <c r="H16" i="1" s="1"/>
  <c r="H8" i="4"/>
  <c r="H15" i="1" s="1"/>
  <c r="F15" i="4"/>
  <c r="F18" i="1" s="1"/>
  <c r="F13" i="4"/>
  <c r="F17" i="1" s="1"/>
  <c r="F11" i="4"/>
  <c r="F16" i="1" s="1"/>
  <c r="F8" i="4"/>
  <c r="F15" i="1" s="1"/>
  <c r="H14" i="3"/>
  <c r="H11"/>
  <c r="H12" i="1" s="1"/>
  <c r="H7" i="3"/>
  <c r="H11" i="1" s="1"/>
  <c r="F14" i="3"/>
  <c r="G14" s="1"/>
  <c r="G13" i="1" s="1"/>
  <c r="F11" i="3"/>
  <c r="G11" s="1"/>
  <c r="G12" i="1" s="1"/>
  <c r="F7" i="3"/>
  <c r="G7" s="1"/>
  <c r="G11" i="1" s="1"/>
  <c r="F12"/>
  <c r="J12" l="1"/>
  <c r="H13"/>
  <c r="J13" s="1"/>
  <c r="F13"/>
  <c r="F11"/>
  <c r="J11"/>
  <c r="E9" i="2"/>
  <c r="E8"/>
  <c r="E13"/>
  <c r="E12"/>
  <c r="E11"/>
  <c r="E10"/>
  <c r="L10"/>
  <c r="N10"/>
  <c r="E7"/>
  <c r="E6"/>
  <c r="L12"/>
  <c r="N12"/>
  <c r="F20" i="1" l="1"/>
  <c r="G20" s="1"/>
  <c r="H11" i="10"/>
  <c r="H3"/>
  <c r="H9"/>
  <c r="H6"/>
  <c r="H2"/>
  <c r="H8"/>
  <c r="H5"/>
  <c r="H12"/>
  <c r="K12" i="2"/>
  <c r="M12" s="1"/>
  <c r="O12" s="1"/>
  <c r="G10"/>
  <c r="E35"/>
  <c r="H35" i="10" s="1"/>
  <c r="K10" i="2"/>
  <c r="M10" s="1"/>
  <c r="O10" s="1"/>
  <c r="G12"/>
  <c r="G17" i="4"/>
  <c r="J17" s="1"/>
  <c r="G16"/>
  <c r="J16" s="1"/>
  <c r="L14"/>
  <c r="N14" s="1"/>
  <c r="P14" s="1"/>
  <c r="G14"/>
  <c r="L12"/>
  <c r="N12" s="1"/>
  <c r="G12"/>
  <c r="O9"/>
  <c r="M9"/>
  <c r="L9"/>
  <c r="G9"/>
  <c r="J9" s="1"/>
  <c r="M69" i="10" s="1"/>
  <c r="O6" i="4"/>
  <c r="M6"/>
  <c r="L6"/>
  <c r="G6"/>
  <c r="H14" i="1"/>
  <c r="H20" s="1"/>
  <c r="F18" i="3"/>
  <c r="F14" i="1" s="1"/>
  <c r="E18" i="3"/>
  <c r="G17"/>
  <c r="J17" s="1"/>
  <c r="G16"/>
  <c r="I16" s="1"/>
  <c r="L63" i="10" s="1"/>
  <c r="L65" s="1"/>
  <c r="G13" i="3"/>
  <c r="O9"/>
  <c r="M9"/>
  <c r="L9"/>
  <c r="G9"/>
  <c r="O5"/>
  <c r="M5"/>
  <c r="L5"/>
  <c r="N5" s="1"/>
  <c r="I5"/>
  <c r="L56" i="10" s="1"/>
  <c r="G5" i="3"/>
  <c r="H54" i="2"/>
  <c r="H9" i="1" s="1"/>
  <c r="F9"/>
  <c r="E54" i="2"/>
  <c r="E9" i="1" s="1"/>
  <c r="G53" i="2"/>
  <c r="J54" i="10" s="1"/>
  <c r="G52" i="2"/>
  <c r="J53" i="10" s="1"/>
  <c r="G51" i="2"/>
  <c r="J52" i="10" s="1"/>
  <c r="G50" i="2"/>
  <c r="J50" i="10"/>
  <c r="G48" i="2"/>
  <c r="J49" i="10" s="1"/>
  <c r="G47" i="2"/>
  <c r="J48" i="10" s="1"/>
  <c r="G46" i="2"/>
  <c r="J47" i="10" s="1"/>
  <c r="G45" i="2"/>
  <c r="J46" i="10" s="1"/>
  <c r="H43" i="2"/>
  <c r="F43"/>
  <c r="E43"/>
  <c r="N41"/>
  <c r="L41"/>
  <c r="K41"/>
  <c r="G41"/>
  <c r="N39"/>
  <c r="L39"/>
  <c r="K39"/>
  <c r="G39"/>
  <c r="J39" s="1"/>
  <c r="N37"/>
  <c r="L37"/>
  <c r="K37"/>
  <c r="G37"/>
  <c r="H35"/>
  <c r="K35" i="10" s="1"/>
  <c r="G34" i="2"/>
  <c r="J34" i="10" s="1"/>
  <c r="G33" i="2"/>
  <c r="J33" i="10" s="1"/>
  <c r="G32" i="2"/>
  <c r="J32" i="10" s="1"/>
  <c r="G31" i="2"/>
  <c r="J31" i="10" s="1"/>
  <c r="G30" i="2"/>
  <c r="J30" i="10" s="1"/>
  <c r="G24" i="2"/>
  <c r="J24" i="10" s="1"/>
  <c r="G23" i="2"/>
  <c r="J23" i="10" s="1"/>
  <c r="G22" i="2"/>
  <c r="J22" i="10" s="1"/>
  <c r="G21" i="2"/>
  <c r="J21" i="10" s="1"/>
  <c r="G20" i="2"/>
  <c r="J20" i="10" s="1"/>
  <c r="G19" i="2"/>
  <c r="J19" i="10" s="1"/>
  <c r="G18" i="2"/>
  <c r="H16"/>
  <c r="F16"/>
  <c r="F6" i="1" s="1"/>
  <c r="E16" i="2"/>
  <c r="E6" i="1" s="1"/>
  <c r="N14" i="2"/>
  <c r="L14"/>
  <c r="K14"/>
  <c r="G14"/>
  <c r="N8"/>
  <c r="L8"/>
  <c r="K8"/>
  <c r="G8"/>
  <c r="N6"/>
  <c r="L6"/>
  <c r="K6"/>
  <c r="G6"/>
  <c r="F56" l="1"/>
  <c r="I56" s="1"/>
  <c r="I35" i="10"/>
  <c r="J50" i="2"/>
  <c r="M51" i="10" s="1"/>
  <c r="J51"/>
  <c r="J55" s="1"/>
  <c r="J20" i="1"/>
  <c r="I20"/>
  <c r="P12" i="2"/>
  <c r="H10" i="10"/>
  <c r="J37"/>
  <c r="E8" i="1"/>
  <c r="J8" i="10"/>
  <c r="J2"/>
  <c r="J5"/>
  <c r="J14"/>
  <c r="J36"/>
  <c r="H7" i="1"/>
  <c r="K40" i="10"/>
  <c r="K41" s="1"/>
  <c r="K45" s="1"/>
  <c r="E7" i="1"/>
  <c r="E10" s="1"/>
  <c r="H41" i="10"/>
  <c r="H45" s="1"/>
  <c r="J18"/>
  <c r="I40"/>
  <c r="I41" s="1"/>
  <c r="I45" s="1"/>
  <c r="J39"/>
  <c r="F8" i="1"/>
  <c r="J11" i="10"/>
  <c r="H7"/>
  <c r="H4"/>
  <c r="H13"/>
  <c r="J43"/>
  <c r="J44" s="1"/>
  <c r="N6" i="4"/>
  <c r="P6" s="1"/>
  <c r="G15"/>
  <c r="G18" i="1" s="1"/>
  <c r="J18" s="1"/>
  <c r="H6"/>
  <c r="H8"/>
  <c r="G18" i="3"/>
  <c r="G14" i="1" s="1"/>
  <c r="J14" s="1"/>
  <c r="J5" i="3"/>
  <c r="M56" i="10" s="1"/>
  <c r="P5" i="3"/>
  <c r="J37" i="2"/>
  <c r="N9" i="3"/>
  <c r="P9" s="1"/>
  <c r="M59" i="10"/>
  <c r="I17" i="3"/>
  <c r="I13"/>
  <c r="J16"/>
  <c r="M63" i="10" s="1"/>
  <c r="M65" s="1"/>
  <c r="I9" i="3"/>
  <c r="J13"/>
  <c r="M62" i="10" s="1"/>
  <c r="M37" i="2"/>
  <c r="P37" s="1"/>
  <c r="N43"/>
  <c r="J30"/>
  <c r="M30" i="10" s="1"/>
  <c r="I37" i="2"/>
  <c r="G38" s="1"/>
  <c r="I30"/>
  <c r="L30" i="10" s="1"/>
  <c r="I53" i="2"/>
  <c r="L54" i="10" s="1"/>
  <c r="J24" i="2"/>
  <c r="J48"/>
  <c r="M49" i="10" s="1"/>
  <c r="J52" i="2"/>
  <c r="M53" i="10" s="1"/>
  <c r="I34" i="2"/>
  <c r="L34" i="10" s="1"/>
  <c r="I47" i="2"/>
  <c r="L48" i="10" s="1"/>
  <c r="J10" i="2"/>
  <c r="I10"/>
  <c r="M33" i="10"/>
  <c r="J41" i="2"/>
  <c r="I46"/>
  <c r="L47" i="10" s="1"/>
  <c r="I6" i="2"/>
  <c r="J8"/>
  <c r="J14"/>
  <c r="J21"/>
  <c r="I39"/>
  <c r="J45"/>
  <c r="M46" i="10" s="1"/>
  <c r="J49" i="2"/>
  <c r="M50" i="10" s="1"/>
  <c r="M41" i="2"/>
  <c r="O41" s="1"/>
  <c r="G54"/>
  <c r="I54" s="1"/>
  <c r="I9" i="1" s="1"/>
  <c r="K16" i="2"/>
  <c r="M8"/>
  <c r="P8" s="1"/>
  <c r="M14"/>
  <c r="P14" s="1"/>
  <c r="J18"/>
  <c r="I18"/>
  <c r="K43"/>
  <c r="P10"/>
  <c r="J20"/>
  <c r="M39"/>
  <c r="O39" s="1"/>
  <c r="G16"/>
  <c r="G6" i="1" s="1"/>
  <c r="I51" i="2"/>
  <c r="L52" i="10" s="1"/>
  <c r="J23" i="2"/>
  <c r="Q5" i="3"/>
  <c r="N16" i="2"/>
  <c r="G6" i="3"/>
  <c r="J57" i="10" s="1"/>
  <c r="J58" s="1"/>
  <c r="I50" i="2"/>
  <c r="L51" i="10" s="1"/>
  <c r="I22" i="2"/>
  <c r="L22" i="10" s="1"/>
  <c r="J32" i="2"/>
  <c r="M32" i="10" s="1"/>
  <c r="F7" i="1"/>
  <c r="F10" s="1"/>
  <c r="F22" s="1"/>
  <c r="G35" i="2"/>
  <c r="J35" i="10" s="1"/>
  <c r="I31" i="2"/>
  <c r="L31" i="10" s="1"/>
  <c r="I19" i="2"/>
  <c r="L19" i="10" s="1"/>
  <c r="N9" i="4"/>
  <c r="P9" s="1"/>
  <c r="I12"/>
  <c r="L72" i="10" s="1"/>
  <c r="G13" i="4"/>
  <c r="G17" i="1" s="1"/>
  <c r="J17" s="1"/>
  <c r="J12" i="4"/>
  <c r="M72" i="10" s="1"/>
  <c r="I6" i="4"/>
  <c r="P12"/>
  <c r="I14"/>
  <c r="L73" i="10" s="1"/>
  <c r="J6" i="4"/>
  <c r="I9"/>
  <c r="L69" i="10" s="1"/>
  <c r="J14" i="4"/>
  <c r="M73" i="10" s="1"/>
  <c r="Q14" i="4"/>
  <c r="M6" i="2"/>
  <c r="O6" s="1"/>
  <c r="J12"/>
  <c r="I12"/>
  <c r="J31"/>
  <c r="M31" i="10" s="1"/>
  <c r="Q12" i="4"/>
  <c r="I16"/>
  <c r="I19" i="1" s="1"/>
  <c r="L16" i="2"/>
  <c r="I21"/>
  <c r="L21" i="10" s="1"/>
  <c r="I24" i="2"/>
  <c r="L24" i="10" s="1"/>
  <c r="I33" i="2"/>
  <c r="L33" i="10" s="1"/>
  <c r="J46" i="2"/>
  <c r="M47" i="10" s="1"/>
  <c r="I49" i="2"/>
  <c r="L50" i="10" s="1"/>
  <c r="I8" i="2"/>
  <c r="I14"/>
  <c r="I20"/>
  <c r="L20" i="10" s="1"/>
  <c r="I23" i="2"/>
  <c r="L23" i="10" s="1"/>
  <c r="I32" i="2"/>
  <c r="L32" i="10" s="1"/>
  <c r="I41" i="2"/>
  <c r="I45"/>
  <c r="L46" i="10" s="1"/>
  <c r="L43" i="2"/>
  <c r="I48"/>
  <c r="L49" i="10" s="1"/>
  <c r="I52" i="2"/>
  <c r="L53" i="10" s="1"/>
  <c r="J47" i="2"/>
  <c r="M48" i="10" s="1"/>
  <c r="J51" i="2"/>
  <c r="M52" i="10" s="1"/>
  <c r="L59" l="1"/>
  <c r="G10" i="3"/>
  <c r="J10" s="1"/>
  <c r="L55" i="10"/>
  <c r="H10" i="1"/>
  <c r="M55" i="10"/>
  <c r="G10" i="1"/>
  <c r="I14" i="3"/>
  <c r="I13" i="1" s="1"/>
  <c r="L62" i="10"/>
  <c r="H17"/>
  <c r="M5"/>
  <c r="M36"/>
  <c r="L36"/>
  <c r="L5"/>
  <c r="M11"/>
  <c r="M21"/>
  <c r="M8"/>
  <c r="M43"/>
  <c r="M44" s="1"/>
  <c r="L18"/>
  <c r="M37"/>
  <c r="M24"/>
  <c r="M14"/>
  <c r="L43"/>
  <c r="L44" s="1"/>
  <c r="L14"/>
  <c r="L37"/>
  <c r="L11"/>
  <c r="J35" i="2"/>
  <c r="M35" i="10" s="1"/>
  <c r="J40"/>
  <c r="J41" s="1"/>
  <c r="M23"/>
  <c r="M20"/>
  <c r="M18"/>
  <c r="L2"/>
  <c r="L8"/>
  <c r="L39"/>
  <c r="J38"/>
  <c r="I18" i="3"/>
  <c r="I14" i="1" s="1"/>
  <c r="Q9" i="4"/>
  <c r="Q6"/>
  <c r="I38" i="2"/>
  <c r="J6" i="1"/>
  <c r="Q9" i="3"/>
  <c r="O14" i="2"/>
  <c r="J54"/>
  <c r="O37"/>
  <c r="M16"/>
  <c r="P16" s="1"/>
  <c r="P39"/>
  <c r="J38"/>
  <c r="M43"/>
  <c r="P43" s="1"/>
  <c r="G9" i="1"/>
  <c r="J9" s="1"/>
  <c r="G42" i="2"/>
  <c r="P41"/>
  <c r="O8"/>
  <c r="G13"/>
  <c r="G40"/>
  <c r="G7"/>
  <c r="G11"/>
  <c r="I16"/>
  <c r="I6" i="1" s="1"/>
  <c r="J16" i="2"/>
  <c r="I6" i="3"/>
  <c r="L57" i="10" s="1"/>
  <c r="L58" s="1"/>
  <c r="I13" i="4"/>
  <c r="I17" i="1" s="1"/>
  <c r="J6" i="3"/>
  <c r="M57" i="10" s="1"/>
  <c r="M58" s="1"/>
  <c r="G15" i="2"/>
  <c r="G9"/>
  <c r="I15" i="4"/>
  <c r="I18" i="1" s="1"/>
  <c r="G7"/>
  <c r="J7" s="1"/>
  <c r="I35" i="2"/>
  <c r="L35" i="10" s="1"/>
  <c r="G7" i="4"/>
  <c r="G10"/>
  <c r="J10" i="1" l="1"/>
  <c r="I10"/>
  <c r="G19" i="4"/>
  <c r="J19" s="1"/>
  <c r="J70" i="10"/>
  <c r="J71" s="1"/>
  <c r="G20" i="3"/>
  <c r="I20" s="1"/>
  <c r="J60" i="10"/>
  <c r="J61" s="1"/>
  <c r="L38"/>
  <c r="I7" i="1"/>
  <c r="L40" i="10"/>
  <c r="L41" s="1"/>
  <c r="J15"/>
  <c r="J16" s="1"/>
  <c r="J45"/>
  <c r="M38"/>
  <c r="J9"/>
  <c r="J10" s="1"/>
  <c r="J12"/>
  <c r="J13" s="1"/>
  <c r="J6"/>
  <c r="J7" s="1"/>
  <c r="J3"/>
  <c r="J4" s="1"/>
  <c r="M40"/>
  <c r="M41" s="1"/>
  <c r="I10" i="3"/>
  <c r="M60" i="10"/>
  <c r="M61" s="1"/>
  <c r="O16" i="2"/>
  <c r="I7" i="3"/>
  <c r="I11" i="1" s="1"/>
  <c r="O43" i="2"/>
  <c r="I13"/>
  <c r="I7"/>
  <c r="J40"/>
  <c r="I40"/>
  <c r="I11"/>
  <c r="J11"/>
  <c r="G43"/>
  <c r="J42"/>
  <c r="I42"/>
  <c r="J13"/>
  <c r="J15"/>
  <c r="I15"/>
  <c r="I9"/>
  <c r="J9"/>
  <c r="G11" i="4"/>
  <c r="G16" i="1" s="1"/>
  <c r="J16" s="1"/>
  <c r="J10" i="4"/>
  <c r="M70" i="10" s="1"/>
  <c r="M71" s="1"/>
  <c r="I10" i="4"/>
  <c r="J7"/>
  <c r="G8"/>
  <c r="G15" i="1" s="1"/>
  <c r="J15" s="1"/>
  <c r="I7" i="4"/>
  <c r="I19" l="1"/>
  <c r="L70" i="10"/>
  <c r="L71" s="1"/>
  <c r="J20" i="3"/>
  <c r="I11"/>
  <c r="I12" i="1" s="1"/>
  <c r="L60" i="10"/>
  <c r="L61" s="1"/>
  <c r="J17"/>
  <c r="L45"/>
  <c r="M45"/>
  <c r="M6"/>
  <c r="M7" s="1"/>
  <c r="M9"/>
  <c r="M10" s="1"/>
  <c r="M15"/>
  <c r="M16" s="1"/>
  <c r="L15"/>
  <c r="L16" s="1"/>
  <c r="L6"/>
  <c r="L7" s="1"/>
  <c r="L9"/>
  <c r="L10" s="1"/>
  <c r="L12"/>
  <c r="L13" s="1"/>
  <c r="M12"/>
  <c r="M13" s="1"/>
  <c r="L3"/>
  <c r="L4" s="1"/>
  <c r="G8" i="1"/>
  <c r="J8" s="1"/>
  <c r="J43" i="2"/>
  <c r="I43"/>
  <c r="I8" i="4"/>
  <c r="I15" i="1" s="1"/>
  <c r="I11" i="4"/>
  <c r="I16" i="1" s="1"/>
  <c r="L17" i="10" l="1"/>
  <c r="M17"/>
  <c r="I8" i="1"/>
</calcChain>
</file>

<file path=xl/comments1.xml><?xml version="1.0" encoding="utf-8"?>
<comments xmlns="http://schemas.openxmlformats.org/spreadsheetml/2006/main">
  <authors>
    <author>rgarcia</author>
  </authors>
  <commentList>
    <comment ref="E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85, modifica cuota III-IV de 20210 a 37941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Cesiones al Sector Artesanal (Ver Consumo Cesiones)</t>
        </r>
      </text>
    </comment>
  </commentList>
</comments>
</file>

<file path=xl/comments2.xml><?xml version="1.0" encoding="utf-8"?>
<comments xmlns="http://schemas.openxmlformats.org/spreadsheetml/2006/main">
  <authors>
    <author>rgarcia</author>
    <author>ZULETA ESPINOZA, GERALDINE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1199 Cesion de 943,815 ton de Ser Ind Lo Rojas Ltda XV-II  a Emb Valentina Rpa 967544-II region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>R Ex 1636 Cesion de 12000 ton de Corpesca XV-II  a II region
R Ex 1637 Cesion de 15000 ton de Corpesca XV-II  a Grupo Emb II region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1956 Cesion de 1100 ton de Alimar III-IV  a Grupo Emb IV region</t>
        </r>
      </text>
    </comment>
    <comment ref="F19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 Ex 242 Cesion de 6937,234 ton de Pesq. Bahia Caldera  a Grupo Emb II region
Cesion Ind-Art, cede 1500 ton en favor de armadores de la region de Coquimbo (res n° 944 del 18-03-2019)
---------------------------------------------------------------------------------------------------------
R Ex 2178 Cesion de -7402,3 ton de Pesq Bahia Caldera, 99.575.430-4  a Grupo Emb III region region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trike/>
            <sz val="9"/>
            <color indexed="81"/>
            <rFont val="Tahoma"/>
            <family val="2"/>
          </rPr>
          <t>R Ex 1330 sin efecto 685 Cesion de 184,113 ton de Pesq Litoral III-IV  a Emb Fortuna V Rpa 955947-IV region</t>
        </r>
        <r>
          <rPr>
            <sz val="9"/>
            <color indexed="81"/>
            <rFont val="Tahoma"/>
            <family val="2"/>
          </rPr>
          <t xml:space="preserve">
R Ex 1461 Cesion de 184,113 ton de Pesq Litoral III-IV  a Emb Sandy III Rpa 966665-III region
R Ex 2276 Cesion de 173,011 ton de Pesq Litoral III-IV  a Emb SANDY III Rpa 967785-III region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885 Cesion de 8100 ton de Orizon II-IV  a Grupo Emb IV region
R Ex 2142 Cesion de 7400 ton de Orizon, 96.929.960-7  a Grupo Emb III region region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1550 Cesion de 51,352+370,146 ton de Camanchaca III-IV  a Emb Fortuna V_III y Maimaui_III region
</t>
        </r>
      </text>
    </comment>
    <comment ref="F26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651 Cesion de 404,104 ton de Soc Com Serv y Trasportes II-IV  a Grupo Emb IV region
R Ex 2169 Cesion de -354,714 ton de Soc Com de Serv y Trans Sta Ltda, 77.543.910-6  a Grupo Emb III region region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2416 Cesion de 284,559 ton de ATILIO BARRERA  a Emb DON ATILIO Rpa 960355-III region</t>
        </r>
      </text>
    </comment>
    <comment ref="F32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2101 Cesion de 209,480 ton d a Grupo Emb III region
R Ex 23402 Cesion de 188,186 ton de ABASTECIMIENTO DEL PACIFICO S.A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2274 Cesion de 151,764 ton de ERIC ARACENA REYNUABA III-IV  a Emb EL CID Rpa 950657-III region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2275 Cesion de 151,764 ton de GIULLIANO REYNUABA SALAS III-IV  a Emb KALI Rpa 951110-III region</t>
        </r>
      </text>
    </comment>
    <comment ref="F50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 Ex 826  rectifica 685 Cesion de -1,663 ton de Pesq Litoral III-IV  a Emb Fortuna V Rpa 955947-IV region
-------------------------------------------------------------------------------------
R Ex 1461 Cesion de 1,663 ton de Pesq Litoral III-IV  a Emb Sandy III Rpa 966665-III region</t>
        </r>
      </text>
    </comment>
    <comment ref="F5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885 Cesion de 100 ton de Orizon II-IV  a Grupo Emb IV region
R Ex 2310 Cesion de 100 ton de Orizon II-IV  a Grupo Emb IV region region</t>
        </r>
      </text>
    </comment>
  </commentList>
</comments>
</file>

<file path=xl/comments3.xml><?xml version="1.0" encoding="utf-8"?>
<comments xmlns="http://schemas.openxmlformats.org/spreadsheetml/2006/main">
  <authors>
    <author>rgarcia</author>
    <author>fvejar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1711 / 07-05-19 Modifica Res. Ex. N° 4365 adelanta cuota Anchoveta 7631 ton al 1° periodo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N° 1814. Modifica R Ex 4526, por aumento de cuota (D Ex 85-2019) de 13797 a 26209 toneladas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05-02-2019_Cierre R Ex 81
16-05-2019_ Apertura R Ex 413 </t>
        </r>
      </text>
    </comment>
    <comment ref="E16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Modifica Rex. EX
 1827
</t>
        </r>
      </text>
    </comment>
    <comment ref="E17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Modifica R.Ex. 1827</t>
        </r>
      </text>
    </comment>
  </commentList>
</comments>
</file>

<file path=xl/comments4.xml><?xml version="1.0" encoding="utf-8"?>
<comments xmlns="http://schemas.openxmlformats.org/spreadsheetml/2006/main">
  <authors>
    <author>ZULETA ESPINOZA, GERALDINE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n°3128 Modifica resolucion exenta n° 4144 -17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n°3128 Modifica resolucion exenta n° 4144 -17</t>
        </r>
      </text>
    </comment>
  </commentList>
</comments>
</file>

<file path=xl/sharedStrings.xml><?xml version="1.0" encoding="utf-8"?>
<sst xmlns="http://schemas.openxmlformats.org/spreadsheetml/2006/main" count="1046" uniqueCount="258">
  <si>
    <t xml:space="preserve">Unidad de pesquería </t>
  </si>
  <si>
    <t>Titular de cuota LTP</t>
  </si>
  <si>
    <t>Periodo</t>
  </si>
  <si>
    <t>Cuota Asignada por R. Ex N°</t>
  </si>
  <si>
    <t>Traspaso, Cesión, Arriendo, etc.)</t>
  </si>
  <si>
    <t>Cuota Efectiva</t>
  </si>
  <si>
    <t>Captura (t)</t>
  </si>
  <si>
    <t>Saldo (t)</t>
  </si>
  <si>
    <t>% consumido</t>
  </si>
  <si>
    <t>Cuota asignada (t)</t>
  </si>
  <si>
    <t>Anchoveta XV-II</t>
  </si>
  <si>
    <t>Ene-Jun.</t>
  </si>
  <si>
    <t>Jul-Dic</t>
  </si>
  <si>
    <t>Anchoveta III-IV</t>
  </si>
  <si>
    <t>Ene-Dic</t>
  </si>
  <si>
    <t>PESQUERA LITORAL SpA</t>
  </si>
  <si>
    <t>FOODCORP CHILE S.A.</t>
  </si>
  <si>
    <t xml:space="preserve">CARLOS SAEZ ALARCON </t>
  </si>
  <si>
    <t>Sardina Española XV-II</t>
  </si>
  <si>
    <t>Sardina Española III-IV</t>
  </si>
  <si>
    <t>BLUMAR S.A.</t>
  </si>
  <si>
    <t>CAMANCHACA S.A. CIA. PESQ.</t>
  </si>
  <si>
    <t>LITORAL SpA PESQ</t>
  </si>
  <si>
    <t>ORIZON S.A.</t>
  </si>
  <si>
    <t>CAMANCHACA PESCA SUR S.A.</t>
  </si>
  <si>
    <t>LANDES S.A. SOC.PESQ.</t>
  </si>
  <si>
    <t>Región</t>
  </si>
  <si>
    <t xml:space="preserve"> Asignatarios </t>
  </si>
  <si>
    <t>Movimientos</t>
  </si>
  <si>
    <t>Captura</t>
  </si>
  <si>
    <t>Saldo</t>
  </si>
  <si>
    <t>% Consumo</t>
  </si>
  <si>
    <t>Cierre</t>
  </si>
  <si>
    <t>Cuota</t>
  </si>
  <si>
    <t>XV- I Región Arica y Parinacota y R. de Tarapacá</t>
  </si>
  <si>
    <t>Cuota Macrozonal (XV - I)</t>
  </si>
  <si>
    <t>II Región de Antofagasta</t>
  </si>
  <si>
    <t>Cuota Regional II</t>
  </si>
  <si>
    <t>III Región de Atacama</t>
  </si>
  <si>
    <t>Cuota Regional III</t>
  </si>
  <si>
    <t xml:space="preserve">IV Región de Coquimbo </t>
  </si>
  <si>
    <t>CERCOPESCA, ROL 4276</t>
  </si>
  <si>
    <t xml:space="preserve"> BOLSON RESIDUAL</t>
  </si>
  <si>
    <t>Unidad Pesquería</t>
  </si>
  <si>
    <t>% Consumido</t>
  </si>
  <si>
    <t>Traspasos</t>
  </si>
  <si>
    <t>-</t>
  </si>
  <si>
    <t>Año</t>
  </si>
  <si>
    <t>IV Región de Coquimbo</t>
  </si>
  <si>
    <t>Cuota Regional IV</t>
  </si>
  <si>
    <t>Fauna Acompañante sardina española XV-II</t>
  </si>
  <si>
    <t xml:space="preserve"> XV-II</t>
  </si>
  <si>
    <t>III-IV</t>
  </si>
  <si>
    <t>RPA</t>
  </si>
  <si>
    <t>XV-II</t>
  </si>
  <si>
    <t>Recurso</t>
  </si>
  <si>
    <t>Zona /Región</t>
  </si>
  <si>
    <t>Movimientos de Cuotas (t)</t>
  </si>
  <si>
    <t>Cuota Efectiva (t)</t>
  </si>
  <si>
    <t>Captura total (t)</t>
  </si>
  <si>
    <t>Saldo Total (t)</t>
  </si>
  <si>
    <t>% Consumido 2019</t>
  </si>
  <si>
    <t>INDUSTRIAL</t>
  </si>
  <si>
    <t>Anchoveta</t>
  </si>
  <si>
    <t>Sardina española</t>
  </si>
  <si>
    <t>ARTESANAL</t>
  </si>
  <si>
    <t>XV-I</t>
  </si>
  <si>
    <t>II</t>
  </si>
  <si>
    <t>III</t>
  </si>
  <si>
    <t>IV</t>
  </si>
  <si>
    <t xml:space="preserve">ALIMENTOS MARINOS S.A.         </t>
  </si>
  <si>
    <t xml:space="preserve">BAHIA CALDERA S.A. PESQ.          </t>
  </si>
  <si>
    <t xml:space="preserve">BLUMAR S.A.                                              </t>
  </si>
  <si>
    <t xml:space="preserve">CAMANCHACA S.A. CIA. PESQ    </t>
  </si>
  <si>
    <t xml:space="preserve">ORIZON S.A                                                   </t>
  </si>
  <si>
    <t xml:space="preserve">CAMANCHACA PESCA SUR S.A.  </t>
  </si>
  <si>
    <t xml:space="preserve">LANDES S.A. SOC. PESQ.                           </t>
  </si>
  <si>
    <t xml:space="preserve">ARICA SEAFOOD PRODUCER S.A. </t>
  </si>
  <si>
    <t xml:space="preserve">CORPESCA S.A                                           </t>
  </si>
  <si>
    <t>PROCESOS MTECNOLOGICOS DEL BIO BIO SpA</t>
  </si>
  <si>
    <t>SERVICIOS INDUSTRIALES LO ROJAS LTDA</t>
  </si>
  <si>
    <t xml:space="preserve">ARICA SEAFOOD PRODUCER S.A.  </t>
  </si>
  <si>
    <t xml:space="preserve">CAMANCHACA S.A. CIA. PESQ      </t>
  </si>
  <si>
    <t xml:space="preserve">CORPESCA S.A.                             </t>
  </si>
  <si>
    <t xml:space="preserve">ALIMENTOS MARINOS S.A.          </t>
  </si>
  <si>
    <t>KALI</t>
  </si>
  <si>
    <t>SANDY III</t>
  </si>
  <si>
    <t>DON PANCRACIO</t>
  </si>
  <si>
    <t>RES N° 186 DEL 21-01-2019</t>
  </si>
  <si>
    <t>INSTITUTO DE FOMENTO PESQUERO</t>
  </si>
  <si>
    <t>REGIONES DE ARICA Y PARINACORA, TARAPACÁ Y ANTOFAGASTA, 2019</t>
  </si>
  <si>
    <t xml:space="preserve">EMBARCACION </t>
  </si>
  <si>
    <t>CUOTA</t>
  </si>
  <si>
    <t>CAPTURA</t>
  </si>
  <si>
    <t>VALENCIA</t>
  </si>
  <si>
    <t>GENESIS</t>
  </si>
  <si>
    <t>CHENCO</t>
  </si>
  <si>
    <t>REGIONES DE ATACAMA Y COQUIMBO, 2019</t>
  </si>
  <si>
    <t>B/C ABATE MOLINA</t>
  </si>
  <si>
    <t>RES N° 246 DEL 30-01-2019</t>
  </si>
  <si>
    <t>REGIONES ENTRE  ARICA Y PARINACORA Y COQUIMBO, 2019</t>
  </si>
  <si>
    <t>DELFIN 2000</t>
  </si>
  <si>
    <t>RES N° 125 DEL 15-01-2019/Modificado por Res N° 454 del 07-02-2019</t>
  </si>
  <si>
    <t>GAROTA III</t>
  </si>
  <si>
    <t>GAROTA</t>
  </si>
  <si>
    <t>Total Anchoveta XV-II</t>
  </si>
  <si>
    <t>CONTROL DE CUOTA ANCHOVETA Y SARDINA ESPAÑOLA XV-IV, AÑO 2019</t>
  </si>
  <si>
    <t xml:space="preserve">Regional </t>
  </si>
  <si>
    <t xml:space="preserve"> Macrozonal (XV - I)</t>
  </si>
  <si>
    <t>Sector</t>
  </si>
  <si>
    <t>RESUMEN CONTROL DE CUOTA PELAGICOS_XV-IV_2019</t>
  </si>
  <si>
    <t>Rótulos de fila</t>
  </si>
  <si>
    <t>Total general</t>
  </si>
  <si>
    <t xml:space="preserve"> Captura</t>
  </si>
  <si>
    <t>Res.242.cesión anchoveta III-IV, ind a art III región.</t>
  </si>
  <si>
    <t>Res.651.cesión anchoveta III-IV, ind a art III región.</t>
  </si>
  <si>
    <t>Res.885.cesión Anchoveta, ind-art IV región</t>
  </si>
  <si>
    <t>Consumo Pesca de Investigacion Autorizaciones 2019</t>
  </si>
  <si>
    <t>Res Ex</t>
  </si>
  <si>
    <t>Fecha</t>
  </si>
  <si>
    <t>Cantidad</t>
  </si>
  <si>
    <t>Especie</t>
  </si>
  <si>
    <t>Descripcion</t>
  </si>
  <si>
    <t>Corpesca XV-II</t>
  </si>
  <si>
    <t>Grupo Emb II</t>
  </si>
  <si>
    <t>Grupo Emb IV</t>
  </si>
  <si>
    <t>Sardina Española</t>
  </si>
  <si>
    <t>Orizon II-IV</t>
  </si>
  <si>
    <t>Tp art_Cesion</t>
  </si>
  <si>
    <t>55T</t>
  </si>
  <si>
    <t>SOCIEDAD COMERCIAL DE SERVICIOS Y TRANSPORTES STA LIMITADA</t>
  </si>
  <si>
    <t>Soc Com Serv y Trasportes II-IV</t>
  </si>
  <si>
    <t>Pesq Litoral III-IV</t>
  </si>
  <si>
    <t>Emb Fortuna V Rpa 955947-IV</t>
  </si>
  <si>
    <t>Emb Valentina Rpa 967544-II</t>
  </si>
  <si>
    <t>Serv Ind Lo Rojas Ltda XV-II</t>
  </si>
  <si>
    <t>1330 sin efecto 685</t>
  </si>
  <si>
    <t>826  rectifica 685</t>
  </si>
  <si>
    <t>Camanchaca III-IV</t>
  </si>
  <si>
    <t>Emb Fortuna V_III y Maimaui_III</t>
  </si>
  <si>
    <t>Descuento (-)</t>
  </si>
  <si>
    <t>Abono (+)</t>
  </si>
  <si>
    <t>Consumo%</t>
  </si>
  <si>
    <t>Res.1637.cesión anchoveta XV-II, ind-art II región.</t>
  </si>
  <si>
    <t>Res.944.cesión anchoveta, ind a art IV región.</t>
  </si>
  <si>
    <t xml:space="preserve">RES N° 186 </t>
  </si>
  <si>
    <t>Autoriza al IFOP para realizar Pesca de Investigación que indica (Anchoveta)</t>
  </si>
  <si>
    <t>XV-IV</t>
  </si>
  <si>
    <t>Cesiones al Sector Artesanal</t>
  </si>
  <si>
    <t>1718 rectifica 1550</t>
  </si>
  <si>
    <t>TOTAL ANCHOVETA XV-IV REGIONES AÑO 2019</t>
  </si>
  <si>
    <t>Res.1636.cesión anchoveta XV-II, ind-art II región.</t>
  </si>
  <si>
    <t>LTP Clase A, Anchoveta</t>
  </si>
  <si>
    <t>TITULAR LTP</t>
  </si>
  <si>
    <t>COEFICIENTE</t>
  </si>
  <si>
    <t>ENE-DIC</t>
  </si>
  <si>
    <t>TOTAL</t>
  </si>
  <si>
    <t>ALIMENTOS MARINOS S.A.</t>
  </si>
  <si>
    <t>BAHIA CALDERAS.A. PESQ.</t>
  </si>
  <si>
    <t>122, 57</t>
  </si>
  <si>
    <t>LITORAL SpA. PESQ.</t>
  </si>
  <si>
    <t>LANDES S.A. SOC. PESQ.</t>
  </si>
  <si>
    <t>LTP Clase B, Anchoveta</t>
  </si>
  <si>
    <t>Lote</t>
  </si>
  <si>
    <t>TITULAR LTP CLASE B</t>
  </si>
  <si>
    <t>Coef.de</t>
  </si>
  <si>
    <t>participacion</t>
  </si>
  <si>
    <t>SOC. COM. DE SERVICIOS Y TRANSPORTES STA LTOA.</t>
  </si>
  <si>
    <t>SOC. COM. DE SERVICIOS Y TRANSPORTES STALTOA.</t>
  </si>
  <si>
    <t>SOC. COM. DE SERVICIOS YTRANSPORTES STA LTOA.</t>
  </si>
  <si>
    <t>ALIMENTOS DEL SUR SPA.</t>
  </si>
  <si>
    <t>ATILIO REYES BARRERA</t>
  </si>
  <si>
    <t>PEDRO IRIGOYEN LTOA. INV</t>
  </si>
  <si>
    <t>ABASTECIMIENTO DEL PACIFICO S.A.</t>
  </si>
  <si>
    <t>ERIC ARACENA REYNUABA</t>
  </si>
  <si>
    <t>GIULLIANO REYNUABA SALAS</t>
  </si>
  <si>
    <t>FOODCORP CHILES.A.</t>
  </si>
  <si>
    <t>CARLOS SAEZ ALARCON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</si>
  <si>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</si>
  <si>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</si>
  <si>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</si>
  <si>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</si>
  <si>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</si>
  <si>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</si>
  <si>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</si>
  <si>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</si>
  <si>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</si>
  <si>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</si>
  <si>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</si>
  <si>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</si>
  <si>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</si>
  <si>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</si>
  <si>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Preliminar</t>
  </si>
  <si>
    <t>ANCHOVETA XV-II</t>
  </si>
  <si>
    <t>ANCHOVETA</t>
  </si>
  <si>
    <t>ENERO</t>
  </si>
  <si>
    <t>JUNIO</t>
  </si>
  <si>
    <t>JULIO</t>
  </si>
  <si>
    <t>DICIEMBRE</t>
  </si>
  <si>
    <t xml:space="preserve">ENERO </t>
  </si>
  <si>
    <t>TOTAL ASIGNATARIO LTP</t>
  </si>
  <si>
    <t>ANCHOVETA III-IV</t>
  </si>
  <si>
    <t xml:space="preserve"> III-IV</t>
  </si>
  <si>
    <t>SARDINA ESPAÑOLA XVI-II</t>
  </si>
  <si>
    <t>SARDINA ESPAÑOLA</t>
  </si>
  <si>
    <t>SARDINA ESPAÑOLA III-IV</t>
  </si>
  <si>
    <t xml:space="preserve">MACROZONA </t>
  </si>
  <si>
    <t>ARTESANAL XV-I</t>
  </si>
  <si>
    <t xml:space="preserve"> II</t>
  </si>
  <si>
    <t>REGION</t>
  </si>
  <si>
    <t>ARTESANAL II</t>
  </si>
  <si>
    <t xml:space="preserve"> III</t>
  </si>
  <si>
    <t>ARTESANAL III</t>
  </si>
  <si>
    <t>ORGANIZACION</t>
  </si>
  <si>
    <t>COOPERATIVA DE ARMADORES CERQUEROS IV REFION ROL N° 4276</t>
  </si>
  <si>
    <t>BOLSON RESIDUAL</t>
  </si>
  <si>
    <t xml:space="preserve">TOTAL REGION </t>
  </si>
  <si>
    <t>TOTAL ASIGNATARIO REGION</t>
  </si>
  <si>
    <t xml:space="preserve">DICIEMBRE </t>
  </si>
  <si>
    <t>MACROZONA</t>
  </si>
  <si>
    <t>MACROZONA XV-I</t>
  </si>
  <si>
    <t>ARTESANAL IV</t>
  </si>
  <si>
    <t>Res.1550.cesión anchoveta III-IV, ind a art III región</t>
  </si>
  <si>
    <t xml:space="preserve">Total Industrial </t>
  </si>
  <si>
    <t xml:space="preserve">Total Artesanal </t>
  </si>
  <si>
    <t>Alimar III-IV</t>
  </si>
  <si>
    <t>Descripcion Cesion</t>
  </si>
  <si>
    <t>Consumo</t>
  </si>
  <si>
    <t>Grupo Emb II region</t>
  </si>
  <si>
    <t>Grupo Emb III region</t>
  </si>
  <si>
    <t>Abastecimientos de Pacifico, 76.542.970-6</t>
  </si>
  <si>
    <t>Pesq. Bahia Caldera III-IV</t>
  </si>
  <si>
    <t>…</t>
  </si>
  <si>
    <t>Pesca Investigación</t>
  </si>
  <si>
    <t>RES EX. 246 pesca de investigación para anchoveta región de Atacama y Coquimbo</t>
  </si>
  <si>
    <t>Region de capturas PI</t>
  </si>
  <si>
    <t>Total</t>
  </si>
  <si>
    <t>Grupo Emb IV region</t>
  </si>
  <si>
    <t>Res.2178.cesión anchoveta III-IV, ind a art III región.</t>
  </si>
  <si>
    <t>Res.1199.cesión anchoveta, ind-art XV y I regiones.</t>
  </si>
  <si>
    <t>Res.2101.cesión anchoveta, ind-art III región</t>
  </si>
  <si>
    <t xml:space="preserve">Res.2142.cesión anchoveta, ind-art IV región.
</t>
  </si>
  <si>
    <t>Res.2169.cesión anchoveta III-IV, ind a art III región.</t>
  </si>
  <si>
    <t>Res.885.cesión sard esp.IV región. excepto RPA 965236, 966397, 964933, 960563, 958708, 923167</t>
  </si>
  <si>
    <t>Autorizaciones y Consumo Cesiones del Sector Artesanal 2019</t>
  </si>
  <si>
    <t>CONTROL DE CUOTA ARTESANAL ANCHOVETA XV-IV REGIONES AÑO 2019</t>
  </si>
  <si>
    <t>CONTROL DE CUOTA ARTESANAL SARDINA ESPAÑOLA XV-IV REGIONES AÑO 2019</t>
  </si>
  <si>
    <t>1461 rectificada 2242</t>
  </si>
  <si>
    <t>Emb Don BAYRON Rpa 966665-III</t>
  </si>
  <si>
    <t>Emb EL CID Rpa 950657-III</t>
  </si>
  <si>
    <t>ERIC ARACENA REYNUABA III-IV</t>
  </si>
  <si>
    <t>GIULLIANO REYNUABA SALAS III-IV</t>
  </si>
  <si>
    <t>Emb KALI Rpa 951110-III</t>
  </si>
  <si>
    <t>Emb SANDY III Rpa 967785-III</t>
  </si>
  <si>
    <t>ATILIO BARRERA</t>
  </si>
  <si>
    <t>Emb DON ATILIO Rpa 960355-III</t>
  </si>
  <si>
    <t xml:space="preserve"> Jul-Dic</t>
  </si>
  <si>
    <t>TOTAL OBJETIVO ANCHOVETA XV-IV REGIONES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</si>
</sst>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0.00_ ;[Red]\-0.00\ "/>
    <numFmt numFmtId="165" formatCode="[$-F800]dddd\,\ mmmm\ dd\,\ yyyy"/>
    <numFmt numFmtId="166" formatCode="0.000%"/>
    <numFmt numFmtId="167" formatCode="0.0"/>
    <numFmt numFmtId="168" formatCode="0.000"/>
    <numFmt numFmtId="169" formatCode="yyyy/mm/dd;@"/>
    <numFmt numFmtId="170" formatCode="#,##0.000"/>
    <numFmt numFmtId="171" formatCode="_-* #,##0.0_-;\-* #,##0.0_-;_-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9"/>
      <color theme="10"/>
      <name val="Calibri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10"/>
      <color rgb="FFFF0000"/>
      <name val="Calibri"/>
      <family val="2"/>
      <scheme val="minor"/>
    </font>
    <font>
      <u/>
      <sz val="9"/>
      <color theme="0"/>
      <name val="Calibri"/>
      <family val="2"/>
    </font>
    <font>
      <b/>
      <sz val="9"/>
      <color theme="1"/>
      <name val="Calibri"/>
      <family val="2"/>
      <scheme val="minor"/>
    </font>
    <font>
      <sz val="11"/>
      <color theme="0" tint="-4.9989318521683403E-2"/>
      <name val="Calibri"/>
      <family val="2"/>
    </font>
    <font>
      <sz val="11"/>
      <color theme="0" tint="-4.9989318521683403E-2"/>
      <name val="Calibri"/>
      <family val="2"/>
      <scheme val="minor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Arial"/>
      <family val="2"/>
    </font>
    <font>
      <b/>
      <sz val="7.5"/>
      <color theme="1"/>
      <name val="Arial"/>
      <family val="2"/>
    </font>
    <font>
      <sz val="8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Tahoma"/>
      <family val="2"/>
    </font>
    <font>
      <b/>
      <sz val="8"/>
      <name val="Arial"/>
      <family val="2"/>
    </font>
    <font>
      <u/>
      <sz val="12"/>
      <color theme="0"/>
      <name val="Calibri"/>
      <family val="2"/>
    </font>
    <font>
      <u/>
      <sz val="11"/>
      <color theme="0"/>
      <name val="Calibri"/>
      <family val="2"/>
    </font>
    <font>
      <b/>
      <sz val="9"/>
      <color rgb="FFFF0000"/>
      <name val="Verdana"/>
      <family val="2"/>
    </font>
    <font>
      <b/>
      <sz val="9"/>
      <name val="Verdana"/>
      <family val="2"/>
    </font>
    <font>
      <strike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55E17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723">
    <xf numFmtId="0" fontId="0" fillId="0" borderId="0" xfId="0"/>
    <xf numFmtId="0" fontId="6" fillId="4" borderId="1" xfId="6" applyFont="1" applyFill="1" applyBorder="1" applyAlignment="1">
      <alignment horizontal="center" vertical="center" wrapText="1"/>
    </xf>
    <xf numFmtId="0" fontId="8" fillId="9" borderId="33" xfId="0" applyNumberFormat="1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2" fontId="7" fillId="5" borderId="0" xfId="1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1" applyNumberFormat="1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10" fillId="13" borderId="0" xfId="0" applyFont="1" applyFill="1" applyAlignment="1">
      <alignment horizontal="center" vertical="center"/>
    </xf>
    <xf numFmtId="0" fontId="10" fillId="13" borderId="0" xfId="0" applyNumberFormat="1" applyFont="1" applyFill="1" applyAlignment="1">
      <alignment horizontal="center" vertical="center"/>
    </xf>
    <xf numFmtId="0" fontId="0" fillId="13" borderId="0" xfId="0" applyFont="1" applyFill="1" applyAlignment="1">
      <alignment horizontal="center" vertical="center"/>
    </xf>
    <xf numFmtId="165" fontId="11" fillId="13" borderId="0" xfId="0" applyNumberFormat="1" applyFont="1" applyFill="1" applyBorder="1" applyAlignment="1">
      <alignment horizontal="center" vertical="center"/>
    </xf>
    <xf numFmtId="0" fontId="11" fillId="13" borderId="0" xfId="0" applyNumberFormat="1" applyFont="1" applyFill="1" applyBorder="1" applyAlignment="1">
      <alignment horizontal="center" vertical="center"/>
    </xf>
    <xf numFmtId="166" fontId="7" fillId="16" borderId="11" xfId="2" applyNumberFormat="1" applyFont="1" applyFill="1" applyBorder="1" applyAlignment="1">
      <alignment horizontal="center" vertical="center"/>
    </xf>
    <xf numFmtId="1" fontId="0" fillId="16" borderId="11" xfId="0" applyNumberFormat="1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166" fontId="7" fillId="13" borderId="11" xfId="2" applyNumberFormat="1" applyFont="1" applyFill="1" applyBorder="1" applyAlignment="1">
      <alignment horizontal="center" vertical="center"/>
    </xf>
    <xf numFmtId="1" fontId="0" fillId="13" borderId="11" xfId="0" applyNumberFormat="1" applyFont="1" applyFill="1" applyBorder="1" applyAlignment="1">
      <alignment horizontal="center" vertical="center"/>
    </xf>
    <xf numFmtId="2" fontId="0" fillId="13" borderId="11" xfId="2" applyNumberFormat="1" applyFont="1" applyFill="1" applyBorder="1" applyAlignment="1">
      <alignment horizontal="center" vertical="center" wrapText="1"/>
    </xf>
    <xf numFmtId="0" fontId="0" fillId="13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17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7" borderId="0" xfId="0" applyFill="1"/>
    <xf numFmtId="2" fontId="0" fillId="17" borderId="0" xfId="0" applyNumberFormat="1" applyFill="1"/>
    <xf numFmtId="0" fontId="3" fillId="6" borderId="3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1" xfId="0" applyFont="1" applyBorder="1"/>
    <xf numFmtId="0" fontId="0" fillId="0" borderId="11" xfId="0" applyBorder="1"/>
    <xf numFmtId="0" fontId="0" fillId="0" borderId="6" xfId="0" applyBorder="1"/>
    <xf numFmtId="0" fontId="0" fillId="0" borderId="2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 applyAlignment="1">
      <alignment vertical="center"/>
    </xf>
    <xf numFmtId="0" fontId="8" fillId="19" borderId="26" xfId="0" applyNumberFormat="1" applyFont="1" applyFill="1" applyBorder="1" applyAlignment="1">
      <alignment horizontal="center" vertical="center" wrapText="1"/>
    </xf>
    <xf numFmtId="0" fontId="8" fillId="19" borderId="28" xfId="0" applyNumberFormat="1" applyFont="1" applyFill="1" applyBorder="1" applyAlignment="1">
      <alignment horizontal="center" vertical="center" wrapText="1"/>
    </xf>
    <xf numFmtId="165" fontId="8" fillId="19" borderId="18" xfId="0" applyNumberFormat="1" applyFont="1" applyFill="1" applyBorder="1" applyAlignment="1">
      <alignment horizontal="center" vertical="center" wrapText="1"/>
    </xf>
    <xf numFmtId="165" fontId="8" fillId="19" borderId="22" xfId="0" applyNumberFormat="1" applyFont="1" applyFill="1" applyBorder="1" applyAlignment="1">
      <alignment horizontal="center" vertical="center" wrapText="1"/>
    </xf>
    <xf numFmtId="2" fontId="0" fillId="16" borderId="11" xfId="2" applyNumberFormat="1" applyFont="1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horizontal="center" vertical="center"/>
    </xf>
    <xf numFmtId="2" fontId="0" fillId="16" borderId="11" xfId="0" applyNumberFormat="1" applyFont="1" applyFill="1" applyBorder="1" applyAlignment="1">
      <alignment horizontal="center" vertical="center"/>
    </xf>
    <xf numFmtId="2" fontId="0" fillId="16" borderId="11" xfId="0" applyNumberFormat="1" applyFont="1" applyFill="1" applyBorder="1" applyAlignment="1">
      <alignment horizontal="center" vertical="center" wrapText="1"/>
    </xf>
    <xf numFmtId="9" fontId="0" fillId="16" borderId="11" xfId="2" applyFont="1" applyFill="1" applyBorder="1" applyAlignment="1">
      <alignment horizontal="center" vertical="center"/>
    </xf>
    <xf numFmtId="4" fontId="0" fillId="16" borderId="11" xfId="0" applyNumberFormat="1" applyFont="1" applyFill="1" applyBorder="1" applyAlignment="1">
      <alignment horizontal="center" vertical="center"/>
    </xf>
    <xf numFmtId="0" fontId="6" fillId="4" borderId="28" xfId="3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center" vertical="center"/>
    </xf>
    <xf numFmtId="165" fontId="22" fillId="5" borderId="5" xfId="0" applyNumberFormat="1" applyFont="1" applyFill="1" applyBorder="1" applyAlignment="1">
      <alignment horizontal="center" vertical="center" wrapText="1"/>
    </xf>
    <xf numFmtId="165" fontId="22" fillId="5" borderId="8" xfId="0" applyNumberFormat="1" applyFont="1" applyFill="1" applyBorder="1" applyAlignment="1">
      <alignment horizontal="center" vertical="center" wrapText="1"/>
    </xf>
    <xf numFmtId="165" fontId="22" fillId="5" borderId="39" xfId="0" applyNumberFormat="1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center" vertical="center" wrapText="1"/>
    </xf>
    <xf numFmtId="165" fontId="8" fillId="5" borderId="41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0" borderId="0" xfId="0" applyFont="1"/>
    <xf numFmtId="0" fontId="15" fillId="5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10" fontId="15" fillId="5" borderId="22" xfId="2" applyNumberFormat="1" applyFont="1" applyFill="1" applyBorder="1" applyAlignment="1">
      <alignment horizontal="center" vertical="center"/>
    </xf>
    <xf numFmtId="0" fontId="15" fillId="5" borderId="0" xfId="0" applyFont="1" applyFill="1"/>
    <xf numFmtId="0" fontId="15" fillId="5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14" fontId="7" fillId="5" borderId="0" xfId="0" applyNumberFormat="1" applyFont="1" applyFill="1" applyAlignment="1">
      <alignment horizontal="center" vertical="center" wrapText="1"/>
    </xf>
    <xf numFmtId="0" fontId="7" fillId="5" borderId="0" xfId="0" applyNumberFormat="1" applyFont="1" applyFill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9" fontId="7" fillId="5" borderId="0" xfId="0" applyNumberFormat="1" applyFont="1" applyFill="1" applyAlignment="1">
      <alignment horizontal="center" vertical="center" wrapText="1"/>
    </xf>
    <xf numFmtId="2" fontId="0" fillId="5" borderId="0" xfId="0" applyNumberFormat="1" applyFill="1"/>
    <xf numFmtId="0" fontId="4" fillId="15" borderId="11" xfId="0" applyFont="1" applyFill="1" applyBorder="1" applyAlignment="1">
      <alignment horizontal="center" vertical="center" wrapText="1"/>
    </xf>
    <xf numFmtId="0" fontId="4" fillId="15" borderId="11" xfId="0" applyNumberFormat="1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/>
    </xf>
    <xf numFmtId="9" fontId="0" fillId="13" borderId="11" xfId="2" applyFont="1" applyFill="1" applyBorder="1" applyAlignment="1">
      <alignment horizontal="center" vertical="center"/>
    </xf>
    <xf numFmtId="2" fontId="0" fillId="13" borderId="11" xfId="0" applyNumberFormat="1" applyFont="1" applyFill="1" applyBorder="1" applyAlignment="1">
      <alignment horizontal="center" vertical="center"/>
    </xf>
    <xf numFmtId="0" fontId="0" fillId="13" borderId="0" xfId="0" applyFill="1"/>
    <xf numFmtId="0" fontId="7" fillId="5" borderId="11" xfId="0" applyFont="1" applyFill="1" applyBorder="1" applyAlignment="1">
      <alignment horizontal="center" vertical="center" wrapText="1"/>
    </xf>
    <xf numFmtId="0" fontId="10" fillId="13" borderId="0" xfId="0" applyFont="1" applyFill="1" applyAlignment="1">
      <alignment horizontal="center"/>
    </xf>
    <xf numFmtId="0" fontId="0" fillId="13" borderId="11" xfId="0" applyFont="1" applyFill="1" applyBorder="1" applyAlignment="1">
      <alignment horizontal="center"/>
    </xf>
    <xf numFmtId="1" fontId="0" fillId="13" borderId="11" xfId="0" applyNumberFormat="1" applyFont="1" applyFill="1" applyBorder="1" applyAlignment="1">
      <alignment horizontal="center"/>
    </xf>
    <xf numFmtId="2" fontId="0" fillId="13" borderId="11" xfId="2" applyNumberFormat="1" applyFont="1" applyFill="1" applyBorder="1" applyAlignment="1">
      <alignment horizontal="center" wrapText="1"/>
    </xf>
    <xf numFmtId="0" fontId="0" fillId="13" borderId="11" xfId="0" applyNumberFormat="1" applyFont="1" applyFill="1" applyBorder="1" applyAlignment="1">
      <alignment horizontal="center" wrapText="1"/>
    </xf>
    <xf numFmtId="9" fontId="0" fillId="13" borderId="11" xfId="2" applyFont="1" applyFill="1" applyBorder="1" applyAlignment="1">
      <alignment horizontal="center"/>
    </xf>
    <xf numFmtId="0" fontId="0" fillId="13" borderId="0" xfId="0" applyFont="1" applyFill="1" applyAlignment="1">
      <alignment horizontal="center"/>
    </xf>
    <xf numFmtId="0" fontId="0" fillId="13" borderId="0" xfId="0" applyFill="1" applyAlignment="1"/>
    <xf numFmtId="0" fontId="12" fillId="5" borderId="11" xfId="0" applyFont="1" applyFill="1" applyBorder="1" applyAlignment="1">
      <alignment horizontal="right" vertical="center"/>
    </xf>
    <xf numFmtId="0" fontId="0" fillId="5" borderId="11" xfId="0" applyNumberFormat="1" applyFont="1" applyFill="1" applyBorder="1" applyAlignment="1">
      <alignment horizontal="right" vertical="center"/>
    </xf>
    <xf numFmtId="2" fontId="16" fillId="13" borderId="11" xfId="0" applyNumberFormat="1" applyFont="1" applyFill="1" applyBorder="1" applyAlignment="1">
      <alignment horizontal="right"/>
    </xf>
    <xf numFmtId="0" fontId="7" fillId="5" borderId="11" xfId="1" applyNumberFormat="1" applyFont="1" applyFill="1" applyBorder="1" applyAlignment="1">
      <alignment horizontal="right" vertical="center"/>
    </xf>
    <xf numFmtId="2" fontId="16" fillId="13" borderId="11" xfId="1" applyNumberFormat="1" applyFont="1" applyFill="1" applyBorder="1" applyAlignment="1">
      <alignment horizontal="right" vertical="center"/>
    </xf>
    <xf numFmtId="2" fontId="16" fillId="13" borderId="0" xfId="0" applyNumberFormat="1" applyFont="1" applyFill="1" applyAlignment="1">
      <alignment horizontal="right" vertical="center"/>
    </xf>
    <xf numFmtId="0" fontId="10" fillId="13" borderId="0" xfId="0" applyFont="1" applyFill="1" applyAlignment="1">
      <alignment horizontal="right" vertical="center"/>
    </xf>
    <xf numFmtId="0" fontId="7" fillId="5" borderId="11" xfId="0" applyFont="1" applyFill="1" applyBorder="1" applyAlignment="1">
      <alignment horizontal="right" vertical="center" wrapText="1"/>
    </xf>
    <xf numFmtId="14" fontId="9" fillId="5" borderId="11" xfId="0" applyNumberFormat="1" applyFont="1" applyFill="1" applyBorder="1" applyAlignment="1">
      <alignment horizontal="center" wrapText="1"/>
    </xf>
    <xf numFmtId="168" fontId="9" fillId="5" borderId="11" xfId="0" applyNumberFormat="1" applyFont="1" applyFill="1" applyBorder="1" applyAlignment="1">
      <alignment horizontal="center" wrapText="1"/>
    </xf>
    <xf numFmtId="0" fontId="9" fillId="11" borderId="9" xfId="0" applyNumberFormat="1" applyFont="1" applyFill="1" applyBorder="1" applyAlignment="1">
      <alignment horizontal="right" wrapText="1"/>
    </xf>
    <xf numFmtId="2" fontId="9" fillId="5" borderId="11" xfId="1" applyNumberFormat="1" applyFont="1" applyFill="1" applyBorder="1" applyAlignment="1">
      <alignment horizontal="right" wrapText="1"/>
    </xf>
    <xf numFmtId="0" fontId="9" fillId="11" borderId="9" xfId="1" applyNumberFormat="1" applyFont="1" applyFill="1" applyBorder="1" applyAlignment="1">
      <alignment horizontal="right" wrapText="1"/>
    </xf>
    <xf numFmtId="2" fontId="9" fillId="5" borderId="11" xfId="0" applyNumberFormat="1" applyFont="1" applyFill="1" applyBorder="1" applyAlignment="1">
      <alignment horizontal="right" wrapText="1"/>
    </xf>
    <xf numFmtId="2" fontId="9" fillId="5" borderId="4" xfId="0" applyNumberFormat="1" applyFont="1" applyFill="1" applyBorder="1" applyAlignment="1">
      <alignment horizontal="right" wrapText="1"/>
    </xf>
    <xf numFmtId="0" fontId="15" fillId="5" borderId="11" xfId="0" applyNumberFormat="1" applyFont="1" applyFill="1" applyBorder="1" applyAlignment="1">
      <alignment horizontal="right"/>
    </xf>
    <xf numFmtId="0" fontId="9" fillId="5" borderId="15" xfId="1" applyNumberFormat="1" applyFont="1" applyFill="1" applyBorder="1" applyAlignment="1">
      <alignment horizontal="right" wrapText="1"/>
    </xf>
    <xf numFmtId="0" fontId="4" fillId="21" borderId="15" xfId="0" applyFont="1" applyFill="1" applyBorder="1" applyAlignment="1">
      <alignment horizontal="center" vertical="center"/>
    </xf>
    <xf numFmtId="0" fontId="4" fillId="21" borderId="4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4" xfId="0" applyFont="1" applyFill="1" applyBorder="1" applyAlignment="1">
      <alignment horizontal="right" vertical="center"/>
    </xf>
    <xf numFmtId="0" fontId="15" fillId="3" borderId="15" xfId="0" applyFont="1" applyFill="1" applyBorder="1" applyAlignment="1">
      <alignment horizontal="right" vertical="center"/>
    </xf>
    <xf numFmtId="164" fontId="15" fillId="5" borderId="0" xfId="0" applyNumberFormat="1" applyFont="1" applyFill="1" applyBorder="1" applyAlignment="1">
      <alignment horizontal="right" vertical="center"/>
    </xf>
    <xf numFmtId="10" fontId="15" fillId="5" borderId="9" xfId="2" applyNumberFormat="1" applyFont="1" applyFill="1" applyBorder="1" applyAlignment="1">
      <alignment horizontal="right" vertical="center"/>
    </xf>
    <xf numFmtId="0" fontId="15" fillId="5" borderId="8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164" fontId="15" fillId="5" borderId="8" xfId="0" applyNumberFormat="1" applyFont="1" applyFill="1" applyBorder="1" applyAlignment="1">
      <alignment horizontal="right" vertical="center"/>
    </xf>
    <xf numFmtId="0" fontId="15" fillId="3" borderId="9" xfId="0" applyFont="1" applyFill="1" applyBorder="1" applyAlignment="1">
      <alignment horizontal="right" vertical="center"/>
    </xf>
    <xf numFmtId="10" fontId="15" fillId="5" borderId="11" xfId="2" applyNumberFormat="1" applyFont="1" applyFill="1" applyBorder="1" applyAlignment="1">
      <alignment horizontal="right" vertical="center"/>
    </xf>
    <xf numFmtId="0" fontId="15" fillId="5" borderId="14" xfId="0" applyFont="1" applyFill="1" applyBorder="1" applyAlignment="1">
      <alignment horizontal="right" vertical="center"/>
    </xf>
    <xf numFmtId="0" fontId="15" fillId="5" borderId="15" xfId="0" applyFont="1" applyFill="1" applyBorder="1" applyAlignment="1">
      <alignment horizontal="right" vertical="center"/>
    </xf>
    <xf numFmtId="164" fontId="15" fillId="5" borderId="14" xfId="0" applyNumberFormat="1" applyFont="1" applyFill="1" applyBorder="1" applyAlignment="1">
      <alignment horizontal="right" vertical="center"/>
    </xf>
    <xf numFmtId="0" fontId="15" fillId="5" borderId="9" xfId="0" applyFont="1" applyFill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40" xfId="0" applyFont="1" applyBorder="1" applyAlignment="1">
      <alignment horizontal="right" vertical="center"/>
    </xf>
    <xf numFmtId="0" fontId="15" fillId="9" borderId="15" xfId="0" applyFont="1" applyFill="1" applyBorder="1" applyAlignment="1">
      <alignment horizontal="right" vertical="center"/>
    </xf>
    <xf numFmtId="164" fontId="15" fillId="0" borderId="30" xfId="0" applyNumberFormat="1" applyFont="1" applyBorder="1" applyAlignment="1">
      <alignment horizontal="right" vertical="center"/>
    </xf>
    <xf numFmtId="10" fontId="15" fillId="0" borderId="11" xfId="2" applyNumberFormat="1" applyFont="1" applyBorder="1" applyAlignment="1">
      <alignment horizontal="right" vertical="center"/>
    </xf>
    <xf numFmtId="10" fontId="15" fillId="0" borderId="30" xfId="2" applyNumberFormat="1" applyFont="1" applyBorder="1" applyAlignment="1">
      <alignment horizontal="right" vertical="center"/>
    </xf>
    <xf numFmtId="0" fontId="15" fillId="9" borderId="4" xfId="0" applyFont="1" applyFill="1" applyBorder="1" applyAlignment="1">
      <alignment horizontal="right" vertical="center"/>
    </xf>
    <xf numFmtId="164" fontId="15" fillId="0" borderId="44" xfId="0" applyNumberFormat="1" applyFont="1" applyBorder="1" applyAlignment="1">
      <alignment horizontal="right" vertical="center"/>
    </xf>
    <xf numFmtId="10" fontId="15" fillId="0" borderId="9" xfId="2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10" fontId="15" fillId="5" borderId="0" xfId="2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164" fontId="15" fillId="0" borderId="8" xfId="0" applyNumberFormat="1" applyFont="1" applyBorder="1" applyAlignment="1">
      <alignment horizontal="right" vertical="center"/>
    </xf>
    <xf numFmtId="164" fontId="15" fillId="0" borderId="39" xfId="0" applyNumberFormat="1" applyFont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10" fontId="15" fillId="0" borderId="15" xfId="2" applyNumberFormat="1" applyFont="1" applyBorder="1" applyAlignment="1">
      <alignment horizontal="right" vertical="center"/>
    </xf>
    <xf numFmtId="0" fontId="15" fillId="20" borderId="10" xfId="0" applyFont="1" applyFill="1" applyBorder="1" applyAlignment="1">
      <alignment horizontal="right" vertical="center"/>
    </xf>
    <xf numFmtId="0" fontId="15" fillId="20" borderId="11" xfId="0" applyFont="1" applyFill="1" applyBorder="1" applyAlignment="1">
      <alignment horizontal="right" vertical="center"/>
    </xf>
    <xf numFmtId="164" fontId="15" fillId="20" borderId="40" xfId="0" applyNumberFormat="1" applyFont="1" applyFill="1" applyBorder="1" applyAlignment="1">
      <alignment horizontal="right" vertical="center"/>
    </xf>
    <xf numFmtId="0" fontId="23" fillId="20" borderId="11" xfId="0" applyFont="1" applyFill="1" applyBorder="1" applyAlignment="1">
      <alignment horizontal="right" vertical="center"/>
    </xf>
    <xf numFmtId="0" fontId="15" fillId="20" borderId="40" xfId="0" applyFont="1" applyFill="1" applyBorder="1" applyAlignment="1">
      <alignment horizontal="right" vertical="center"/>
    </xf>
    <xf numFmtId="10" fontId="15" fillId="20" borderId="42" xfId="2" applyNumberFormat="1" applyFont="1" applyFill="1" applyBorder="1" applyAlignment="1">
      <alignment horizontal="right" vertical="center"/>
    </xf>
    <xf numFmtId="0" fontId="15" fillId="5" borderId="0" xfId="0" applyFont="1" applyFill="1" applyAlignment="1">
      <alignment horizontal="right" vertical="center"/>
    </xf>
    <xf numFmtId="164" fontId="15" fillId="5" borderId="0" xfId="0" applyNumberFormat="1" applyFont="1" applyFill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164" fontId="15" fillId="0" borderId="42" xfId="0" applyNumberFormat="1" applyFont="1" applyBorder="1" applyAlignment="1">
      <alignment horizontal="right" vertical="center"/>
    </xf>
    <xf numFmtId="10" fontId="15" fillId="0" borderId="42" xfId="2" applyNumberFormat="1" applyFont="1" applyBorder="1" applyAlignment="1">
      <alignment horizontal="right" vertical="center"/>
    </xf>
    <xf numFmtId="0" fontId="9" fillId="5" borderId="15" xfId="0" applyFont="1" applyFill="1" applyBorder="1" applyAlignment="1">
      <alignment horizontal="right" wrapText="1"/>
    </xf>
    <xf numFmtId="2" fontId="9" fillId="5" borderId="14" xfId="1" applyNumberFormat="1" applyFont="1" applyFill="1" applyBorder="1" applyAlignment="1">
      <alignment horizontal="right" wrapText="1"/>
    </xf>
    <xf numFmtId="0" fontId="15" fillId="0" borderId="15" xfId="0" applyFont="1" applyBorder="1" applyAlignment="1">
      <alignment horizontal="right"/>
    </xf>
    <xf numFmtId="2" fontId="9" fillId="5" borderId="9" xfId="0" applyNumberFormat="1" applyFont="1" applyFill="1" applyBorder="1" applyAlignment="1">
      <alignment horizontal="right" wrapText="1"/>
    </xf>
    <xf numFmtId="2" fontId="9" fillId="5" borderId="8" xfId="1" applyNumberFormat="1" applyFont="1" applyFill="1" applyBorder="1" applyAlignment="1">
      <alignment horizontal="right" wrapText="1"/>
    </xf>
    <xf numFmtId="2" fontId="9" fillId="5" borderId="10" xfId="1" applyNumberFormat="1" applyFont="1" applyFill="1" applyBorder="1" applyAlignment="1">
      <alignment horizontal="right" wrapText="1"/>
    </xf>
    <xf numFmtId="2" fontId="9" fillId="5" borderId="42" xfId="1" applyNumberFormat="1" applyFont="1" applyFill="1" applyBorder="1" applyAlignment="1">
      <alignment horizontal="right" wrapText="1"/>
    </xf>
    <xf numFmtId="14" fontId="9" fillId="5" borderId="11" xfId="1" applyNumberFormat="1" applyFont="1" applyFill="1" applyBorder="1" applyAlignment="1">
      <alignment horizontal="right" wrapText="1"/>
    </xf>
    <xf numFmtId="2" fontId="9" fillId="5" borderId="15" xfId="1" applyNumberFormat="1" applyFont="1" applyFill="1" applyBorder="1" applyAlignment="1">
      <alignment horizontal="right" wrapText="1"/>
    </xf>
    <xf numFmtId="167" fontId="9" fillId="5" borderId="30" xfId="0" applyNumberFormat="1" applyFont="1" applyFill="1" applyBorder="1" applyAlignment="1">
      <alignment horizontal="right" wrapText="1"/>
    </xf>
    <xf numFmtId="166" fontId="9" fillId="5" borderId="13" xfId="2" applyNumberFormat="1" applyFont="1" applyFill="1" applyBorder="1" applyAlignment="1">
      <alignment horizontal="right" wrapText="1"/>
    </xf>
    <xf numFmtId="2" fontId="9" fillId="5" borderId="9" xfId="1" applyNumberFormat="1" applyFont="1" applyFill="1" applyBorder="1" applyAlignment="1">
      <alignment horizontal="right" wrapText="1"/>
    </xf>
    <xf numFmtId="167" fontId="9" fillId="5" borderId="39" xfId="0" applyNumberFormat="1" applyFont="1" applyFill="1" applyBorder="1" applyAlignment="1">
      <alignment horizontal="right" wrapText="1"/>
    </xf>
    <xf numFmtId="166" fontId="9" fillId="5" borderId="5" xfId="2" applyNumberFormat="1" applyFont="1" applyFill="1" applyBorder="1" applyAlignment="1">
      <alignment horizontal="right" wrapText="1"/>
    </xf>
    <xf numFmtId="2" fontId="9" fillId="5" borderId="10" xfId="0" applyNumberFormat="1" applyFont="1" applyFill="1" applyBorder="1" applyAlignment="1">
      <alignment horizontal="right" wrapText="1"/>
    </xf>
    <xf numFmtId="2" fontId="9" fillId="5" borderId="42" xfId="0" applyNumberFormat="1" applyFont="1" applyFill="1" applyBorder="1" applyAlignment="1">
      <alignment horizontal="right" wrapText="1"/>
    </xf>
    <xf numFmtId="166" fontId="9" fillId="5" borderId="11" xfId="0" applyNumberFormat="1" applyFont="1" applyFill="1" applyBorder="1" applyAlignment="1">
      <alignment horizontal="right" wrapText="1"/>
    </xf>
    <xf numFmtId="14" fontId="9" fillId="5" borderId="11" xfId="0" applyNumberFormat="1" applyFont="1" applyFill="1" applyBorder="1" applyAlignment="1">
      <alignment horizontal="right" wrapText="1"/>
    </xf>
    <xf numFmtId="2" fontId="9" fillId="5" borderId="0" xfId="0" applyNumberFormat="1" applyFont="1" applyFill="1" applyAlignment="1">
      <alignment horizontal="right" wrapText="1"/>
    </xf>
    <xf numFmtId="166" fontId="9" fillId="5" borderId="0" xfId="0" applyNumberFormat="1" applyFont="1" applyFill="1" applyAlignment="1">
      <alignment horizontal="right" wrapText="1"/>
    </xf>
    <xf numFmtId="2" fontId="9" fillId="5" borderId="40" xfId="1" applyNumberFormat="1" applyFont="1" applyFill="1" applyBorder="1" applyAlignment="1">
      <alignment horizontal="right" wrapText="1"/>
    </xf>
    <xf numFmtId="166" fontId="9" fillId="5" borderId="10" xfId="0" applyNumberFormat="1" applyFont="1" applyFill="1" applyBorder="1" applyAlignment="1">
      <alignment horizontal="right" wrapText="1"/>
    </xf>
    <xf numFmtId="2" fontId="9" fillId="5" borderId="0" xfId="0" applyNumberFormat="1" applyFont="1" applyFill="1" applyBorder="1" applyAlignment="1">
      <alignment horizontal="right" wrapText="1"/>
    </xf>
    <xf numFmtId="166" fontId="9" fillId="5" borderId="0" xfId="0" applyNumberFormat="1" applyFont="1" applyFill="1" applyBorder="1" applyAlignment="1">
      <alignment horizontal="right" wrapText="1"/>
    </xf>
    <xf numFmtId="14" fontId="9" fillId="12" borderId="11" xfId="0" applyNumberFormat="1" applyFont="1" applyFill="1" applyBorder="1" applyAlignment="1">
      <alignment horizontal="right" wrapText="1"/>
    </xf>
    <xf numFmtId="2" fontId="0" fillId="16" borderId="11" xfId="1" applyNumberFormat="1" applyFont="1" applyFill="1" applyBorder="1" applyAlignment="1">
      <alignment horizontal="right" vertical="center"/>
    </xf>
    <xf numFmtId="0" fontId="0" fillId="16" borderId="11" xfId="0" applyFont="1" applyFill="1" applyBorder="1" applyAlignment="1">
      <alignment horizontal="right" vertical="center"/>
    </xf>
    <xf numFmtId="166" fontId="7" fillId="16" borderId="11" xfId="2" applyNumberFormat="1" applyFont="1" applyFill="1" applyBorder="1" applyAlignment="1">
      <alignment horizontal="right" vertical="center"/>
    </xf>
    <xf numFmtId="2" fontId="7" fillId="16" borderId="11" xfId="0" applyNumberFormat="1" applyFont="1" applyFill="1" applyBorder="1" applyAlignment="1">
      <alignment horizontal="right" vertical="center"/>
    </xf>
    <xf numFmtId="2" fontId="7" fillId="16" borderId="11" xfId="1" applyNumberFormat="1" applyFont="1" applyFill="1" applyBorder="1" applyAlignment="1">
      <alignment horizontal="right" vertical="center"/>
    </xf>
    <xf numFmtId="2" fontId="16" fillId="13" borderId="11" xfId="0" applyNumberFormat="1" applyFont="1" applyFill="1" applyBorder="1" applyAlignment="1">
      <alignment horizontal="right" vertical="center"/>
    </xf>
    <xf numFmtId="166" fontId="7" fillId="13" borderId="11" xfId="2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167" fontId="0" fillId="16" borderId="11" xfId="0" applyNumberFormat="1" applyFont="1" applyFill="1" applyBorder="1" applyAlignment="1">
      <alignment horizontal="right" vertical="center"/>
    </xf>
    <xf numFmtId="2" fontId="0" fillId="16" borderId="11" xfId="1" applyNumberFormat="1" applyFont="1" applyFill="1" applyBorder="1" applyAlignment="1">
      <alignment horizontal="right" vertical="center" wrapText="1"/>
    </xf>
    <xf numFmtId="166" fontId="7" fillId="5" borderId="11" xfId="2" applyNumberFormat="1" applyFont="1" applyFill="1" applyBorder="1" applyAlignment="1">
      <alignment horizontal="right" vertical="center" wrapText="1"/>
    </xf>
    <xf numFmtId="0" fontId="15" fillId="22" borderId="15" xfId="0" applyFont="1" applyFill="1" applyBorder="1" applyAlignment="1">
      <alignment horizontal="right" vertical="center"/>
    </xf>
    <xf numFmtId="0" fontId="15" fillId="22" borderId="11" xfId="0" applyFont="1" applyFill="1" applyBorder="1" applyAlignment="1">
      <alignment horizontal="right" vertical="center"/>
    </xf>
    <xf numFmtId="0" fontId="0" fillId="22" borderId="11" xfId="0" applyFill="1" applyBorder="1"/>
    <xf numFmtId="0" fontId="0" fillId="0" borderId="0" xfId="0" applyNumberFormat="1" applyBorder="1"/>
    <xf numFmtId="14" fontId="9" fillId="25" borderId="11" xfId="2" applyNumberFormat="1" applyFont="1" applyFill="1" applyBorder="1" applyAlignment="1">
      <alignment horizontal="right" wrapText="1"/>
    </xf>
    <xf numFmtId="2" fontId="31" fillId="5" borderId="9" xfId="0" applyNumberFormat="1" applyFont="1" applyFill="1" applyBorder="1" applyAlignment="1">
      <alignment horizontal="right" vertical="center" wrapText="1"/>
    </xf>
    <xf numFmtId="2" fontId="31" fillId="5" borderId="9" xfId="0" applyNumberFormat="1" applyFont="1" applyFill="1" applyBorder="1" applyAlignment="1">
      <alignment horizontal="center" vertical="center" wrapText="1"/>
    </xf>
    <xf numFmtId="1" fontId="31" fillId="5" borderId="9" xfId="0" applyNumberFormat="1" applyFont="1" applyFill="1" applyBorder="1" applyAlignment="1">
      <alignment horizontal="center" vertical="center" wrapText="1"/>
    </xf>
    <xf numFmtId="14" fontId="31" fillId="5" borderId="9" xfId="0" applyNumberFormat="1" applyFont="1" applyFill="1" applyBorder="1" applyAlignment="1">
      <alignment horizontal="center" vertical="center" wrapText="1"/>
    </xf>
    <xf numFmtId="2" fontId="32" fillId="0" borderId="4" xfId="0" applyNumberFormat="1" applyFont="1" applyFill="1" applyBorder="1" applyAlignment="1">
      <alignment horizontal="right" vertical="center"/>
    </xf>
    <xf numFmtId="0" fontId="30" fillId="5" borderId="9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right" vertical="center"/>
    </xf>
    <xf numFmtId="0" fontId="19" fillId="5" borderId="0" xfId="0" applyFont="1" applyFill="1"/>
    <xf numFmtId="14" fontId="30" fillId="26" borderId="11" xfId="0" applyNumberFormat="1" applyFont="1" applyFill="1" applyBorder="1" applyAlignment="1">
      <alignment horizontal="center" vertical="center"/>
    </xf>
    <xf numFmtId="14" fontId="30" fillId="5" borderId="9" xfId="0" applyNumberFormat="1" applyFont="1" applyFill="1" applyBorder="1" applyAlignment="1">
      <alignment horizontal="center" vertical="center"/>
    </xf>
    <xf numFmtId="2" fontId="32" fillId="0" borderId="11" xfId="0" applyNumberFormat="1" applyFont="1" applyBorder="1" applyAlignment="1">
      <alignment horizontal="right" vertical="center"/>
    </xf>
    <xf numFmtId="2" fontId="32" fillId="5" borderId="15" xfId="0" applyNumberFormat="1" applyFont="1" applyFill="1" applyBorder="1" applyAlignment="1">
      <alignment horizontal="right" vertical="center"/>
    </xf>
    <xf numFmtId="168" fontId="31" fillId="5" borderId="9" xfId="0" applyNumberFormat="1" applyFont="1" applyFill="1" applyBorder="1" applyAlignment="1">
      <alignment horizontal="right" vertical="center" wrapText="1"/>
    </xf>
    <xf numFmtId="0" fontId="30" fillId="5" borderId="9" xfId="0" applyFont="1" applyFill="1" applyBorder="1" applyAlignment="1">
      <alignment horizontal="right" vertical="center"/>
    </xf>
    <xf numFmtId="0" fontId="0" fillId="0" borderId="11" xfId="0" applyNumberFormat="1" applyBorder="1"/>
    <xf numFmtId="0" fontId="0" fillId="0" borderId="0" xfId="0" applyNumberFormat="1"/>
    <xf numFmtId="0" fontId="3" fillId="23" borderId="45" xfId="0" applyNumberFormat="1" applyFont="1" applyFill="1" applyBorder="1"/>
    <xf numFmtId="0" fontId="0" fillId="0" borderId="0" xfId="0" applyAlignment="1">
      <alignment horizontal="left"/>
    </xf>
    <xf numFmtId="0" fontId="3" fillId="23" borderId="45" xfId="0" applyFont="1" applyFill="1" applyBorder="1" applyAlignment="1">
      <alignment horizontal="left"/>
    </xf>
    <xf numFmtId="0" fontId="0" fillId="17" borderId="0" xfId="0" applyFill="1" applyBorder="1"/>
    <xf numFmtId="14" fontId="0" fillId="17" borderId="0" xfId="0" applyNumberFormat="1" applyFill="1"/>
    <xf numFmtId="0" fontId="4" fillId="17" borderId="0" xfId="0" applyFont="1" applyFill="1"/>
    <xf numFmtId="1" fontId="31" fillId="29" borderId="9" xfId="0" applyNumberFormat="1" applyFont="1" applyFill="1" applyBorder="1" applyAlignment="1">
      <alignment horizontal="center" vertical="center" wrapText="1"/>
    </xf>
    <xf numFmtId="14" fontId="31" fillId="29" borderId="9" xfId="0" applyNumberFormat="1" applyFont="1" applyFill="1" applyBorder="1" applyAlignment="1">
      <alignment horizontal="center" vertical="center" wrapText="1"/>
    </xf>
    <xf numFmtId="2" fontId="31" fillId="29" borderId="9" xfId="0" applyNumberFormat="1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left" vertical="center" wrapText="1"/>
    </xf>
    <xf numFmtId="0" fontId="19" fillId="5" borderId="0" xfId="0" applyFont="1" applyFill="1" applyBorder="1"/>
    <xf numFmtId="0" fontId="19" fillId="0" borderId="11" xfId="0" applyFont="1" applyBorder="1" applyAlignment="1">
      <alignment horizontal="center"/>
    </xf>
    <xf numFmtId="14" fontId="19" fillId="0" borderId="11" xfId="0" applyNumberFormat="1" applyFont="1" applyBorder="1" applyAlignment="1">
      <alignment horizontal="center"/>
    </xf>
    <xf numFmtId="9" fontId="34" fillId="28" borderId="3" xfId="2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9" fontId="34" fillId="23" borderId="11" xfId="2" applyFont="1" applyFill="1" applyBorder="1" applyAlignment="1">
      <alignment horizontal="right"/>
    </xf>
    <xf numFmtId="0" fontId="4" fillId="15" borderId="15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0" fontId="33" fillId="15" borderId="11" xfId="7" applyFont="1" applyFill="1" applyBorder="1" applyAlignment="1" applyProtection="1">
      <alignment horizontal="center" vertical="center"/>
    </xf>
    <xf numFmtId="0" fontId="4" fillId="31" borderId="15" xfId="0" applyFont="1" applyFill="1" applyBorder="1" applyAlignment="1">
      <alignment horizontal="center" vertical="center"/>
    </xf>
    <xf numFmtId="0" fontId="4" fillId="31" borderId="9" xfId="0" applyFont="1" applyFill="1" applyBorder="1" applyAlignment="1">
      <alignment horizontal="center" vertical="center"/>
    </xf>
    <xf numFmtId="0" fontId="4" fillId="31" borderId="4" xfId="0" applyFont="1" applyFill="1" applyBorder="1" applyAlignment="1">
      <alignment horizontal="center" vertical="center"/>
    </xf>
    <xf numFmtId="0" fontId="7" fillId="14" borderId="11" xfId="0" applyFont="1" applyFill="1" applyBorder="1" applyAlignment="1">
      <alignment horizontal="center" wrapText="1"/>
    </xf>
    <xf numFmtId="0" fontId="7" fillId="14" borderId="11" xfId="0" applyFont="1" applyFill="1" applyBorder="1" applyAlignment="1">
      <alignment horizontal="center" vertical="center" wrapText="1"/>
    </xf>
    <xf numFmtId="2" fontId="9" fillId="14" borderId="13" xfId="1" applyNumberFormat="1" applyFont="1" applyFill="1" applyBorder="1" applyAlignment="1">
      <alignment horizontal="right" wrapText="1"/>
    </xf>
    <xf numFmtId="2" fontId="9" fillId="14" borderId="5" xfId="1" applyNumberFormat="1" applyFont="1" applyFill="1" applyBorder="1" applyAlignment="1">
      <alignment horizontal="right" wrapText="1"/>
    </xf>
    <xf numFmtId="2" fontId="7" fillId="14" borderId="0" xfId="1" applyNumberFormat="1" applyFont="1" applyFill="1" applyBorder="1" applyAlignment="1">
      <alignment horizontal="center" wrapText="1"/>
    </xf>
    <xf numFmtId="0" fontId="7" fillId="14" borderId="0" xfId="0" applyFont="1" applyFill="1" applyBorder="1" applyAlignment="1">
      <alignment horizontal="center" vertical="center" wrapText="1"/>
    </xf>
    <xf numFmtId="2" fontId="9" fillId="14" borderId="11" xfId="1" applyNumberFormat="1" applyFont="1" applyFill="1" applyBorder="1" applyAlignment="1">
      <alignment horizontal="right" wrapText="1"/>
    </xf>
    <xf numFmtId="2" fontId="9" fillId="14" borderId="11" xfId="0" applyNumberFormat="1" applyFont="1" applyFill="1" applyBorder="1" applyAlignment="1">
      <alignment horizontal="right" wrapText="1"/>
    </xf>
    <xf numFmtId="2" fontId="9" fillId="14" borderId="0" xfId="0" applyNumberFormat="1" applyFont="1" applyFill="1" applyAlignment="1">
      <alignment horizontal="right" wrapText="1"/>
    </xf>
    <xf numFmtId="2" fontId="9" fillId="14" borderId="10" xfId="1" applyNumberFormat="1" applyFont="1" applyFill="1" applyBorder="1" applyAlignment="1">
      <alignment horizontal="right" wrapText="1"/>
    </xf>
    <xf numFmtId="0" fontId="7" fillId="14" borderId="0" xfId="0" applyFont="1" applyFill="1" applyAlignment="1">
      <alignment horizontal="center" wrapText="1"/>
    </xf>
    <xf numFmtId="0" fontId="7" fillId="14" borderId="0" xfId="0" applyFont="1" applyFill="1" applyBorder="1" applyAlignment="1">
      <alignment horizontal="center" wrapText="1"/>
    </xf>
    <xf numFmtId="2" fontId="9" fillId="14" borderId="0" xfId="0" applyNumberFormat="1" applyFont="1" applyFill="1" applyBorder="1" applyAlignment="1">
      <alignment horizontal="right" wrapText="1"/>
    </xf>
    <xf numFmtId="0" fontId="4" fillId="31" borderId="11" xfId="0" applyFont="1" applyFill="1" applyBorder="1" applyAlignment="1">
      <alignment horizontal="center" vertical="center" wrapText="1"/>
    </xf>
    <xf numFmtId="9" fontId="4" fillId="31" borderId="11" xfId="2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/>
    </xf>
    <xf numFmtId="2" fontId="7" fillId="20" borderId="11" xfId="1" applyNumberFormat="1" applyFont="1" applyFill="1" applyBorder="1" applyAlignment="1">
      <alignment horizontal="right" vertical="center"/>
    </xf>
    <xf numFmtId="0" fontId="7" fillId="20" borderId="0" xfId="0" applyFont="1" applyFill="1" applyAlignment="1">
      <alignment horizontal="center"/>
    </xf>
    <xf numFmtId="0" fontId="7" fillId="20" borderId="0" xfId="0" applyFont="1" applyFill="1" applyAlignment="1">
      <alignment horizontal="center" vertical="center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2" fontId="7" fillId="20" borderId="11" xfId="0" applyNumberFormat="1" applyFont="1" applyFill="1" applyBorder="1" applyAlignment="1">
      <alignment horizontal="right" vertical="center" wrapText="1"/>
    </xf>
    <xf numFmtId="0" fontId="7" fillId="20" borderId="11" xfId="0" applyFont="1" applyFill="1" applyBorder="1" applyAlignment="1">
      <alignment horizontal="right" vertical="center" wrapText="1"/>
    </xf>
    <xf numFmtId="0" fontId="3" fillId="23" borderId="0" xfId="0" applyFont="1" applyFill="1" applyBorder="1"/>
    <xf numFmtId="0" fontId="0" fillId="5" borderId="0" xfId="0" applyFill="1" applyBorder="1" applyAlignment="1">
      <alignment horizontal="left"/>
    </xf>
    <xf numFmtId="0" fontId="3" fillId="23" borderId="0" xfId="0" applyFont="1" applyFill="1" applyBorder="1" applyAlignment="1">
      <alignment horizontal="left"/>
    </xf>
    <xf numFmtId="168" fontId="0" fillId="5" borderId="11" xfId="0" applyNumberFormat="1" applyFill="1" applyBorder="1"/>
    <xf numFmtId="0" fontId="4" fillId="32" borderId="10" xfId="0" applyFont="1" applyFill="1" applyBorder="1" applyAlignment="1"/>
    <xf numFmtId="0" fontId="4" fillId="32" borderId="40" xfId="0" applyFont="1" applyFill="1" applyBorder="1" applyAlignment="1"/>
    <xf numFmtId="0" fontId="4" fillId="32" borderId="42" xfId="0" applyFont="1" applyFill="1" applyBorder="1" applyAlignment="1"/>
    <xf numFmtId="2" fontId="0" fillId="5" borderId="13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8" xfId="0" applyFont="1" applyFill="1" applyBorder="1" applyAlignment="1">
      <alignment horizontal="center"/>
    </xf>
    <xf numFmtId="0" fontId="4" fillId="31" borderId="0" xfId="0" applyFon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0" fontId="4" fillId="15" borderId="40" xfId="0" applyFon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66" fontId="0" fillId="5" borderId="15" xfId="2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66" fontId="0" fillId="5" borderId="4" xfId="2" applyNumberFormat="1" applyFon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66" fontId="0" fillId="5" borderId="9" xfId="2" applyNumberFormat="1" applyFont="1" applyFill="1" applyBorder="1" applyAlignment="1">
      <alignment horizontal="center"/>
    </xf>
    <xf numFmtId="166" fontId="0" fillId="5" borderId="11" xfId="2" applyNumberFormat="1" applyFont="1" applyFill="1" applyBorder="1" applyAlignment="1">
      <alignment horizontal="center"/>
    </xf>
    <xf numFmtId="168" fontId="9" fillId="5" borderId="9" xfId="0" applyNumberFormat="1" applyFont="1" applyFill="1" applyBorder="1" applyAlignment="1">
      <alignment horizontal="center" wrapText="1"/>
    </xf>
    <xf numFmtId="2" fontId="15" fillId="0" borderId="11" xfId="0" applyNumberFormat="1" applyFont="1" applyBorder="1" applyAlignment="1">
      <alignment horizontal="right"/>
    </xf>
    <xf numFmtId="0" fontId="4" fillId="5" borderId="0" xfId="0" applyFont="1" applyFill="1" applyAlignment="1">
      <alignment horizontal="center" vertical="center" wrapText="1"/>
    </xf>
    <xf numFmtId="0" fontId="32" fillId="20" borderId="11" xfId="0" applyFont="1" applyFill="1" applyBorder="1" applyAlignment="1">
      <alignment horizontal="right" vertical="center"/>
    </xf>
    <xf numFmtId="0" fontId="30" fillId="26" borderId="11" xfId="0" applyFont="1" applyFill="1" applyBorder="1" applyAlignment="1">
      <alignment horizontal="center" vertical="center"/>
    </xf>
    <xf numFmtId="0" fontId="35" fillId="21" borderId="11" xfId="4" applyFont="1" applyFill="1" applyBorder="1" applyAlignment="1">
      <alignment horizontal="center" vertical="center" wrapText="1"/>
    </xf>
    <xf numFmtId="0" fontId="35" fillId="21" borderId="11" xfId="5" applyFont="1" applyFill="1" applyBorder="1" applyAlignment="1">
      <alignment horizontal="center" vertical="center" wrapText="1"/>
    </xf>
    <xf numFmtId="0" fontId="35" fillId="21" borderId="40" xfId="0" applyFont="1" applyFill="1" applyBorder="1" applyAlignment="1">
      <alignment horizontal="center" vertical="center" wrapText="1"/>
    </xf>
    <xf numFmtId="0" fontId="35" fillId="21" borderId="11" xfId="0" applyFont="1" applyFill="1" applyBorder="1" applyAlignment="1">
      <alignment horizontal="center" vertical="center" wrapText="1"/>
    </xf>
    <xf numFmtId="0" fontId="35" fillId="21" borderId="42" xfId="0" applyFont="1" applyFill="1" applyBorder="1" applyAlignment="1">
      <alignment horizontal="center" vertical="center" wrapText="1"/>
    </xf>
    <xf numFmtId="0" fontId="35" fillId="21" borderId="11" xfId="6" applyFont="1" applyFill="1" applyBorder="1" applyAlignment="1">
      <alignment horizontal="center" vertical="center" wrapText="1"/>
    </xf>
    <xf numFmtId="164" fontId="35" fillId="21" borderId="10" xfId="6" applyNumberFormat="1" applyFont="1" applyFill="1" applyBorder="1" applyAlignment="1">
      <alignment horizontal="center" vertical="center" wrapText="1"/>
    </xf>
    <xf numFmtId="10" fontId="35" fillId="21" borderId="11" xfId="2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 applyAlignment="1">
      <alignment horizontal="left" indent="3"/>
    </xf>
    <xf numFmtId="0" fontId="40" fillId="0" borderId="0" xfId="0" applyFont="1"/>
    <xf numFmtId="0" fontId="15" fillId="21" borderId="40" xfId="0" applyFont="1" applyFill="1" applyBorder="1" applyAlignment="1">
      <alignment horizontal="right" vertical="center"/>
    </xf>
    <xf numFmtId="0" fontId="36" fillId="0" borderId="11" xfId="0" applyFont="1" applyBorder="1"/>
    <xf numFmtId="0" fontId="7" fillId="0" borderId="11" xfId="0" applyFont="1" applyBorder="1"/>
    <xf numFmtId="0" fontId="41" fillId="0" borderId="0" xfId="0" applyFont="1"/>
    <xf numFmtId="0" fontId="42" fillId="0" borderId="0" xfId="0" applyFont="1"/>
    <xf numFmtId="0" fontId="39" fillId="5" borderId="0" xfId="0" applyFont="1" applyFill="1" applyBorder="1" applyAlignment="1">
      <alignment horizontal="right" vertical="top" wrapText="1"/>
    </xf>
    <xf numFmtId="0" fontId="42" fillId="5" borderId="0" xfId="0" applyFont="1" applyFill="1" applyBorder="1"/>
    <xf numFmtId="0" fontId="39" fillId="4" borderId="11" xfId="0" applyFont="1" applyFill="1" applyBorder="1" applyAlignment="1">
      <alignment horizontal="right" vertical="top" wrapText="1"/>
    </xf>
    <xf numFmtId="0" fontId="36" fillId="0" borderId="0" xfId="0" applyFont="1" applyAlignment="1">
      <alignment horizontal="center"/>
    </xf>
    <xf numFmtId="0" fontId="36" fillId="0" borderId="0" xfId="0" applyFont="1" applyAlignment="1"/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3" fillId="0" borderId="11" xfId="0" applyFont="1" applyBorder="1" applyAlignment="1">
      <alignment vertical="top" wrapText="1"/>
    </xf>
    <xf numFmtId="0" fontId="43" fillId="4" borderId="11" xfId="0" applyFont="1" applyFill="1" applyBorder="1" applyAlignment="1">
      <alignment vertical="top" wrapText="1"/>
    </xf>
    <xf numFmtId="0" fontId="43" fillId="38" borderId="11" xfId="0" applyFont="1" applyFill="1" applyBorder="1" applyAlignment="1">
      <alignment vertical="top" wrapText="1"/>
    </xf>
    <xf numFmtId="0" fontId="43" fillId="35" borderId="11" xfId="0" applyFont="1" applyFill="1" applyBorder="1" applyAlignment="1">
      <alignment vertical="top" wrapText="1"/>
    </xf>
    <xf numFmtId="0" fontId="43" fillId="36" borderId="11" xfId="0" applyFont="1" applyFill="1" applyBorder="1" applyAlignment="1">
      <alignment vertical="top" wrapText="1"/>
    </xf>
    <xf numFmtId="0" fontId="43" fillId="16" borderId="11" xfId="0" applyFont="1" applyFill="1" applyBorder="1" applyAlignment="1">
      <alignment vertical="top" wrapText="1"/>
    </xf>
    <xf numFmtId="0" fontId="43" fillId="39" borderId="11" xfId="0" applyFont="1" applyFill="1" applyBorder="1" applyAlignment="1">
      <alignment vertical="top" wrapText="1"/>
    </xf>
    <xf numFmtId="0" fontId="43" fillId="34" borderId="11" xfId="0" applyFont="1" applyFill="1" applyBorder="1" applyAlignment="1">
      <alignment vertical="top" wrapText="1"/>
    </xf>
    <xf numFmtId="0" fontId="43" fillId="40" borderId="11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0" fontId="43" fillId="14" borderId="11" xfId="0" applyFont="1" applyFill="1" applyBorder="1" applyAlignment="1">
      <alignment vertical="top" wrapText="1"/>
    </xf>
    <xf numFmtId="0" fontId="43" fillId="37" borderId="11" xfId="0" applyFont="1" applyFill="1" applyBorder="1" applyAlignment="1">
      <alignment vertical="center" wrapText="1"/>
    </xf>
    <xf numFmtId="0" fontId="43" fillId="37" borderId="11" xfId="0" applyFont="1" applyFill="1" applyBorder="1" applyAlignment="1">
      <alignment vertical="top" wrapText="1"/>
    </xf>
    <xf numFmtId="0" fontId="37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43" fontId="37" fillId="0" borderId="11" xfId="1" applyFont="1" applyBorder="1" applyAlignment="1">
      <alignment horizontal="right" vertical="top" wrapText="1"/>
    </xf>
    <xf numFmtId="43" fontId="39" fillId="0" borderId="11" xfId="1" applyFont="1" applyBorder="1" applyAlignment="1">
      <alignment horizontal="right" vertical="top" wrapText="1"/>
    </xf>
    <xf numFmtId="43" fontId="39" fillId="0" borderId="11" xfId="1" applyFont="1" applyBorder="1" applyAlignment="1">
      <alignment horizontal="right" vertical="top" wrapText="1" indent="1"/>
    </xf>
    <xf numFmtId="43" fontId="0" fillId="0" borderId="11" xfId="1" applyFont="1" applyBorder="1" applyAlignment="1">
      <alignment horizontal="right"/>
    </xf>
    <xf numFmtId="43" fontId="44" fillId="0" borderId="11" xfId="1" applyFont="1" applyBorder="1" applyAlignment="1">
      <alignment horizontal="right" vertical="top" wrapText="1" indent="1"/>
    </xf>
    <xf numFmtId="0" fontId="36" fillId="21" borderId="11" xfId="0" applyFont="1" applyFill="1" applyBorder="1"/>
    <xf numFmtId="0" fontId="36" fillId="0" borderId="11" xfId="0" applyFont="1" applyBorder="1" applyAlignment="1"/>
    <xf numFmtId="168" fontId="7" fillId="0" borderId="11" xfId="0" applyNumberFormat="1" applyFont="1" applyBorder="1"/>
    <xf numFmtId="168" fontId="7" fillId="0" borderId="0" xfId="0" applyNumberFormat="1" applyFont="1" applyAlignment="1">
      <alignment horizontal="center"/>
    </xf>
    <xf numFmtId="0" fontId="7" fillId="5" borderId="11" xfId="0" applyFont="1" applyFill="1" applyBorder="1"/>
    <xf numFmtId="0" fontId="7" fillId="5" borderId="11" xfId="0" applyFont="1" applyFill="1" applyBorder="1" applyAlignment="1">
      <alignment horizontal="center"/>
    </xf>
    <xf numFmtId="0" fontId="36" fillId="5" borderId="0" xfId="0" applyFont="1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36" fillId="5" borderId="0" xfId="0" applyFont="1" applyFill="1" applyBorder="1" applyAlignment="1"/>
    <xf numFmtId="0" fontId="36" fillId="5" borderId="0" xfId="0" applyFont="1" applyFill="1" applyBorder="1" applyAlignment="1">
      <alignment horizontal="center"/>
    </xf>
    <xf numFmtId="0" fontId="8" fillId="0" borderId="11" xfId="0" applyFont="1" applyBorder="1"/>
    <xf numFmtId="0" fontId="9" fillId="5" borderId="11" xfId="0" applyFont="1" applyFill="1" applyBorder="1"/>
    <xf numFmtId="0" fontId="0" fillId="5" borderId="11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right" vertical="top" wrapText="1"/>
    </xf>
    <xf numFmtId="0" fontId="36" fillId="5" borderId="11" xfId="0" applyFont="1" applyFill="1" applyBorder="1" applyAlignment="1">
      <alignment horizontal="center"/>
    </xf>
    <xf numFmtId="4" fontId="0" fillId="5" borderId="11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horizontal="center" vertical="top" wrapText="1"/>
    </xf>
    <xf numFmtId="0" fontId="0" fillId="5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2" fillId="19" borderId="11" xfId="0" applyFont="1" applyFill="1" applyBorder="1" applyAlignment="1"/>
    <xf numFmtId="0" fontId="23" fillId="21" borderId="11" xfId="0" applyFont="1" applyFill="1" applyBorder="1" applyAlignment="1">
      <alignment horizontal="right" vertical="center"/>
    </xf>
    <xf numFmtId="0" fontId="32" fillId="21" borderId="11" xfId="0" applyFont="1" applyFill="1" applyBorder="1" applyAlignment="1">
      <alignment horizontal="right" vertical="center"/>
    </xf>
    <xf numFmtId="0" fontId="15" fillId="21" borderId="11" xfId="0" applyFont="1" applyFill="1" applyBorder="1" applyAlignment="1">
      <alignment horizontal="right" vertical="center"/>
    </xf>
    <xf numFmtId="10" fontId="15" fillId="21" borderId="42" xfId="2" applyNumberFormat="1" applyFont="1" applyFill="1" applyBorder="1" applyAlignment="1">
      <alignment horizontal="right" vertical="center"/>
    </xf>
    <xf numFmtId="164" fontId="15" fillId="21" borderId="40" xfId="0" applyNumberFormat="1" applyFont="1" applyFill="1" applyBorder="1" applyAlignment="1">
      <alignment horizontal="right" vertical="center"/>
    </xf>
    <xf numFmtId="0" fontId="17" fillId="5" borderId="11" xfId="0" applyFont="1" applyFill="1" applyBorder="1" applyAlignment="1">
      <alignment vertical="center"/>
    </xf>
    <xf numFmtId="0" fontId="17" fillId="5" borderId="11" xfId="0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horizontal="center" vertical="center"/>
    </xf>
    <xf numFmtId="0" fontId="17" fillId="5" borderId="11" xfId="0" applyNumberFormat="1" applyFont="1" applyFill="1" applyBorder="1" applyAlignment="1">
      <alignment horizontal="center" vertical="center"/>
    </xf>
    <xf numFmtId="9" fontId="17" fillId="5" borderId="11" xfId="2" applyFont="1" applyFill="1" applyBorder="1" applyAlignment="1">
      <alignment horizontal="center" vertical="center"/>
    </xf>
    <xf numFmtId="169" fontId="17" fillId="5" borderId="11" xfId="2" applyNumberFormat="1" applyFont="1" applyFill="1" applyBorder="1" applyAlignment="1">
      <alignment horizontal="center" vertical="center"/>
    </xf>
    <xf numFmtId="169" fontId="17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8" fillId="5" borderId="11" xfId="0" applyFont="1" applyFill="1" applyBorder="1" applyAlignment="1">
      <alignment vertical="center"/>
    </xf>
    <xf numFmtId="10" fontId="19" fillId="0" borderId="11" xfId="2" applyNumberFormat="1" applyFont="1" applyBorder="1"/>
    <xf numFmtId="169" fontId="19" fillId="0" borderId="11" xfId="0" applyNumberFormat="1" applyFont="1" applyBorder="1"/>
    <xf numFmtId="0" fontId="18" fillId="5" borderId="15" xfId="0" applyFont="1" applyFill="1" applyBorder="1" applyAlignment="1">
      <alignment vertical="center"/>
    </xf>
    <xf numFmtId="0" fontId="19" fillId="0" borderId="15" xfId="0" applyFont="1" applyBorder="1"/>
    <xf numFmtId="10" fontId="19" fillId="0" borderId="15" xfId="2" applyNumberFormat="1" applyFont="1" applyBorder="1"/>
    <xf numFmtId="169" fontId="19" fillId="0" borderId="15" xfId="0" applyNumberFormat="1" applyFont="1" applyBorder="1"/>
    <xf numFmtId="0" fontId="19" fillId="0" borderId="9" xfId="0" applyFont="1" applyBorder="1"/>
    <xf numFmtId="10" fontId="19" fillId="0" borderId="9" xfId="2" applyNumberFormat="1" applyFont="1" applyBorder="1"/>
    <xf numFmtId="169" fontId="19" fillId="0" borderId="9" xfId="0" applyNumberFormat="1" applyFont="1" applyBorder="1"/>
    <xf numFmtId="0" fontId="18" fillId="5" borderId="9" xfId="0" applyFont="1" applyFill="1" applyBorder="1" applyAlignment="1">
      <alignment vertical="center"/>
    </xf>
    <xf numFmtId="9" fontId="19" fillId="0" borderId="11" xfId="2" applyFont="1" applyBorder="1"/>
    <xf numFmtId="0" fontId="18" fillId="5" borderId="10" xfId="0" applyFont="1" applyFill="1" applyBorder="1" applyAlignment="1">
      <alignment vertical="center"/>
    </xf>
    <xf numFmtId="0" fontId="18" fillId="5" borderId="13" xfId="0" applyFont="1" applyFill="1" applyBorder="1" applyAlignment="1">
      <alignment vertical="center"/>
    </xf>
    <xf numFmtId="9" fontId="19" fillId="0" borderId="15" xfId="2" applyFont="1" applyBorder="1"/>
    <xf numFmtId="2" fontId="19" fillId="0" borderId="11" xfId="0" applyNumberFormat="1" applyFont="1" applyBorder="1"/>
    <xf numFmtId="169" fontId="19" fillId="0" borderId="0" xfId="0" applyNumberFormat="1" applyFont="1"/>
    <xf numFmtId="1" fontId="15" fillId="21" borderId="11" xfId="0" applyNumberFormat="1" applyFont="1" applyFill="1" applyBorder="1" applyAlignment="1">
      <alignment horizontal="right" vertical="center"/>
    </xf>
    <xf numFmtId="0" fontId="19" fillId="30" borderId="9" xfId="0" applyFont="1" applyFill="1" applyBorder="1"/>
    <xf numFmtId="10" fontId="19" fillId="30" borderId="15" xfId="2" applyNumberFormat="1" applyFont="1" applyFill="1" applyBorder="1"/>
    <xf numFmtId="169" fontId="19" fillId="30" borderId="11" xfId="0" applyNumberFormat="1" applyFont="1" applyFill="1" applyBorder="1"/>
    <xf numFmtId="0" fontId="19" fillId="30" borderId="33" xfId="0" applyFont="1" applyFill="1" applyBorder="1"/>
    <xf numFmtId="10" fontId="19" fillId="30" borderId="33" xfId="2" applyNumberFormat="1" applyFont="1" applyFill="1" applyBorder="1"/>
    <xf numFmtId="169" fontId="19" fillId="30" borderId="47" xfId="0" applyNumberFormat="1" applyFont="1" applyFill="1" applyBorder="1"/>
    <xf numFmtId="0" fontId="19" fillId="30" borderId="46" xfId="0" applyFont="1" applyFill="1" applyBorder="1"/>
    <xf numFmtId="0" fontId="18" fillId="30" borderId="46" xfId="0" applyFont="1" applyFill="1" applyBorder="1" applyAlignment="1">
      <alignment vertical="center"/>
    </xf>
    <xf numFmtId="0" fontId="18" fillId="30" borderId="33" xfId="0" applyFont="1" applyFill="1" applyBorder="1" applyAlignment="1">
      <alignment vertical="center"/>
    </xf>
    <xf numFmtId="0" fontId="19" fillId="30" borderId="34" xfId="0" applyFont="1" applyFill="1" applyBorder="1"/>
    <xf numFmtId="169" fontId="19" fillId="30" borderId="33" xfId="0" applyNumberFormat="1" applyFont="1" applyFill="1" applyBorder="1"/>
    <xf numFmtId="0" fontId="19" fillId="27" borderId="46" xfId="0" applyFont="1" applyFill="1" applyBorder="1"/>
    <xf numFmtId="0" fontId="19" fillId="27" borderId="33" xfId="0" applyFont="1" applyFill="1" applyBorder="1"/>
    <xf numFmtId="10" fontId="19" fillId="27" borderId="33" xfId="2" applyNumberFormat="1" applyFont="1" applyFill="1" applyBorder="1"/>
    <xf numFmtId="169" fontId="19" fillId="27" borderId="11" xfId="0" applyNumberFormat="1" applyFont="1" applyFill="1" applyBorder="1"/>
    <xf numFmtId="169" fontId="19" fillId="27" borderId="47" xfId="0" applyNumberFormat="1" applyFont="1" applyFill="1" applyBorder="1"/>
    <xf numFmtId="2" fontId="19" fillId="0" borderId="9" xfId="0" applyNumberFormat="1" applyFont="1" applyBorder="1"/>
    <xf numFmtId="9" fontId="19" fillId="0" borderId="9" xfId="2" applyFont="1" applyBorder="1"/>
    <xf numFmtId="0" fontId="17" fillId="27" borderId="46" xfId="0" applyFont="1" applyFill="1" applyBorder="1" applyAlignment="1">
      <alignment vertical="center"/>
    </xf>
    <xf numFmtId="0" fontId="17" fillId="27" borderId="33" xfId="0" applyFont="1" applyFill="1" applyBorder="1" applyAlignment="1">
      <alignment vertical="center"/>
    </xf>
    <xf numFmtId="0" fontId="34" fillId="27" borderId="33" xfId="0" applyFont="1" applyFill="1" applyBorder="1"/>
    <xf numFmtId="9" fontId="34" fillId="27" borderId="33" xfId="2" applyFont="1" applyFill="1" applyBorder="1"/>
    <xf numFmtId="169" fontId="34" fillId="27" borderId="33" xfId="0" applyNumberFormat="1" applyFont="1" applyFill="1" applyBorder="1"/>
    <xf numFmtId="169" fontId="34" fillId="27" borderId="47" xfId="0" applyNumberFormat="1" applyFont="1" applyFill="1" applyBorder="1"/>
    <xf numFmtId="0" fontId="34" fillId="0" borderId="11" xfId="0" applyFont="1" applyBorder="1"/>
    <xf numFmtId="2" fontId="34" fillId="0" borderId="11" xfId="0" applyNumberFormat="1" applyFont="1" applyBorder="1"/>
    <xf numFmtId="9" fontId="34" fillId="0" borderId="11" xfId="2" applyFont="1" applyBorder="1"/>
    <xf numFmtId="169" fontId="34" fillId="0" borderId="11" xfId="0" applyNumberFormat="1" applyFont="1" applyBorder="1"/>
    <xf numFmtId="0" fontId="34" fillId="0" borderId="0" xfId="0" applyFont="1"/>
    <xf numFmtId="0" fontId="19" fillId="5" borderId="11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center"/>
    </xf>
    <xf numFmtId="0" fontId="4" fillId="34" borderId="9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4" fillId="5" borderId="0" xfId="0" applyFont="1" applyFill="1"/>
    <xf numFmtId="0" fontId="3" fillId="26" borderId="11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/>
    </xf>
    <xf numFmtId="1" fontId="3" fillId="26" borderId="10" xfId="0" applyNumberFormat="1" applyFont="1" applyFill="1" applyBorder="1" applyAlignment="1">
      <alignment horizontal="center"/>
    </xf>
    <xf numFmtId="166" fontId="3" fillId="26" borderId="11" xfId="2" applyNumberFormat="1" applyFont="1" applyFill="1" applyBorder="1" applyAlignment="1">
      <alignment horizontal="center"/>
    </xf>
    <xf numFmtId="0" fontId="3" fillId="26" borderId="4" xfId="0" applyFont="1" applyFill="1" applyBorder="1" applyAlignment="1">
      <alignment horizontal="center" vertical="center"/>
    </xf>
    <xf numFmtId="0" fontId="3" fillId="26" borderId="3" xfId="0" applyFont="1" applyFill="1" applyBorder="1" applyAlignment="1">
      <alignment horizontal="center"/>
    </xf>
    <xf numFmtId="1" fontId="3" fillId="26" borderId="3" xfId="0" applyNumberFormat="1" applyFont="1" applyFill="1" applyBorder="1" applyAlignment="1">
      <alignment horizontal="center"/>
    </xf>
    <xf numFmtId="166" fontId="3" fillId="26" borderId="9" xfId="2" applyNumberFormat="1" applyFont="1" applyFill="1" applyBorder="1" applyAlignment="1">
      <alignment horizontal="center"/>
    </xf>
    <xf numFmtId="2" fontId="7" fillId="5" borderId="13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168" fontId="0" fillId="5" borderId="15" xfId="0" applyNumberFormat="1" applyFill="1" applyBorder="1" applyAlignment="1">
      <alignment horizontal="center"/>
    </xf>
    <xf numFmtId="0" fontId="8" fillId="9" borderId="11" xfId="0" applyFont="1" applyFill="1" applyBorder="1" applyAlignment="1">
      <alignment horizontal="center" vertical="center" wrapText="1"/>
    </xf>
    <xf numFmtId="0" fontId="7" fillId="5" borderId="11" xfId="1" applyNumberFormat="1" applyFont="1" applyFill="1" applyBorder="1" applyAlignment="1">
      <alignment horizontal="center" vertical="center" wrapText="1"/>
    </xf>
    <xf numFmtId="0" fontId="15" fillId="0" borderId="11" xfId="0" applyFont="1" applyBorder="1"/>
    <xf numFmtId="0" fontId="7" fillId="14" borderId="42" xfId="0" applyFont="1" applyFill="1" applyBorder="1" applyAlignment="1">
      <alignment horizontal="center" wrapText="1"/>
    </xf>
    <xf numFmtId="0" fontId="45" fillId="15" borderId="15" xfId="7" applyFont="1" applyFill="1" applyBorder="1" applyAlignment="1" applyProtection="1">
      <alignment horizontal="center" vertical="center"/>
    </xf>
    <xf numFmtId="0" fontId="8" fillId="14" borderId="48" xfId="0" applyFont="1" applyFill="1" applyBorder="1" applyAlignment="1">
      <alignment horizontal="center" wrapText="1"/>
    </xf>
    <xf numFmtId="0" fontId="45" fillId="15" borderId="9" xfId="7" applyFont="1" applyFill="1" applyBorder="1" applyAlignment="1" applyProtection="1">
      <alignment horizontal="center" vertical="center"/>
    </xf>
    <xf numFmtId="0" fontId="29" fillId="20" borderId="11" xfId="7" applyFill="1" applyBorder="1" applyAlignment="1" applyProtection="1">
      <alignment horizontal="center" vertical="center" wrapText="1"/>
    </xf>
    <xf numFmtId="0" fontId="46" fillId="31" borderId="4" xfId="7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15" fillId="5" borderId="11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1" fontId="31" fillId="22" borderId="9" xfId="0" applyNumberFormat="1" applyFont="1" applyFill="1" applyBorder="1" applyAlignment="1">
      <alignment horizontal="center" vertical="center" wrapText="1"/>
    </xf>
    <xf numFmtId="14" fontId="31" fillId="22" borderId="9" xfId="0" applyNumberFormat="1" applyFont="1" applyFill="1" applyBorder="1" applyAlignment="1">
      <alignment horizontal="center" vertical="center" wrapText="1"/>
    </xf>
    <xf numFmtId="2" fontId="31" fillId="22" borderId="9" xfId="0" applyNumberFormat="1" applyFont="1" applyFill="1" applyBorder="1" applyAlignment="1">
      <alignment horizontal="center" vertical="center" wrapText="1"/>
    </xf>
    <xf numFmtId="0" fontId="47" fillId="26" borderId="11" xfId="0" applyFont="1" applyFill="1" applyBorder="1" applyAlignment="1">
      <alignment horizontal="center" vertical="center"/>
    </xf>
    <xf numFmtId="0" fontId="48" fillId="26" borderId="11" xfId="0" applyFont="1" applyFill="1" applyBorder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30" fillId="5" borderId="0" xfId="0" applyFont="1" applyFill="1"/>
    <xf numFmtId="0" fontId="30" fillId="5" borderId="11" xfId="0" applyFont="1" applyFill="1" applyBorder="1" applyAlignment="1">
      <alignment horizontal="center" vertical="center"/>
    </xf>
    <xf numFmtId="0" fontId="31" fillId="27" borderId="9" xfId="0" applyFont="1" applyFill="1" applyBorder="1" applyAlignment="1">
      <alignment horizontal="left" vertical="center"/>
    </xf>
    <xf numFmtId="0" fontId="31" fillId="29" borderId="9" xfId="0" applyFont="1" applyFill="1" applyBorder="1" applyAlignment="1">
      <alignment horizontal="left" vertical="center"/>
    </xf>
    <xf numFmtId="0" fontId="31" fillId="5" borderId="9" xfId="0" applyFont="1" applyFill="1" applyBorder="1" applyAlignment="1">
      <alignment horizontal="left" vertical="center"/>
    </xf>
    <xf numFmtId="0" fontId="30" fillId="22" borderId="11" xfId="0" applyFont="1" applyFill="1" applyBorder="1" applyAlignment="1">
      <alignment horizontal="center" vertical="center"/>
    </xf>
    <xf numFmtId="0" fontId="31" fillId="22" borderId="9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right"/>
    </xf>
    <xf numFmtId="2" fontId="3" fillId="26" borderId="10" xfId="0" applyNumberFormat="1" applyFont="1" applyFill="1" applyBorder="1" applyAlignment="1">
      <alignment horizontal="center"/>
    </xf>
    <xf numFmtId="2" fontId="15" fillId="5" borderId="0" xfId="0" applyNumberFormat="1" applyFont="1" applyFill="1" applyAlignment="1">
      <alignment horizontal="center" vertical="center"/>
    </xf>
    <xf numFmtId="1" fontId="31" fillId="5" borderId="11" xfId="0" applyNumberFormat="1" applyFont="1" applyFill="1" applyBorder="1" applyAlignment="1">
      <alignment horizontal="center" vertical="center" wrapText="1"/>
    </xf>
    <xf numFmtId="14" fontId="31" fillId="5" borderId="11" xfId="0" applyNumberFormat="1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right" vertical="center"/>
    </xf>
    <xf numFmtId="168" fontId="32" fillId="41" borderId="11" xfId="0" applyNumberFormat="1" applyFont="1" applyFill="1" applyBorder="1" applyAlignment="1">
      <alignment horizontal="right" vertical="center"/>
    </xf>
    <xf numFmtId="0" fontId="32" fillId="5" borderId="11" xfId="0" applyFont="1" applyFill="1" applyBorder="1" applyAlignment="1">
      <alignment horizontal="right" vertical="center"/>
    </xf>
    <xf numFmtId="2" fontId="31" fillId="41" borderId="9" xfId="0" applyNumberFormat="1" applyFont="1" applyFill="1" applyBorder="1" applyAlignment="1">
      <alignment horizontal="right" vertical="center" wrapText="1"/>
    </xf>
    <xf numFmtId="168" fontId="31" fillId="41" borderId="9" xfId="0" applyNumberFormat="1" applyFont="1" applyFill="1" applyBorder="1" applyAlignment="1">
      <alignment horizontal="right" vertical="center" wrapText="1"/>
    </xf>
    <xf numFmtId="0" fontId="30" fillId="41" borderId="9" xfId="0" applyFont="1" applyFill="1" applyBorder="1" applyAlignment="1">
      <alignment horizontal="right" vertical="center"/>
    </xf>
    <xf numFmtId="1" fontId="0" fillId="17" borderId="0" xfId="0" applyNumberFormat="1" applyFill="1" applyAlignment="1">
      <alignment horizontal="center" vertical="center"/>
    </xf>
    <xf numFmtId="0" fontId="3" fillId="23" borderId="11" xfId="0" applyFont="1" applyFill="1" applyBorder="1"/>
    <xf numFmtId="0" fontId="0" fillId="0" borderId="11" xfId="0" applyBorder="1" applyAlignment="1">
      <alignment horizontal="left" indent="2"/>
    </xf>
    <xf numFmtId="0" fontId="0" fillId="0" borderId="10" xfId="0" applyNumberFormat="1" applyBorder="1"/>
    <xf numFmtId="0" fontId="0" fillId="42" borderId="11" xfId="0" applyNumberFormat="1" applyFill="1" applyBorder="1"/>
    <xf numFmtId="0" fontId="3" fillId="23" borderId="11" xfId="0" applyFont="1" applyFill="1" applyBorder="1" applyAlignment="1">
      <alignment horizontal="center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40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20" fillId="32" borderId="30" xfId="0" applyFont="1" applyFill="1" applyBorder="1" applyAlignment="1">
      <alignment horizontal="center" vertical="center" wrapText="1"/>
    </xf>
    <xf numFmtId="0" fontId="3" fillId="37" borderId="11" xfId="0" applyNumberFormat="1" applyFont="1" applyFill="1" applyBorder="1"/>
    <xf numFmtId="0" fontId="34" fillId="0" borderId="11" xfId="0" applyFont="1" applyBorder="1" applyAlignment="1">
      <alignment horizontal="center"/>
    </xf>
    <xf numFmtId="0" fontId="19" fillId="37" borderId="11" xfId="0" applyFont="1" applyFill="1" applyBorder="1" applyAlignment="1">
      <alignment horizontal="left"/>
    </xf>
    <xf numFmtId="0" fontId="34" fillId="23" borderId="9" xfId="0" applyFont="1" applyFill="1" applyBorder="1" applyAlignment="1">
      <alignment horizontal="center"/>
    </xf>
    <xf numFmtId="0" fontId="19" fillId="37" borderId="5" xfId="0" applyFont="1" applyFill="1" applyBorder="1"/>
    <xf numFmtId="0" fontId="34" fillId="23" borderId="8" xfId="0" applyFont="1" applyFill="1" applyBorder="1" applyAlignment="1">
      <alignment horizontal="center"/>
    </xf>
    <xf numFmtId="0" fontId="19" fillId="37" borderId="8" xfId="0" applyFont="1" applyFill="1" applyBorder="1"/>
    <xf numFmtId="0" fontId="19" fillId="37" borderId="39" xfId="0" applyFont="1" applyFill="1" applyBorder="1"/>
    <xf numFmtId="9" fontId="17" fillId="23" borderId="11" xfId="2" applyFont="1" applyFill="1" applyBorder="1" applyAlignment="1">
      <alignment horizontal="right"/>
    </xf>
    <xf numFmtId="0" fontId="9" fillId="21" borderId="11" xfId="0" applyFont="1" applyFill="1" applyBorder="1" applyAlignment="1">
      <alignment horizontal="right" vertical="center"/>
    </xf>
    <xf numFmtId="168" fontId="15" fillId="0" borderId="40" xfId="0" applyNumberFormat="1" applyFont="1" applyBorder="1" applyAlignment="1">
      <alignment horizontal="right" vertical="center"/>
    </xf>
    <xf numFmtId="168" fontId="15" fillId="0" borderId="14" xfId="0" applyNumberFormat="1" applyFont="1" applyBorder="1" applyAlignment="1">
      <alignment horizontal="right" vertical="center"/>
    </xf>
    <xf numFmtId="170" fontId="15" fillId="5" borderId="10" xfId="0" applyNumberFormat="1" applyFont="1" applyFill="1" applyBorder="1" applyAlignment="1">
      <alignment horizontal="right" vertical="center"/>
    </xf>
    <xf numFmtId="170" fontId="15" fillId="5" borderId="13" xfId="0" applyNumberFormat="1" applyFont="1" applyFill="1" applyBorder="1" applyAlignment="1">
      <alignment horizontal="right" vertical="center"/>
    </xf>
    <xf numFmtId="9" fontId="15" fillId="0" borderId="0" xfId="2" applyFont="1"/>
    <xf numFmtId="0" fontId="19" fillId="0" borderId="42" xfId="0" applyFont="1" applyBorder="1" applyAlignment="1">
      <alignment horizontal="center"/>
    </xf>
    <xf numFmtId="0" fontId="34" fillId="37" borderId="11" xfId="0" applyFont="1" applyFill="1" applyBorder="1"/>
    <xf numFmtId="168" fontId="3" fillId="5" borderId="11" xfId="0" applyNumberFormat="1" applyFont="1" applyFill="1" applyBorder="1"/>
    <xf numFmtId="0" fontId="50" fillId="43" borderId="11" xfId="0" applyNumberFormat="1" applyFont="1" applyFill="1" applyBorder="1"/>
    <xf numFmtId="0" fontId="19" fillId="5" borderId="11" xfId="0" applyFont="1" applyFill="1" applyBorder="1" applyAlignment="1">
      <alignment horizontal="center"/>
    </xf>
    <xf numFmtId="14" fontId="19" fillId="5" borderId="11" xfId="0" applyNumberFormat="1" applyFont="1" applyFill="1" applyBorder="1" applyAlignment="1">
      <alignment horizontal="center"/>
    </xf>
    <xf numFmtId="0" fontId="19" fillId="5" borderId="11" xfId="0" applyFont="1" applyFill="1" applyBorder="1" applyAlignment="1">
      <alignment horizontal="left"/>
    </xf>
    <xf numFmtId="168" fontId="19" fillId="5" borderId="11" xfId="0" applyNumberFormat="1" applyFont="1" applyFill="1" applyBorder="1" applyAlignment="1">
      <alignment horizontal="right"/>
    </xf>
    <xf numFmtId="168" fontId="18" fillId="5" borderId="11" xfId="0" applyNumberFormat="1" applyFont="1" applyFill="1" applyBorder="1" applyAlignment="1">
      <alignment horizontal="right"/>
    </xf>
    <xf numFmtId="14" fontId="19" fillId="5" borderId="0" xfId="0" applyNumberFormat="1" applyFont="1" applyFill="1" applyBorder="1" applyAlignment="1">
      <alignment horizontal="center"/>
    </xf>
    <xf numFmtId="168" fontId="19" fillId="5" borderId="0" xfId="0" applyNumberFormat="1" applyFont="1" applyFill="1" applyBorder="1" applyAlignment="1">
      <alignment horizontal="right"/>
    </xf>
    <xf numFmtId="0" fontId="0" fillId="0" borderId="15" xfId="0" applyNumberFormat="1" applyBorder="1"/>
    <xf numFmtId="0" fontId="30" fillId="33" borderId="11" xfId="0" applyFont="1" applyFill="1" applyBorder="1" applyAlignment="1">
      <alignment horizontal="center" vertical="center"/>
    </xf>
    <xf numFmtId="1" fontId="31" fillId="33" borderId="9" xfId="0" applyNumberFormat="1" applyFont="1" applyFill="1" applyBorder="1" applyAlignment="1">
      <alignment horizontal="center" vertical="center" wrapText="1"/>
    </xf>
    <xf numFmtId="14" fontId="31" fillId="33" borderId="9" xfId="0" applyNumberFormat="1" applyFont="1" applyFill="1" applyBorder="1" applyAlignment="1">
      <alignment horizontal="center" vertical="center" wrapText="1"/>
    </xf>
    <xf numFmtId="168" fontId="31" fillId="33" borderId="9" xfId="0" applyNumberFormat="1" applyFont="1" applyFill="1" applyBorder="1" applyAlignment="1">
      <alignment horizontal="right" vertical="center" wrapText="1"/>
    </xf>
    <xf numFmtId="0" fontId="31" fillId="33" borderId="9" xfId="0" applyFont="1" applyFill="1" applyBorder="1" applyAlignment="1">
      <alignment horizontal="left" vertical="center"/>
    </xf>
    <xf numFmtId="2" fontId="31" fillId="33" borderId="9" xfId="0" applyNumberFormat="1" applyFont="1" applyFill="1" applyBorder="1" applyAlignment="1">
      <alignment horizontal="center" vertical="center" wrapText="1"/>
    </xf>
    <xf numFmtId="1" fontId="31" fillId="27" borderId="9" xfId="0" applyNumberFormat="1" applyFont="1" applyFill="1" applyBorder="1" applyAlignment="1">
      <alignment horizontal="center" vertical="center" wrapText="1"/>
    </xf>
    <xf numFmtId="14" fontId="31" fillId="27" borderId="9" xfId="0" applyNumberFormat="1" applyFont="1" applyFill="1" applyBorder="1" applyAlignment="1">
      <alignment horizontal="center" vertical="center" wrapText="1"/>
    </xf>
    <xf numFmtId="0" fontId="30" fillId="27" borderId="11" xfId="0" applyFont="1" applyFill="1" applyBorder="1" applyAlignment="1">
      <alignment horizontal="center" vertical="center"/>
    </xf>
    <xf numFmtId="2" fontId="31" fillId="27" borderId="9" xfId="0" applyNumberFormat="1" applyFont="1" applyFill="1" applyBorder="1" applyAlignment="1">
      <alignment horizontal="center" vertical="center" wrapText="1"/>
    </xf>
    <xf numFmtId="168" fontId="31" fillId="27" borderId="9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/>
    <xf numFmtId="0" fontId="15" fillId="22" borderId="15" xfId="0" applyFont="1" applyFill="1" applyBorder="1" applyAlignment="1">
      <alignment horizontal="center" vertical="center"/>
    </xf>
    <xf numFmtId="170" fontId="15" fillId="22" borderId="10" xfId="0" applyNumberFormat="1" applyFont="1" applyFill="1" applyBorder="1" applyAlignment="1">
      <alignment horizontal="right" vertical="center"/>
    </xf>
    <xf numFmtId="0" fontId="32" fillId="22" borderId="11" xfId="0" applyFont="1" applyFill="1" applyBorder="1" applyAlignment="1">
      <alignment horizontal="right" vertical="center"/>
    </xf>
    <xf numFmtId="168" fontId="15" fillId="22" borderId="40" xfId="0" applyNumberFormat="1" applyFont="1" applyFill="1" applyBorder="1" applyAlignment="1">
      <alignment horizontal="right" vertical="center"/>
    </xf>
    <xf numFmtId="0" fontId="15" fillId="22" borderId="4" xfId="0" applyFont="1" applyFill="1" applyBorder="1" applyAlignment="1">
      <alignment horizontal="right" vertical="center"/>
    </xf>
    <xf numFmtId="164" fontId="15" fillId="22" borderId="44" xfId="0" applyNumberFormat="1" applyFont="1" applyFill="1" applyBorder="1" applyAlignment="1">
      <alignment horizontal="right" vertical="center"/>
    </xf>
    <xf numFmtId="10" fontId="15" fillId="22" borderId="9" xfId="2" applyNumberFormat="1" applyFont="1" applyFill="1" applyBorder="1" applyAlignment="1">
      <alignment horizontal="right" vertical="center"/>
    </xf>
    <xf numFmtId="0" fontId="15" fillId="22" borderId="11" xfId="0" applyFont="1" applyFill="1" applyBorder="1" applyAlignment="1">
      <alignment horizontal="center" vertical="center"/>
    </xf>
    <xf numFmtId="170" fontId="15" fillId="22" borderId="13" xfId="0" applyNumberFormat="1" applyFont="1" applyFill="1" applyBorder="1" applyAlignment="1">
      <alignment horizontal="right" vertical="center"/>
    </xf>
    <xf numFmtId="168" fontId="15" fillId="22" borderId="14" xfId="0" applyNumberFormat="1" applyFont="1" applyFill="1" applyBorder="1" applyAlignment="1">
      <alignment horizontal="right" vertical="center"/>
    </xf>
    <xf numFmtId="164" fontId="15" fillId="22" borderId="30" xfId="0" applyNumberFormat="1" applyFont="1" applyFill="1" applyBorder="1" applyAlignment="1">
      <alignment horizontal="right" vertical="center"/>
    </xf>
    <xf numFmtId="10" fontId="15" fillId="22" borderId="30" xfId="2" applyNumberFormat="1" applyFont="1" applyFill="1" applyBorder="1" applyAlignment="1">
      <alignment horizontal="right" vertical="center"/>
    </xf>
    <xf numFmtId="0" fontId="15" fillId="22" borderId="11" xfId="0" applyFont="1" applyFill="1" applyBorder="1" applyAlignment="1">
      <alignment horizontal="left" vertical="center" wrapText="1"/>
    </xf>
    <xf numFmtId="2" fontId="32" fillId="22" borderId="11" xfId="0" applyNumberFormat="1" applyFont="1" applyFill="1" applyBorder="1" applyAlignment="1">
      <alignment horizontal="right" vertical="center"/>
    </xf>
    <xf numFmtId="171" fontId="15" fillId="22" borderId="30" xfId="1" applyNumberFormat="1" applyFont="1" applyFill="1" applyBorder="1" applyAlignment="1">
      <alignment horizontal="right" vertical="center"/>
    </xf>
    <xf numFmtId="0" fontId="15" fillId="22" borderId="30" xfId="0" applyFont="1" applyFill="1" applyBorder="1" applyAlignment="1">
      <alignment horizontal="center" vertical="center"/>
    </xf>
    <xf numFmtId="0" fontId="15" fillId="22" borderId="14" xfId="0" applyFont="1" applyFill="1" applyBorder="1" applyAlignment="1">
      <alignment horizontal="right" vertical="center"/>
    </xf>
    <xf numFmtId="0" fontId="32" fillId="22" borderId="15" xfId="0" applyFont="1" applyFill="1" applyBorder="1" applyAlignment="1">
      <alignment horizontal="right" vertical="center"/>
    </xf>
    <xf numFmtId="0" fontId="15" fillId="22" borderId="15" xfId="0" applyFont="1" applyFill="1" applyBorder="1" applyAlignment="1">
      <alignment horizontal="left" vertical="center" wrapText="1"/>
    </xf>
    <xf numFmtId="0" fontId="15" fillId="27" borderId="11" xfId="0" applyFont="1" applyFill="1" applyBorder="1" applyAlignment="1">
      <alignment horizontal="center"/>
    </xf>
    <xf numFmtId="14" fontId="15" fillId="27" borderId="11" xfId="0" applyNumberFormat="1" applyFont="1" applyFill="1" applyBorder="1" applyAlignment="1">
      <alignment horizontal="center"/>
    </xf>
    <xf numFmtId="168" fontId="34" fillId="23" borderId="8" xfId="0" applyNumberFormat="1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 vertical="center" wrapText="1"/>
    </xf>
    <xf numFmtId="14" fontId="8" fillId="8" borderId="11" xfId="0" applyNumberFormat="1" applyFont="1" applyFill="1" applyBorder="1" applyAlignment="1">
      <alignment horizontal="center" vertical="center" wrapText="1"/>
    </xf>
    <xf numFmtId="166" fontId="9" fillId="5" borderId="5" xfId="0" applyNumberFormat="1" applyFont="1" applyFill="1" applyBorder="1" applyAlignment="1">
      <alignment horizontal="right" wrapText="1"/>
    </xf>
    <xf numFmtId="166" fontId="9" fillId="5" borderId="10" xfId="1" applyNumberFormat="1" applyFont="1" applyFill="1" applyBorder="1" applyAlignment="1">
      <alignment horizontal="right" wrapText="1"/>
    </xf>
    <xf numFmtId="14" fontId="9" fillId="12" borderId="11" xfId="2" applyNumberFormat="1" applyFont="1" applyFill="1" applyBorder="1" applyAlignment="1">
      <alignment horizontal="right" wrapText="1"/>
    </xf>
    <xf numFmtId="0" fontId="34" fillId="26" borderId="11" xfId="0" applyFont="1" applyFill="1" applyBorder="1" applyAlignment="1">
      <alignment horizontal="center"/>
    </xf>
    <xf numFmtId="0" fontId="0" fillId="26" borderId="0" xfId="0" applyFill="1" applyAlignment="1">
      <alignment horizontal="left" indent="1"/>
    </xf>
    <xf numFmtId="0" fontId="19" fillId="26" borderId="11" xfId="0" applyFont="1" applyFill="1" applyBorder="1" applyAlignment="1">
      <alignment horizontal="right"/>
    </xf>
    <xf numFmtId="0" fontId="0" fillId="26" borderId="0" xfId="0" applyNumberFormat="1" applyFill="1"/>
    <xf numFmtId="0" fontId="18" fillId="26" borderId="11" xfId="0" applyFont="1" applyFill="1" applyBorder="1" applyAlignment="1">
      <alignment horizontal="center"/>
    </xf>
    <xf numFmtId="14" fontId="18" fillId="26" borderId="11" xfId="0" applyNumberFormat="1" applyFont="1" applyFill="1" applyBorder="1" applyAlignment="1">
      <alignment horizontal="center"/>
    </xf>
    <xf numFmtId="0" fontId="18" fillId="26" borderId="11" xfId="0" applyFont="1" applyFill="1" applyBorder="1" applyAlignment="1">
      <alignment horizontal="left"/>
    </xf>
    <xf numFmtId="168" fontId="18" fillId="26" borderId="11" xfId="0" applyNumberFormat="1" applyFont="1" applyFill="1" applyBorder="1" applyAlignment="1">
      <alignment horizontal="right"/>
    </xf>
    <xf numFmtId="0" fontId="18" fillId="26" borderId="11" xfId="0" applyFont="1" applyFill="1" applyBorder="1" applyAlignment="1">
      <alignment horizontal="right"/>
    </xf>
    <xf numFmtId="0" fontId="19" fillId="26" borderId="11" xfId="0" applyFont="1" applyFill="1" applyBorder="1" applyAlignment="1">
      <alignment horizontal="center"/>
    </xf>
    <xf numFmtId="14" fontId="19" fillId="26" borderId="11" xfId="0" applyNumberFormat="1" applyFont="1" applyFill="1" applyBorder="1" applyAlignment="1">
      <alignment horizontal="center"/>
    </xf>
    <xf numFmtId="0" fontId="19" fillId="26" borderId="11" xfId="0" applyFont="1" applyFill="1" applyBorder="1" applyAlignment="1">
      <alignment horizontal="left"/>
    </xf>
    <xf numFmtId="168" fontId="19" fillId="26" borderId="11" xfId="0" applyNumberFormat="1" applyFont="1" applyFill="1" applyBorder="1" applyAlignment="1">
      <alignment horizontal="right"/>
    </xf>
    <xf numFmtId="0" fontId="34" fillId="26" borderId="11" xfId="0" applyFont="1" applyFill="1" applyBorder="1" applyAlignment="1">
      <alignment horizontal="right"/>
    </xf>
    <xf numFmtId="1" fontId="19" fillId="26" borderId="11" xfId="0" applyNumberFormat="1" applyFont="1" applyFill="1" applyBorder="1" applyAlignment="1">
      <alignment horizontal="center"/>
    </xf>
    <xf numFmtId="0" fontId="30" fillId="11" borderId="11" xfId="0" applyFont="1" applyFill="1" applyBorder="1" applyAlignment="1">
      <alignment horizontal="center" vertical="center"/>
    </xf>
    <xf numFmtId="2" fontId="31" fillId="11" borderId="11" xfId="0" applyNumberFormat="1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/>
    </xf>
    <xf numFmtId="14" fontId="15" fillId="11" borderId="11" xfId="0" applyNumberFormat="1" applyFont="1" applyFill="1" applyBorder="1" applyAlignment="1">
      <alignment horizontal="center"/>
    </xf>
    <xf numFmtId="0" fontId="31" fillId="11" borderId="11" xfId="0" applyFont="1" applyFill="1" applyBorder="1" applyAlignment="1">
      <alignment horizontal="center" vertical="center"/>
    </xf>
    <xf numFmtId="168" fontId="31" fillId="11" borderId="11" xfId="0" applyNumberFormat="1" applyFont="1" applyFill="1" applyBorder="1" applyAlignment="1">
      <alignment horizontal="center" vertical="center" wrapText="1"/>
    </xf>
    <xf numFmtId="0" fontId="9" fillId="11" borderId="11" xfId="0" applyFont="1" applyFill="1" applyBorder="1"/>
    <xf numFmtId="0" fontId="15" fillId="11" borderId="11" xfId="0" applyFont="1" applyFill="1" applyBorder="1" applyAlignment="1">
      <alignment horizontal="center" vertical="center"/>
    </xf>
    <xf numFmtId="170" fontId="15" fillId="11" borderId="10" xfId="0" applyNumberFormat="1" applyFont="1" applyFill="1" applyBorder="1" applyAlignment="1">
      <alignment horizontal="right" vertical="center"/>
    </xf>
    <xf numFmtId="2" fontId="32" fillId="11" borderId="11" xfId="0" applyNumberFormat="1" applyFont="1" applyFill="1" applyBorder="1" applyAlignment="1">
      <alignment horizontal="right" vertical="center"/>
    </xf>
    <xf numFmtId="168" fontId="15" fillId="11" borderId="40" xfId="0" applyNumberFormat="1" applyFont="1" applyFill="1" applyBorder="1" applyAlignment="1">
      <alignment horizontal="right" vertical="center"/>
    </xf>
    <xf numFmtId="0" fontId="15" fillId="11" borderId="15" xfId="0" applyFont="1" applyFill="1" applyBorder="1" applyAlignment="1">
      <alignment horizontal="right" vertical="center"/>
    </xf>
    <xf numFmtId="164" fontId="15" fillId="11" borderId="30" xfId="0" applyNumberFormat="1" applyFont="1" applyFill="1" applyBorder="1" applyAlignment="1">
      <alignment horizontal="right" vertical="center"/>
    </xf>
    <xf numFmtId="10" fontId="15" fillId="11" borderId="11" xfId="2" applyNumberFormat="1" applyFont="1" applyFill="1" applyBorder="1" applyAlignment="1">
      <alignment horizontal="right" vertical="center"/>
    </xf>
    <xf numFmtId="0" fontId="15" fillId="11" borderId="11" xfId="0" applyFont="1" applyFill="1" applyBorder="1" applyAlignment="1">
      <alignment horizontal="right" vertical="center"/>
    </xf>
    <xf numFmtId="10" fontId="15" fillId="11" borderId="30" xfId="2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2" fontId="25" fillId="11" borderId="13" xfId="0" applyNumberFormat="1" applyFont="1" applyFill="1" applyBorder="1" applyAlignment="1">
      <alignment horizontal="center" vertical="center"/>
    </xf>
    <xf numFmtId="2" fontId="25" fillId="11" borderId="14" xfId="0" applyNumberFormat="1" applyFont="1" applyFill="1" applyBorder="1" applyAlignment="1">
      <alignment horizontal="center" vertical="center"/>
    </xf>
    <xf numFmtId="2" fontId="25" fillId="11" borderId="30" xfId="0" applyNumberFormat="1" applyFont="1" applyFill="1" applyBorder="1" applyAlignment="1">
      <alignment horizontal="center" vertical="center"/>
    </xf>
    <xf numFmtId="165" fontId="26" fillId="11" borderId="5" xfId="0" applyNumberFormat="1" applyFont="1" applyFill="1" applyBorder="1" applyAlignment="1">
      <alignment horizontal="center" vertical="center"/>
    </xf>
    <xf numFmtId="165" fontId="26" fillId="11" borderId="8" xfId="0" applyNumberFormat="1" applyFont="1" applyFill="1" applyBorder="1" applyAlignment="1">
      <alignment horizontal="center" vertical="center"/>
    </xf>
    <xf numFmtId="165" fontId="26" fillId="11" borderId="39" xfId="0" applyNumberFormat="1" applyFont="1" applyFill="1" applyBorder="1" applyAlignment="1">
      <alignment horizontal="center" vertical="center"/>
    </xf>
    <xf numFmtId="0" fontId="20" fillId="21" borderId="15" xfId="0" applyFont="1" applyFill="1" applyBorder="1" applyAlignment="1">
      <alignment horizontal="center" vertical="center" textRotation="90"/>
    </xf>
    <xf numFmtId="0" fontId="20" fillId="21" borderId="4" xfId="0" applyFont="1" applyFill="1" applyBorder="1" applyAlignment="1">
      <alignment horizontal="center" vertical="center" textRotation="90"/>
    </xf>
    <xf numFmtId="0" fontId="20" fillId="21" borderId="9" xfId="0" applyFont="1" applyFill="1" applyBorder="1" applyAlignment="1">
      <alignment horizontal="center" vertical="center" textRotation="90"/>
    </xf>
    <xf numFmtId="0" fontId="20" fillId="15" borderId="15" xfId="0" applyFont="1" applyFill="1" applyBorder="1" applyAlignment="1">
      <alignment horizontal="center" vertical="center" textRotation="90"/>
    </xf>
    <xf numFmtId="0" fontId="20" fillId="15" borderId="4" xfId="0" applyFont="1" applyFill="1" applyBorder="1" applyAlignment="1">
      <alignment horizontal="center" vertical="center" textRotation="90"/>
    </xf>
    <xf numFmtId="0" fontId="20" fillId="15" borderId="9" xfId="0" applyFont="1" applyFill="1" applyBorder="1" applyAlignment="1">
      <alignment horizontal="center" vertical="center" textRotation="90"/>
    </xf>
    <xf numFmtId="0" fontId="23" fillId="20" borderId="15" xfId="0" applyFont="1" applyFill="1" applyBorder="1" applyAlignment="1">
      <alignment horizontal="center" vertical="center" textRotation="90" wrapText="1"/>
    </xf>
    <xf numFmtId="0" fontId="23" fillId="20" borderId="4" xfId="0" applyFont="1" applyFill="1" applyBorder="1" applyAlignment="1">
      <alignment horizontal="center" vertical="center" textRotation="90" wrapText="1"/>
    </xf>
    <xf numFmtId="0" fontId="23" fillId="20" borderId="9" xfId="0" applyFont="1" applyFill="1" applyBorder="1" applyAlignment="1">
      <alignment horizontal="center" vertical="center" textRotation="90" wrapText="1"/>
    </xf>
    <xf numFmtId="0" fontId="30" fillId="5" borderId="10" xfId="0" applyFont="1" applyFill="1" applyBorder="1" applyAlignment="1">
      <alignment horizontal="center" vertical="center"/>
    </xf>
    <xf numFmtId="0" fontId="30" fillId="5" borderId="42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42" xfId="0" applyFont="1" applyFill="1" applyBorder="1" applyAlignment="1">
      <alignment horizontal="center" vertical="center"/>
    </xf>
    <xf numFmtId="0" fontId="30" fillId="29" borderId="10" xfId="0" applyFont="1" applyFill="1" applyBorder="1" applyAlignment="1">
      <alignment horizontal="center" vertical="center"/>
    </xf>
    <xf numFmtId="0" fontId="30" fillId="29" borderId="42" xfId="0" applyFont="1" applyFill="1" applyBorder="1" applyAlignment="1">
      <alignment horizontal="center" vertical="center"/>
    </xf>
    <xf numFmtId="10" fontId="15" fillId="0" borderId="25" xfId="2" applyNumberFormat="1" applyFont="1" applyBorder="1" applyAlignment="1">
      <alignment horizontal="center" vertical="center"/>
    </xf>
    <xf numFmtId="10" fontId="15" fillId="0" borderId="22" xfId="2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0" fontId="15" fillId="0" borderId="28" xfId="2" applyNumberFormat="1" applyFont="1" applyBorder="1" applyAlignment="1">
      <alignment horizontal="center" vertical="center"/>
    </xf>
    <xf numFmtId="10" fontId="15" fillId="0" borderId="29" xfId="2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10" fontId="15" fillId="5" borderId="12" xfId="0" applyNumberFormat="1" applyFont="1" applyFill="1" applyBorder="1" applyAlignment="1">
      <alignment horizontal="center" vertical="center"/>
    </xf>
    <xf numFmtId="10" fontId="15" fillId="5" borderId="21" xfId="0" applyNumberFormat="1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center" vertical="center" textRotation="90"/>
    </xf>
    <xf numFmtId="0" fontId="23" fillId="30" borderId="13" xfId="0" applyFont="1" applyFill="1" applyBorder="1" applyAlignment="1">
      <alignment horizontal="center" vertical="center" textRotation="90"/>
    </xf>
    <xf numFmtId="0" fontId="15" fillId="0" borderId="27" xfId="0" applyFont="1" applyBorder="1" applyAlignment="1">
      <alignment horizontal="center" vertical="center"/>
    </xf>
    <xf numFmtId="0" fontId="23" fillId="30" borderId="3" xfId="0" applyFont="1" applyFill="1" applyBorder="1" applyAlignment="1">
      <alignment horizontal="center" vertical="center" textRotation="90" wrapText="1"/>
    </xf>
    <xf numFmtId="0" fontId="15" fillId="5" borderId="15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vertical="center" wrapText="1"/>
    </xf>
    <xf numFmtId="0" fontId="15" fillId="5" borderId="42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left" wrapText="1"/>
    </xf>
    <xf numFmtId="0" fontId="15" fillId="5" borderId="9" xfId="0" applyFont="1" applyFill="1" applyBorder="1" applyAlignment="1">
      <alignment horizontal="left" wrapText="1"/>
    </xf>
    <xf numFmtId="0" fontId="15" fillId="5" borderId="6" xfId="0" applyFont="1" applyFill="1" applyBorder="1" applyAlignment="1">
      <alignment horizontal="center" vertical="center"/>
    </xf>
    <xf numFmtId="10" fontId="15" fillId="5" borderId="7" xfId="0" applyNumberFormat="1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43" xfId="0" applyFont="1" applyFill="1" applyBorder="1" applyAlignment="1">
      <alignment horizontal="center" vertical="center"/>
    </xf>
    <xf numFmtId="0" fontId="27" fillId="21" borderId="13" xfId="0" applyNumberFormat="1" applyFont="1" applyFill="1" applyBorder="1" applyAlignment="1">
      <alignment horizontal="center" vertical="center" wrapText="1"/>
    </xf>
    <xf numFmtId="0" fontId="27" fillId="21" borderId="14" xfId="0" applyNumberFormat="1" applyFont="1" applyFill="1" applyBorder="1" applyAlignment="1">
      <alignment horizontal="center" vertical="center" wrapText="1"/>
    </xf>
    <xf numFmtId="0" fontId="27" fillId="21" borderId="30" xfId="0" applyNumberFormat="1" applyFont="1" applyFill="1" applyBorder="1" applyAlignment="1">
      <alignment horizontal="center" vertical="center" wrapText="1"/>
    </xf>
    <xf numFmtId="165" fontId="28" fillId="21" borderId="5" xfId="0" applyNumberFormat="1" applyFont="1" applyFill="1" applyBorder="1" applyAlignment="1">
      <alignment horizontal="center" vertical="center"/>
    </xf>
    <xf numFmtId="165" fontId="28" fillId="21" borderId="8" xfId="0" applyNumberFormat="1" applyFont="1" applyFill="1" applyBorder="1" applyAlignment="1">
      <alignment horizontal="center" vertical="center"/>
    </xf>
    <xf numFmtId="165" fontId="28" fillId="21" borderId="39" xfId="0" applyNumberFormat="1" applyFont="1" applyFill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0" fontId="23" fillId="21" borderId="40" xfId="0" applyFont="1" applyFill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 wrapText="1"/>
    </xf>
    <xf numFmtId="0" fontId="23" fillId="21" borderId="4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40" xfId="0" applyFont="1" applyFill="1" applyBorder="1" applyAlignment="1">
      <alignment horizontal="center" vertical="center" wrapText="1"/>
    </xf>
    <xf numFmtId="0" fontId="23" fillId="20" borderId="42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/>
    </xf>
    <xf numFmtId="0" fontId="30" fillId="26" borderId="42" xfId="0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/>
    </xf>
    <xf numFmtId="0" fontId="30" fillId="27" borderId="42" xfId="0" applyFont="1" applyFill="1" applyBorder="1" applyAlignment="1">
      <alignment horizontal="center" vertical="center"/>
    </xf>
    <xf numFmtId="0" fontId="30" fillId="11" borderId="10" xfId="0" applyFont="1" applyFill="1" applyBorder="1" applyAlignment="1">
      <alignment horizontal="center" vertical="center"/>
    </xf>
    <xf numFmtId="0" fontId="30" fillId="11" borderId="42" xfId="0" applyFont="1" applyFill="1" applyBorder="1" applyAlignment="1">
      <alignment horizontal="center" vertical="center"/>
    </xf>
    <xf numFmtId="0" fontId="7" fillId="0" borderId="24" xfId="2" applyNumberFormat="1" applyFont="1" applyFill="1" applyBorder="1" applyAlignment="1">
      <alignment horizontal="center" vertical="center" wrapText="1"/>
    </xf>
    <xf numFmtId="0" fontId="7" fillId="0" borderId="19" xfId="2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8" fillId="7" borderId="13" xfId="0" applyNumberFormat="1" applyFont="1" applyFill="1" applyBorder="1" applyAlignment="1">
      <alignment horizontal="center" vertical="center" wrapText="1"/>
    </xf>
    <xf numFmtId="0" fontId="8" fillId="7" borderId="14" xfId="0" applyNumberFormat="1" applyFont="1" applyFill="1" applyBorder="1" applyAlignment="1">
      <alignment horizontal="center" vertical="center" wrapText="1"/>
    </xf>
    <xf numFmtId="0" fontId="8" fillId="7" borderId="30" xfId="0" applyNumberFormat="1" applyFont="1" applyFill="1" applyBorder="1" applyAlignment="1">
      <alignment horizontal="center" vertical="center" wrapText="1"/>
    </xf>
    <xf numFmtId="165" fontId="8" fillId="7" borderId="5" xfId="0" applyNumberFormat="1" applyFont="1" applyFill="1" applyBorder="1" applyAlignment="1">
      <alignment horizontal="center" vertical="center" wrapText="1"/>
    </xf>
    <xf numFmtId="165" fontId="8" fillId="7" borderId="8" xfId="0" applyNumberFormat="1" applyFont="1" applyFill="1" applyBorder="1" applyAlignment="1">
      <alignment horizontal="center" vertical="center" wrapText="1"/>
    </xf>
    <xf numFmtId="165" fontId="8" fillId="7" borderId="39" xfId="0" applyNumberFormat="1" applyFont="1" applyFill="1" applyBorder="1" applyAlignment="1">
      <alignment horizontal="center" vertical="center" wrapText="1"/>
    </xf>
    <xf numFmtId="10" fontId="7" fillId="0" borderId="11" xfId="2" applyNumberFormat="1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0" fillId="14" borderId="9" xfId="0" applyFont="1" applyFill="1" applyBorder="1" applyAlignment="1">
      <alignment vertical="center"/>
    </xf>
    <xf numFmtId="1" fontId="7" fillId="5" borderId="35" xfId="0" applyNumberFormat="1" applyFont="1" applyFill="1" applyBorder="1" applyAlignment="1">
      <alignment horizontal="center" vertical="center" wrapText="1"/>
    </xf>
    <xf numFmtId="1" fontId="7" fillId="5" borderId="31" xfId="0" applyNumberFormat="1" applyFont="1" applyFill="1" applyBorder="1" applyAlignment="1">
      <alignment horizontal="center" vertical="center" wrapText="1"/>
    </xf>
    <xf numFmtId="2" fontId="7" fillId="0" borderId="24" xfId="2" applyNumberFormat="1" applyFont="1" applyFill="1" applyBorder="1" applyAlignment="1">
      <alignment horizontal="center" vertical="center" wrapText="1"/>
    </xf>
    <xf numFmtId="2" fontId="7" fillId="0" borderId="19" xfId="2" applyNumberFormat="1" applyFont="1" applyFill="1" applyBorder="1" applyAlignment="1">
      <alignment horizontal="center" vertical="center" wrapText="1"/>
    </xf>
    <xf numFmtId="164" fontId="7" fillId="5" borderId="27" xfId="0" applyNumberFormat="1" applyFont="1" applyFill="1" applyBorder="1" applyAlignment="1">
      <alignment horizontal="center" vertical="center"/>
    </xf>
    <xf numFmtId="164" fontId="7" fillId="5" borderId="17" xfId="0" applyNumberFormat="1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center" wrapText="1"/>
    </xf>
    <xf numFmtId="0" fontId="8" fillId="14" borderId="9" xfId="0" applyFont="1" applyFill="1" applyBorder="1" applyAlignment="1">
      <alignment horizontal="center" wrapText="1"/>
    </xf>
    <xf numFmtId="2" fontId="0" fillId="16" borderId="11" xfId="0" applyNumberFormat="1" applyFont="1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/>
    </xf>
    <xf numFmtId="9" fontId="0" fillId="16" borderId="11" xfId="2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 wrapText="1"/>
    </xf>
    <xf numFmtId="2" fontId="0" fillId="16" borderId="11" xfId="2" applyNumberFormat="1" applyFont="1" applyFill="1" applyBorder="1" applyAlignment="1">
      <alignment horizontal="center" vertical="center" wrapText="1"/>
    </xf>
    <xf numFmtId="0" fontId="0" fillId="16" borderId="11" xfId="0" applyNumberFormat="1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1" fillId="20" borderId="30" xfId="0" applyFont="1" applyFill="1" applyBorder="1" applyAlignment="1">
      <alignment horizontal="center" vertical="center" wrapText="1"/>
    </xf>
    <xf numFmtId="165" fontId="8" fillId="20" borderId="5" xfId="0" applyNumberFormat="1" applyFont="1" applyFill="1" applyBorder="1" applyAlignment="1">
      <alignment horizontal="center" vertical="center" wrapText="1"/>
    </xf>
    <xf numFmtId="165" fontId="8" fillId="20" borderId="8" xfId="0" applyNumberFormat="1" applyFont="1" applyFill="1" applyBorder="1" applyAlignment="1">
      <alignment horizontal="center" vertical="center" wrapText="1"/>
    </xf>
    <xf numFmtId="165" fontId="8" fillId="20" borderId="29" xfId="0" applyNumberFormat="1" applyFont="1" applyFill="1" applyBorder="1" applyAlignment="1">
      <alignment horizontal="center" vertical="center" wrapText="1"/>
    </xf>
    <xf numFmtId="165" fontId="8" fillId="20" borderId="49" xfId="0" applyNumberFormat="1" applyFont="1" applyFill="1" applyBorder="1" applyAlignment="1">
      <alignment horizontal="center" vertical="center" wrapText="1"/>
    </xf>
    <xf numFmtId="165" fontId="8" fillId="20" borderId="39" xfId="0" applyNumberFormat="1" applyFont="1" applyFill="1" applyBorder="1" applyAlignment="1">
      <alignment horizontal="center" vertical="center" wrapText="1"/>
    </xf>
    <xf numFmtId="0" fontId="24" fillId="23" borderId="13" xfId="0" applyFont="1" applyFill="1" applyBorder="1" applyAlignment="1">
      <alignment horizontal="center" vertical="center"/>
    </xf>
    <xf numFmtId="0" fontId="24" fillId="23" borderId="14" xfId="0" applyFont="1" applyFill="1" applyBorder="1" applyAlignment="1">
      <alignment horizontal="center" vertical="center"/>
    </xf>
    <xf numFmtId="0" fontId="24" fillId="23" borderId="30" xfId="0" applyFont="1" applyFill="1" applyBorder="1" applyAlignment="1">
      <alignment horizontal="center" vertical="center"/>
    </xf>
    <xf numFmtId="0" fontId="34" fillId="37" borderId="10" xfId="0" applyFont="1" applyFill="1" applyBorder="1" applyAlignment="1">
      <alignment horizontal="center"/>
    </xf>
    <xf numFmtId="0" fontId="34" fillId="37" borderId="40" xfId="0" applyFont="1" applyFill="1" applyBorder="1" applyAlignment="1">
      <alignment horizontal="center"/>
    </xf>
    <xf numFmtId="0" fontId="34" fillId="37" borderId="42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/>
    </xf>
    <xf numFmtId="0" fontId="3" fillId="23" borderId="40" xfId="0" applyFont="1" applyFill="1" applyBorder="1" applyAlignment="1">
      <alignment horizontal="center"/>
    </xf>
    <xf numFmtId="0" fontId="3" fillId="23" borderId="42" xfId="0" applyFont="1" applyFill="1" applyBorder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4" fillId="24" borderId="32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 textRotation="90"/>
    </xf>
    <xf numFmtId="0" fontId="24" fillId="30" borderId="13" xfId="0" applyFont="1" applyFill="1" applyBorder="1" applyAlignment="1">
      <alignment horizontal="center" vertical="center" textRotation="90"/>
    </xf>
    <xf numFmtId="0" fontId="23" fillId="5" borderId="0" xfId="0" applyFont="1" applyFill="1" applyBorder="1" applyAlignment="1">
      <alignment horizontal="center" vertical="center" wrapText="1"/>
    </xf>
    <xf numFmtId="0" fontId="3" fillId="23" borderId="0" xfId="0" applyNumberFormat="1" applyFont="1" applyFill="1" applyBorder="1" applyAlignment="1">
      <alignment horizontal="center"/>
    </xf>
    <xf numFmtId="0" fontId="0" fillId="44" borderId="0" xfId="0" applyNumberFormat="1" applyFill="1"/>
    <xf numFmtId="0" fontId="0" fillId="0" borderId="4" xfId="0" applyNumberFormat="1" applyBorder="1"/>
  </cellXfs>
  <cellStyles count="8">
    <cellStyle name="Buena" xfId="3" builtinId="26"/>
    <cellStyle name="Hipervínculo" xfId="7" builtinId="8"/>
    <cellStyle name="Millares" xfId="1" builtinId="3"/>
    <cellStyle name="Normal" xfId="0" builtinId="0"/>
    <cellStyle name="Normal 3" xfId="4"/>
    <cellStyle name="Normal 4" xfId="5"/>
    <cellStyle name="Normal 7" xfId="6"/>
    <cellStyle name="Porcentual" xfId="2" builtinId="5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55757</xdr:colOff>
      <xdr:row>0</xdr:row>
      <xdr:rowOff>102220</xdr:rowOff>
    </xdr:from>
    <xdr:to>
      <xdr:col>2</xdr:col>
      <xdr:colOff>585439</xdr:colOff>
      <xdr:row>1</xdr:row>
      <xdr:rowOff>167269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0074" y="102220"/>
          <a:ext cx="1393902" cy="464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672542</xdr:colOff>
      <xdr:row>2</xdr:row>
      <xdr:rowOff>172720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" y="193040"/>
          <a:ext cx="1393902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716643</xdr:colOff>
      <xdr:row>0</xdr:row>
      <xdr:rowOff>0</xdr:rowOff>
    </xdr:from>
    <xdr:to>
      <xdr:col>1</xdr:col>
      <xdr:colOff>1304925</xdr:colOff>
      <xdr:row>2</xdr:row>
      <xdr:rowOff>23736</xdr:rowOff>
    </xdr:to>
    <xdr:pic>
      <xdr:nvPicPr>
        <xdr:cNvPr id="3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643" y="0"/>
          <a:ext cx="1369332" cy="385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738555</xdr:colOff>
      <xdr:row>1</xdr:row>
      <xdr:rowOff>34295</xdr:rowOff>
    </xdr:from>
    <xdr:to>
      <xdr:col>1</xdr:col>
      <xdr:colOff>1108027</xdr:colOff>
      <xdr:row>2</xdr:row>
      <xdr:rowOff>153968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555" y="219910"/>
          <a:ext cx="1107830" cy="34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1393902</xdr:colOff>
      <xdr:row>2</xdr:row>
      <xdr:rowOff>65851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741" y="150519"/>
          <a:ext cx="1393902" cy="366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419100</xdr:colOff>
      <xdr:row>0</xdr:row>
      <xdr:rowOff>286267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860"/>
          <a:ext cx="838200" cy="263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77111117893"/>
  </sheetPr>
  <dimension ref="A1:AB72"/>
  <sheetViews>
    <sheetView topLeftCell="A4" zoomScale="82" zoomScaleNormal="82" workbookViewId="0">
      <selection activeCell="G28" sqref="G28"/>
    </sheetView>
  </sheetViews>
  <sheetFormatPr baseColWidth="10" defaultRowHeight="14.4"/>
  <cols>
    <col min="1" max="1" width="4.6640625" style="45" customWidth="1"/>
    <col min="2" max="2" width="12.6640625" customWidth="1"/>
    <col min="3" max="3" width="24.109375" customWidth="1"/>
    <col min="4" max="4" width="10.21875" customWidth="1"/>
    <col min="5" max="5" width="11.88671875" customWidth="1"/>
    <col min="6" max="6" width="16.44140625" customWidth="1"/>
    <col min="7" max="7" width="16.33203125" customWidth="1"/>
    <col min="8" max="8" width="16" customWidth="1"/>
    <col min="9" max="9" width="15.5546875" customWidth="1"/>
    <col min="10" max="10" width="15.88671875" customWidth="1"/>
    <col min="11" max="11" width="8.77734375" hidden="1" customWidth="1"/>
    <col min="12" max="28" width="11.44140625" style="23"/>
  </cols>
  <sheetData>
    <row r="1" spans="1:28" s="22" customFormat="1" ht="31.5" customHeight="1">
      <c r="A1" s="46"/>
      <c r="B1" s="581" t="s">
        <v>110</v>
      </c>
      <c r="C1" s="582"/>
      <c r="D1" s="582"/>
      <c r="E1" s="582"/>
      <c r="F1" s="582"/>
      <c r="G1" s="582"/>
      <c r="H1" s="582"/>
      <c r="I1" s="582"/>
      <c r="J1" s="582"/>
      <c r="K1" s="583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s="22" customFormat="1" ht="20.25" customHeight="1">
      <c r="A2" s="46"/>
      <c r="B2" s="584">
        <v>43656</v>
      </c>
      <c r="C2" s="585"/>
      <c r="D2" s="585"/>
      <c r="E2" s="585"/>
      <c r="F2" s="585"/>
      <c r="G2" s="585"/>
      <c r="H2" s="585"/>
      <c r="I2" s="585"/>
      <c r="J2" s="585"/>
      <c r="K2" s="586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s="23" customFormat="1">
      <c r="A3" s="45"/>
    </row>
    <row r="4" spans="1:28" s="23" customFormat="1">
      <c r="A4" s="45"/>
    </row>
    <row r="5" spans="1:28" ht="31.8" customHeight="1">
      <c r="B5" s="478" t="s">
        <v>109</v>
      </c>
      <c r="C5" s="479" t="s">
        <v>55</v>
      </c>
      <c r="D5" s="478" t="s">
        <v>56</v>
      </c>
      <c r="E5" s="480" t="s">
        <v>9</v>
      </c>
      <c r="F5" s="478" t="s">
        <v>57</v>
      </c>
      <c r="G5" s="481" t="s">
        <v>58</v>
      </c>
      <c r="H5" s="480" t="s">
        <v>59</v>
      </c>
      <c r="I5" s="478" t="s">
        <v>60</v>
      </c>
      <c r="J5" s="482" t="s">
        <v>61</v>
      </c>
      <c r="K5" s="25" t="s">
        <v>32</v>
      </c>
      <c r="AB5"/>
    </row>
    <row r="6" spans="1:28" ht="16.05" customHeight="1">
      <c r="B6" s="587" t="s">
        <v>62</v>
      </c>
      <c r="C6" s="107" t="s">
        <v>63</v>
      </c>
      <c r="D6" s="107" t="s">
        <v>54</v>
      </c>
      <c r="E6" s="107">
        <f>'Anchoveta-Sardina Española LTP'!E16</f>
        <v>629209.99900000007</v>
      </c>
      <c r="F6" s="421">
        <f>'Anchoveta-Sardina Española LTP'!F16</f>
        <v>-27943.814999999999</v>
      </c>
      <c r="G6" s="276">
        <f>'Anchoveta-Sardina Española LTP'!G16</f>
        <v>601266.18400000012</v>
      </c>
      <c r="H6" s="276">
        <f>+'Anchoveta-Sardina Española LTP'!H16</f>
        <v>278811.28999999998</v>
      </c>
      <c r="I6" s="277">
        <f>'Anchoveta-Sardina Española LTP'!I16</f>
        <v>322454.89400000015</v>
      </c>
      <c r="J6" s="278">
        <f>H6/G6</f>
        <v>0.4637069195296703</v>
      </c>
      <c r="K6" s="23"/>
      <c r="AB6"/>
    </row>
    <row r="7" spans="1:28" ht="16.05" customHeight="1">
      <c r="A7" s="423">
        <v>37941</v>
      </c>
      <c r="B7" s="588"/>
      <c r="C7" s="108" t="s">
        <v>63</v>
      </c>
      <c r="D7" s="108" t="s">
        <v>52</v>
      </c>
      <c r="E7" s="108">
        <f>'Anchoveta-Sardina Española LTP'!E35</f>
        <v>37941.000000000007</v>
      </c>
      <c r="F7" s="419">
        <f>'Anchoveta-Sardina Española LTP'!F35</f>
        <v>-34962.726999999999</v>
      </c>
      <c r="G7" s="279">
        <f>'Anchoveta-Sardina Española LTP'!G35</f>
        <v>2978.2730000000083</v>
      </c>
      <c r="H7" s="279">
        <f>+'Anchoveta-Sardina Española LTP'!H35</f>
        <v>0</v>
      </c>
      <c r="I7" s="280">
        <f>'Anchoveta-Sardina Española LTP'!I35</f>
        <v>2978.2730000000083</v>
      </c>
      <c r="J7" s="281">
        <f t="shared" ref="J7:J19" si="0">H7/G7</f>
        <v>0</v>
      </c>
      <c r="K7" s="23"/>
      <c r="AB7"/>
    </row>
    <row r="8" spans="1:28" ht="16.05" customHeight="1">
      <c r="B8" s="588"/>
      <c r="C8" s="433" t="s">
        <v>64</v>
      </c>
      <c r="D8" s="433" t="s">
        <v>54</v>
      </c>
      <c r="E8" s="433">
        <f>'Anchoveta-Sardina Española LTP'!E43</f>
        <v>1484.999</v>
      </c>
      <c r="F8" s="421">
        <f>'Anchoveta-Sardina Española LTP'!F43</f>
        <v>0</v>
      </c>
      <c r="G8" s="276">
        <f>'Anchoveta-Sardina Española LTP'!G43</f>
        <v>2592.808</v>
      </c>
      <c r="H8" s="434">
        <f>'Anchoveta-Sardina Española LTP'!H43</f>
        <v>6.1909999999999989</v>
      </c>
      <c r="I8" s="277">
        <f>'Anchoveta-Sardina Española LTP'!I43</f>
        <v>2586.6170000000002</v>
      </c>
      <c r="J8" s="278">
        <f t="shared" si="0"/>
        <v>2.3877587542155067E-3</v>
      </c>
      <c r="K8" s="23"/>
      <c r="AB8"/>
    </row>
    <row r="9" spans="1:28" ht="16.05" customHeight="1">
      <c r="B9" s="588"/>
      <c r="C9" s="420" t="s">
        <v>64</v>
      </c>
      <c r="D9" s="420" t="s">
        <v>52</v>
      </c>
      <c r="E9" s="420">
        <f>'Anchoveta-Sardina Española LTP'!E54</f>
        <v>875.00099999999986</v>
      </c>
      <c r="F9" s="422">
        <f>'Anchoveta-Sardina Española LTP'!F54</f>
        <v>-201.66300000000001</v>
      </c>
      <c r="G9" s="282">
        <f>'Anchoveta-Sardina Española LTP'!G54</f>
        <v>673.33799999999985</v>
      </c>
      <c r="H9" s="282">
        <f>'Anchoveta-Sardina Española LTP'!H54</f>
        <v>0</v>
      </c>
      <c r="I9" s="283">
        <f>'Anchoveta-Sardina Española LTP'!I54</f>
        <v>673.33799999999985</v>
      </c>
      <c r="J9" s="284">
        <f t="shared" si="0"/>
        <v>0</v>
      </c>
      <c r="K9" s="23"/>
      <c r="AB9"/>
    </row>
    <row r="10" spans="1:28" ht="16.05" customHeight="1">
      <c r="B10" s="589"/>
      <c r="C10" s="428" t="s">
        <v>223</v>
      </c>
      <c r="D10" s="428" t="s">
        <v>147</v>
      </c>
      <c r="E10" s="429">
        <f>SUM(E6:E9)</f>
        <v>669510.99900000007</v>
      </c>
      <c r="F10" s="429">
        <f>SUM(F6:F9)</f>
        <v>-63108.205000000002</v>
      </c>
      <c r="G10" s="430">
        <f>+E10+F10</f>
        <v>606402.79400000011</v>
      </c>
      <c r="H10" s="430">
        <f>SUM(H6:H9)</f>
        <v>278817.48099999997</v>
      </c>
      <c r="I10" s="426">
        <f>+G10-H10</f>
        <v>327585.31300000014</v>
      </c>
      <c r="J10" s="431">
        <f>H10/G10</f>
        <v>0.45978924200009524</v>
      </c>
      <c r="K10" s="23"/>
      <c r="AB10"/>
    </row>
    <row r="11" spans="1:28" ht="16.05" customHeight="1">
      <c r="B11" s="590" t="s">
        <v>65</v>
      </c>
      <c r="C11" s="231" t="s">
        <v>63</v>
      </c>
      <c r="D11" s="231" t="s">
        <v>66</v>
      </c>
      <c r="E11" s="231">
        <f>'Anchoveta Artesanal'!E7</f>
        <v>80927</v>
      </c>
      <c r="F11" s="267">
        <f>'Anchoveta Artesanal'!F7</f>
        <v>0</v>
      </c>
      <c r="G11" s="267">
        <f>'Anchoveta Artesanal'!G7</f>
        <v>80927</v>
      </c>
      <c r="H11" s="267">
        <f>'Anchoveta Artesanal'!H7</f>
        <v>61424.932000000001</v>
      </c>
      <c r="I11" s="267">
        <f>'Anchoveta Artesanal'!I7</f>
        <v>22662.428</v>
      </c>
      <c r="J11" s="278">
        <f t="shared" si="0"/>
        <v>0.75901654577582267</v>
      </c>
      <c r="K11" s="23"/>
      <c r="AB11"/>
    </row>
    <row r="12" spans="1:28" ht="16.05" customHeight="1">
      <c r="B12" s="591"/>
      <c r="C12" s="232" t="s">
        <v>63</v>
      </c>
      <c r="D12" s="232" t="s">
        <v>67</v>
      </c>
      <c r="E12" s="232">
        <f>'Anchoveta Artesanal'!E11</f>
        <v>30529</v>
      </c>
      <c r="F12" s="268">
        <f>'Anchoveta Artesanal'!F11</f>
        <v>0</v>
      </c>
      <c r="G12" s="268">
        <f>'Anchoveta Artesanal'!G11</f>
        <v>30529</v>
      </c>
      <c r="H12" s="268">
        <f>'Anchoveta Artesanal'!H11</f>
        <v>26679.465999999982</v>
      </c>
      <c r="I12" s="268">
        <f>'Anchoveta Artesanal'!I11</f>
        <v>10158.518000000036</v>
      </c>
      <c r="J12" s="284">
        <f t="shared" si="0"/>
        <v>0.87390566346752208</v>
      </c>
      <c r="K12" s="23"/>
      <c r="L12" s="24"/>
      <c r="AB12"/>
    </row>
    <row r="13" spans="1:28" ht="16.05" customHeight="1">
      <c r="B13" s="591"/>
      <c r="C13" s="439" t="s">
        <v>63</v>
      </c>
      <c r="D13" s="231" t="s">
        <v>68</v>
      </c>
      <c r="E13" s="231">
        <f>'Anchoveta Artesanal'!E14</f>
        <v>26209</v>
      </c>
      <c r="F13" s="267">
        <f>'Anchoveta Artesanal'!F14</f>
        <v>0</v>
      </c>
      <c r="G13" s="267">
        <f>'Anchoveta Artesanal'!G14</f>
        <v>26209</v>
      </c>
      <c r="H13" s="267">
        <f>'Anchoveta Artesanal'!H14</f>
        <v>24923.445000000007</v>
      </c>
      <c r="I13" s="432">
        <f>'Anchoveta Artesanal'!I14</f>
        <v>1285.554999999993</v>
      </c>
      <c r="J13" s="281">
        <f t="shared" si="0"/>
        <v>0.95094986455034558</v>
      </c>
      <c r="K13" s="218" t="str">
        <f>+'Anchoveta Artesanal'!K13</f>
        <v>-</v>
      </c>
      <c r="AB13"/>
    </row>
    <row r="14" spans="1:28" ht="16.05" customHeight="1">
      <c r="B14" s="591"/>
      <c r="C14" s="441" t="s">
        <v>63</v>
      </c>
      <c r="D14" s="232" t="s">
        <v>69</v>
      </c>
      <c r="E14" s="232">
        <f>'Anchoveta Artesanal'!E18</f>
        <v>11232</v>
      </c>
      <c r="F14" s="269">
        <f>'Anchoveta Artesanal'!F18</f>
        <v>0</v>
      </c>
      <c r="G14" s="269">
        <f>'Anchoveta Artesanal'!G18</f>
        <v>11232</v>
      </c>
      <c r="H14" s="269">
        <f>'Anchoveta Artesanal'!H18</f>
        <v>11112.848</v>
      </c>
      <c r="I14" s="269">
        <f>'Anchoveta Artesanal'!I18</f>
        <v>119.15200000000004</v>
      </c>
      <c r="J14" s="281">
        <f t="shared" si="0"/>
        <v>0.98939173789173784</v>
      </c>
      <c r="K14" s="23"/>
      <c r="AB14"/>
    </row>
    <row r="15" spans="1:28" ht="16.05" customHeight="1">
      <c r="B15" s="591"/>
      <c r="C15" s="234" t="s">
        <v>64</v>
      </c>
      <c r="D15" s="234" t="s">
        <v>66</v>
      </c>
      <c r="E15" s="270">
        <v>714</v>
      </c>
      <c r="F15" s="267">
        <f>'Sardina Española Artesanal'!F8</f>
        <v>0</v>
      </c>
      <c r="G15" s="267">
        <f>'Sardina Española Artesanal'!G8</f>
        <v>1250</v>
      </c>
      <c r="H15" s="267">
        <f>'Sardina Española Artesanal'!H8</f>
        <v>0</v>
      </c>
      <c r="I15" s="267">
        <f>'Sardina Española Artesanal'!I8</f>
        <v>1250</v>
      </c>
      <c r="J15" s="278">
        <f t="shared" si="0"/>
        <v>0</v>
      </c>
      <c r="K15" s="23"/>
      <c r="AB15"/>
    </row>
    <row r="16" spans="1:28" ht="16.05" customHeight="1">
      <c r="B16" s="591"/>
      <c r="C16" s="235" t="s">
        <v>64</v>
      </c>
      <c r="D16" s="235" t="s">
        <v>67</v>
      </c>
      <c r="E16" s="271">
        <v>2701</v>
      </c>
      <c r="F16" s="268">
        <f>'Sardina Española Artesanal'!F11</f>
        <v>0</v>
      </c>
      <c r="G16" s="268">
        <f>'Sardina Española Artesanal'!G11</f>
        <v>4323.6939999999995</v>
      </c>
      <c r="H16" s="268">
        <f>'Sardina Española Artesanal'!H11</f>
        <v>403.30599999999998</v>
      </c>
      <c r="I16" s="268">
        <f>'Sardina Española Artesanal'!I11</f>
        <v>3920.3879999999999</v>
      </c>
      <c r="J16" s="284">
        <f t="shared" si="0"/>
        <v>9.327810895035589E-2</v>
      </c>
      <c r="K16" s="23"/>
      <c r="AB16"/>
    </row>
    <row r="17" spans="1:28" ht="16.05" customHeight="1">
      <c r="B17" s="591"/>
      <c r="C17" s="443" t="s">
        <v>64</v>
      </c>
      <c r="D17" s="236" t="s">
        <v>68</v>
      </c>
      <c r="E17" s="272">
        <v>218.5</v>
      </c>
      <c r="F17" s="273">
        <f>'Sardina Española Artesanal'!F13</f>
        <v>0</v>
      </c>
      <c r="G17" s="273">
        <f>'Sardina Española Artesanal'!G13</f>
        <v>218.5</v>
      </c>
      <c r="H17" s="273">
        <f>'Sardina Española Artesanal'!H13</f>
        <v>200.76000000000005</v>
      </c>
      <c r="I17" s="273">
        <f>'Sardina Española Artesanal'!I13</f>
        <v>17.739999999999952</v>
      </c>
      <c r="J17" s="281">
        <f t="shared" si="0"/>
        <v>0.91881006864988579</v>
      </c>
      <c r="K17" s="23"/>
      <c r="AB17"/>
    </row>
    <row r="18" spans="1:28" ht="16.05" customHeight="1">
      <c r="B18" s="591"/>
      <c r="C18" s="236" t="s">
        <v>64</v>
      </c>
      <c r="D18" s="236" t="s">
        <v>69</v>
      </c>
      <c r="E18" s="272">
        <v>218.5</v>
      </c>
      <c r="F18" s="273">
        <f>'Sardina Española Artesanal'!F15</f>
        <v>0</v>
      </c>
      <c r="G18" s="273">
        <f>'Sardina Española Artesanal'!G15</f>
        <v>218.5</v>
      </c>
      <c r="H18" s="273">
        <f>'Sardina Española Artesanal'!H15</f>
        <v>201.18800000000002</v>
      </c>
      <c r="I18" s="273">
        <f>'Sardina Española Artesanal'!I15</f>
        <v>17.311999999999983</v>
      </c>
      <c r="J18" s="281">
        <f t="shared" si="0"/>
        <v>0.92076887871853552</v>
      </c>
      <c r="K18" s="23"/>
      <c r="AB18"/>
    </row>
    <row r="19" spans="1:28" s="23" customFormat="1" ht="16.05" customHeight="1">
      <c r="A19" s="45"/>
      <c r="B19" s="591"/>
      <c r="C19" s="233" t="s">
        <v>148</v>
      </c>
      <c r="D19" s="77" t="s">
        <v>147</v>
      </c>
      <c r="E19" s="274">
        <v>0</v>
      </c>
      <c r="F19" s="275">
        <f>+'Consumo Cesiones'!H3</f>
        <v>63107.905000000006</v>
      </c>
      <c r="G19" s="275">
        <f>+F19</f>
        <v>63107.905000000006</v>
      </c>
      <c r="H19" s="275">
        <f>+'Consumo Cesiones'!I3</f>
        <v>23570.745999999992</v>
      </c>
      <c r="I19" s="275">
        <f>'Sardina Española Artesanal'!I16</f>
        <v>100</v>
      </c>
      <c r="J19" s="285">
        <f t="shared" si="0"/>
        <v>0.37349910443073636</v>
      </c>
      <c r="K19" s="217"/>
      <c r="L19" s="217"/>
    </row>
    <row r="20" spans="1:28" s="23" customFormat="1" ht="16.05" customHeight="1">
      <c r="A20" s="45"/>
      <c r="B20" s="592"/>
      <c r="C20" s="424" t="s">
        <v>224</v>
      </c>
      <c r="D20" s="424" t="s">
        <v>147</v>
      </c>
      <c r="E20" s="425">
        <f>SUM(E11:E19)</f>
        <v>152749</v>
      </c>
      <c r="F20" s="462">
        <f>SUM(F11:F19)</f>
        <v>63107.905000000006</v>
      </c>
      <c r="G20" s="426">
        <f>+E20+F20</f>
        <v>215856.905</v>
      </c>
      <c r="H20" s="426">
        <f>SUM(H11:H19)</f>
        <v>148516.69099999996</v>
      </c>
      <c r="I20" s="426">
        <f>+G20-H20</f>
        <v>67340.214000000036</v>
      </c>
      <c r="J20" s="427">
        <f>H20/G20</f>
        <v>0.68803307913638423</v>
      </c>
    </row>
    <row r="21" spans="1:28" s="23" customFormat="1" ht="16.05" customHeight="1">
      <c r="A21" s="45"/>
    </row>
    <row r="22" spans="1:28" s="23" customFormat="1" ht="16.05" customHeight="1">
      <c r="A22" s="45"/>
      <c r="E22" s="24"/>
      <c r="F22" s="472">
        <f>+F20+F10</f>
        <v>-0.29999999999563443</v>
      </c>
    </row>
    <row r="23" spans="1:28" s="23" customFormat="1" ht="16.05" customHeight="1">
      <c r="A23" s="45"/>
    </row>
    <row r="24" spans="1:28" s="23" customFormat="1">
      <c r="A24" s="45"/>
    </row>
    <row r="25" spans="1:28" s="23" customFormat="1">
      <c r="A25" s="45"/>
    </row>
    <row r="26" spans="1:28" s="23" customFormat="1">
      <c r="A26" s="45"/>
    </row>
    <row r="27" spans="1:28" s="23" customFormat="1">
      <c r="A27" s="45"/>
      <c r="D27" s="219"/>
    </row>
    <row r="28" spans="1:28" s="23" customFormat="1">
      <c r="A28" s="45"/>
    </row>
    <row r="29" spans="1:28" s="23" customFormat="1">
      <c r="A29" s="45"/>
    </row>
    <row r="30" spans="1:28" s="23" customFormat="1">
      <c r="A30" s="45"/>
    </row>
    <row r="31" spans="1:28" s="23" customFormat="1">
      <c r="A31" s="45"/>
    </row>
    <row r="32" spans="1:28" s="23" customFormat="1">
      <c r="A32" s="45"/>
    </row>
    <row r="33" spans="1:1" s="23" customFormat="1">
      <c r="A33" s="45"/>
    </row>
    <row r="34" spans="1:1" s="23" customFormat="1">
      <c r="A34" s="45"/>
    </row>
    <row r="35" spans="1:1" s="23" customFormat="1">
      <c r="A35" s="45"/>
    </row>
    <row r="36" spans="1:1" s="23" customFormat="1">
      <c r="A36" s="45"/>
    </row>
    <row r="37" spans="1:1" s="23" customFormat="1">
      <c r="A37" s="45"/>
    </row>
    <row r="38" spans="1:1" s="23" customFormat="1">
      <c r="A38" s="45"/>
    </row>
    <row r="39" spans="1:1" s="23" customFormat="1">
      <c r="A39" s="45"/>
    </row>
    <row r="40" spans="1:1" s="23" customFormat="1">
      <c r="A40" s="45"/>
    </row>
    <row r="41" spans="1:1" s="23" customFormat="1">
      <c r="A41" s="45"/>
    </row>
    <row r="42" spans="1:1" s="23" customFormat="1">
      <c r="A42" s="45"/>
    </row>
    <row r="43" spans="1:1" s="23" customFormat="1">
      <c r="A43" s="45"/>
    </row>
    <row r="44" spans="1:1" s="23" customFormat="1">
      <c r="A44" s="45"/>
    </row>
    <row r="45" spans="1:1" s="23" customFormat="1">
      <c r="A45" s="45"/>
    </row>
    <row r="46" spans="1:1" s="23" customFormat="1">
      <c r="A46" s="45"/>
    </row>
    <row r="47" spans="1:1" s="23" customFormat="1">
      <c r="A47" s="45"/>
    </row>
    <row r="48" spans="1:1" s="23" customFormat="1">
      <c r="A48" s="45"/>
    </row>
    <row r="49" spans="1:1" s="23" customFormat="1">
      <c r="A49" s="45"/>
    </row>
    <row r="50" spans="1:1" s="23" customFormat="1">
      <c r="A50" s="45"/>
    </row>
    <row r="51" spans="1:1" s="23" customFormat="1">
      <c r="A51" s="45"/>
    </row>
    <row r="52" spans="1:1" s="23" customFormat="1">
      <c r="A52" s="45"/>
    </row>
    <row r="53" spans="1:1" s="23" customFormat="1">
      <c r="A53" s="45"/>
    </row>
    <row r="54" spans="1:1" s="23" customFormat="1">
      <c r="A54" s="45"/>
    </row>
    <row r="55" spans="1:1" s="23" customFormat="1">
      <c r="A55" s="45"/>
    </row>
    <row r="56" spans="1:1" s="23" customFormat="1">
      <c r="A56" s="45"/>
    </row>
    <row r="57" spans="1:1" s="23" customFormat="1">
      <c r="A57" s="45"/>
    </row>
    <row r="58" spans="1:1" s="23" customFormat="1">
      <c r="A58" s="45"/>
    </row>
    <row r="59" spans="1:1" s="23" customFormat="1">
      <c r="A59" s="45"/>
    </row>
    <row r="60" spans="1:1" s="23" customFormat="1">
      <c r="A60" s="45"/>
    </row>
    <row r="61" spans="1:1" s="23" customFormat="1">
      <c r="A61" s="45"/>
    </row>
    <row r="62" spans="1:1" s="23" customFormat="1">
      <c r="A62" s="45"/>
    </row>
    <row r="63" spans="1:1" s="23" customFormat="1">
      <c r="A63" s="45"/>
    </row>
    <row r="64" spans="1:1" s="23" customFormat="1">
      <c r="A64" s="45"/>
    </row>
    <row r="65" spans="1:1" s="23" customFormat="1">
      <c r="A65" s="45"/>
    </row>
    <row r="66" spans="1:1" s="23" customFormat="1">
      <c r="A66" s="45"/>
    </row>
    <row r="67" spans="1:1" s="23" customFormat="1">
      <c r="A67" s="45"/>
    </row>
    <row r="68" spans="1:1" s="23" customFormat="1">
      <c r="A68" s="45"/>
    </row>
    <row r="69" spans="1:1" s="23" customFormat="1">
      <c r="A69" s="45"/>
    </row>
    <row r="70" spans="1:1" s="23" customFormat="1">
      <c r="A70" s="45"/>
    </row>
    <row r="71" spans="1:1" s="23" customFormat="1">
      <c r="A71" s="45"/>
    </row>
    <row r="72" spans="1:1" s="23" customFormat="1">
      <c r="A72" s="45"/>
    </row>
  </sheetData>
  <mergeCells count="4">
    <mergeCell ref="B1:K1"/>
    <mergeCell ref="B2:K2"/>
    <mergeCell ref="B6:B10"/>
    <mergeCell ref="B11:B20"/>
  </mergeCells>
  <conditionalFormatting sqref="J6:J19">
    <cfRule type="cellIs" dxfId="31" priority="4" operator="greaterThan">
      <formula>0.95</formula>
    </cfRule>
  </conditionalFormatting>
  <conditionalFormatting sqref="J17">
    <cfRule type="cellIs" dxfId="30" priority="3" operator="greaterThan">
      <formula>0.91</formula>
    </cfRule>
  </conditionalFormatting>
  <conditionalFormatting sqref="J14">
    <cfRule type="cellIs" dxfId="29" priority="2" operator="greaterThan">
      <formula>0.91</formula>
    </cfRule>
  </conditionalFormatting>
  <conditionalFormatting sqref="J13">
    <cfRule type="cellIs" dxfId="28" priority="1" operator="greaterThan">
      <formula>0.91</formula>
    </cfRule>
  </conditionalFormatting>
  <hyperlinks>
    <hyperlink ref="F19" location="'Consumo Cesiones'!A1" display="'Consumo Cesiones'!A1"/>
    <hyperlink ref="C19" location="'Consumo Cesiones'!A1" display="Cesiones al Sector Artesanal"/>
    <hyperlink ref="C13" location="Anchoveta!B13" display="Anchoveta"/>
    <hyperlink ref="C14" location="Anchoveta!B16" display="Anchoveta"/>
    <hyperlink ref="C17" location="'Sardina Española'!B12" display="Sardina española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1:Q160"/>
  <sheetViews>
    <sheetView showGridLines="0" zoomScale="75" zoomScaleNormal="75" workbookViewId="0">
      <selection activeCell="T14" sqref="S14:T14"/>
    </sheetView>
  </sheetViews>
  <sheetFormatPr baseColWidth="10" defaultRowHeight="14.4"/>
  <cols>
    <col min="1" max="1" width="2.6640625" customWidth="1"/>
    <col min="2" max="2" width="10.5546875" customWidth="1"/>
    <col min="3" max="3" width="31.33203125" customWidth="1"/>
    <col min="4" max="4" width="9.44140625" customWidth="1"/>
    <col min="5" max="5" width="16.33203125" customWidth="1"/>
    <col min="6" max="6" width="21.5546875" customWidth="1"/>
    <col min="7" max="7" width="16.21875" customWidth="1"/>
    <col min="8" max="8" width="11.77734375" customWidth="1"/>
    <col min="9" max="9" width="14.5546875" customWidth="1"/>
    <col min="10" max="10" width="10.88671875" customWidth="1"/>
    <col min="11" max="13" width="11.5546875" hidden="1" customWidth="1"/>
    <col min="14" max="14" width="14.6640625" hidden="1" customWidth="1"/>
    <col min="15" max="15" width="11.33203125" hidden="1" customWidth="1"/>
    <col min="16" max="16" width="8.77734375" hidden="1" customWidth="1"/>
    <col min="17" max="17" width="5.88671875" hidden="1" customWidth="1"/>
    <col min="18" max="18" width="24.109375" customWidth="1"/>
  </cols>
  <sheetData>
    <row r="1" spans="2:16" ht="15" thickBot="1"/>
    <row r="2" spans="2:16" ht="15" customHeight="1">
      <c r="B2" s="636" t="s">
        <v>106</v>
      </c>
      <c r="C2" s="637"/>
      <c r="D2" s="637"/>
      <c r="E2" s="637"/>
      <c r="F2" s="637"/>
      <c r="G2" s="637"/>
      <c r="H2" s="637"/>
      <c r="I2" s="637"/>
      <c r="J2" s="638"/>
      <c r="K2" s="34"/>
      <c r="L2" s="34"/>
      <c r="M2" s="34"/>
      <c r="N2" s="35"/>
    </row>
    <row r="3" spans="2:16" ht="16.2" thickBot="1">
      <c r="B3" s="639">
        <f>+'Resumen_Anch_Sard_Esp_XV-IV'!B2</f>
        <v>43656</v>
      </c>
      <c r="C3" s="640"/>
      <c r="D3" s="640"/>
      <c r="E3" s="640"/>
      <c r="F3" s="640"/>
      <c r="G3" s="640"/>
      <c r="H3" s="640"/>
      <c r="I3" s="640"/>
      <c r="J3" s="641"/>
      <c r="K3" s="36"/>
      <c r="L3" s="36"/>
      <c r="M3" s="36"/>
      <c r="N3" s="37"/>
    </row>
    <row r="4" spans="2:16" s="45" customFormat="1" ht="16.2" thickBot="1">
      <c r="B4" s="47"/>
      <c r="C4" s="48"/>
      <c r="D4" s="48"/>
      <c r="E4" s="48"/>
      <c r="F4" s="48"/>
      <c r="G4" s="48"/>
      <c r="H4" s="48"/>
      <c r="I4" s="48"/>
      <c r="J4" s="49"/>
      <c r="K4" s="50"/>
      <c r="L4" s="50"/>
      <c r="M4" s="50"/>
      <c r="N4" s="51"/>
    </row>
    <row r="5" spans="2:16" ht="44.4" customHeight="1" thickBot="1">
      <c r="B5" s="291" t="s">
        <v>0</v>
      </c>
      <c r="C5" s="291" t="s">
        <v>1</v>
      </c>
      <c r="D5" s="292" t="s">
        <v>2</v>
      </c>
      <c r="E5" s="293" t="s">
        <v>3</v>
      </c>
      <c r="F5" s="294" t="s">
        <v>4</v>
      </c>
      <c r="G5" s="295" t="s">
        <v>5</v>
      </c>
      <c r="H5" s="296" t="s">
        <v>6</v>
      </c>
      <c r="I5" s="297" t="s">
        <v>7</v>
      </c>
      <c r="J5" s="298" t="s">
        <v>8</v>
      </c>
      <c r="K5" s="44" t="s">
        <v>9</v>
      </c>
      <c r="L5" s="1" t="s">
        <v>4</v>
      </c>
      <c r="M5" s="1" t="s">
        <v>5</v>
      </c>
      <c r="N5" s="1" t="s">
        <v>6</v>
      </c>
      <c r="O5" s="1" t="s">
        <v>7</v>
      </c>
      <c r="P5" s="1" t="s">
        <v>8</v>
      </c>
    </row>
    <row r="6" spans="2:16" s="54" customFormat="1" ht="10.95" customHeight="1">
      <c r="B6" s="623" t="s">
        <v>10</v>
      </c>
      <c r="C6" s="634" t="s">
        <v>77</v>
      </c>
      <c r="D6" s="52" t="s">
        <v>11</v>
      </c>
      <c r="E6" s="109">
        <f>3189.201+707.862</f>
        <v>3897.0630000000001</v>
      </c>
      <c r="F6" s="110"/>
      <c r="G6" s="109">
        <f>E6+F6</f>
        <v>3897.0630000000001</v>
      </c>
      <c r="H6" s="111"/>
      <c r="I6" s="112">
        <f t="shared" ref="I6:I9" si="0">G6-H6</f>
        <v>3897.0630000000001</v>
      </c>
      <c r="J6" s="113">
        <v>0</v>
      </c>
      <c r="K6" s="635">
        <f>E6+E7</f>
        <v>5196.0789999999997</v>
      </c>
      <c r="L6" s="630">
        <f>F6+F7</f>
        <v>0</v>
      </c>
      <c r="M6" s="630">
        <f>K6+L6</f>
        <v>5196.0789999999997</v>
      </c>
      <c r="N6" s="630">
        <f>H6+H7</f>
        <v>0</v>
      </c>
      <c r="O6" s="630">
        <f>M6-N6</f>
        <v>5196.0789999999997</v>
      </c>
      <c r="P6" s="631">
        <v>0</v>
      </c>
    </row>
    <row r="7" spans="2:16" s="54" customFormat="1" ht="10.95" customHeight="1">
      <c r="B7" s="623"/>
      <c r="C7" s="633"/>
      <c r="D7" s="55" t="s">
        <v>12</v>
      </c>
      <c r="E7" s="114">
        <f>1063.063+235.953</f>
        <v>1299.0160000000001</v>
      </c>
      <c r="F7" s="115"/>
      <c r="G7" s="116">
        <f>E7+F7+I6</f>
        <v>5196.0789999999997</v>
      </c>
      <c r="H7" s="117"/>
      <c r="I7" s="116">
        <f t="shared" si="0"/>
        <v>5196.0789999999997</v>
      </c>
      <c r="J7" s="118">
        <v>0</v>
      </c>
      <c r="K7" s="626"/>
      <c r="L7" s="616"/>
      <c r="M7" s="616"/>
      <c r="N7" s="616"/>
      <c r="O7" s="616"/>
      <c r="P7" s="618"/>
    </row>
    <row r="8" spans="2:16" s="54" customFormat="1" ht="10.95" customHeight="1">
      <c r="B8" s="623"/>
      <c r="C8" s="632" t="s">
        <v>73</v>
      </c>
      <c r="D8" s="57" t="s">
        <v>11</v>
      </c>
      <c r="E8" s="119">
        <f>88488.46+5662.896</f>
        <v>94151.356</v>
      </c>
      <c r="F8" s="120"/>
      <c r="G8" s="119">
        <f>E8+F8</f>
        <v>94151.356</v>
      </c>
      <c r="H8" s="509">
        <v>53035.915000000001</v>
      </c>
      <c r="I8" s="121">
        <f t="shared" si="0"/>
        <v>41115.440999999999</v>
      </c>
      <c r="J8" s="118">
        <f t="shared" ref="J8:J32" si="1">H8/G8</f>
        <v>0.5633048450199698</v>
      </c>
      <c r="K8" s="626">
        <f>E8+E9</f>
        <v>125535.008</v>
      </c>
      <c r="L8" s="616">
        <f>F8+F9</f>
        <v>0</v>
      </c>
      <c r="M8" s="616">
        <f>K8+L8</f>
        <v>125535.008</v>
      </c>
      <c r="N8" s="616">
        <f>H8+H9</f>
        <v>53035.915000000001</v>
      </c>
      <c r="O8" s="616">
        <f>M8-N8</f>
        <v>72499.092999999993</v>
      </c>
      <c r="P8" s="618">
        <f>N8/M8</f>
        <v>0.42247908248828886</v>
      </c>
    </row>
    <row r="9" spans="2:16" s="54" customFormat="1" ht="10.95" customHeight="1">
      <c r="B9" s="623"/>
      <c r="C9" s="633"/>
      <c r="D9" s="55" t="s">
        <v>12</v>
      </c>
      <c r="E9" s="114">
        <f>29496.028+1887.624</f>
        <v>31383.651999999998</v>
      </c>
      <c r="F9" s="122"/>
      <c r="G9" s="116">
        <f>E9+F9+I8</f>
        <v>72499.092999999993</v>
      </c>
      <c r="H9" s="117"/>
      <c r="I9" s="116">
        <f t="shared" si="0"/>
        <v>72499.092999999993</v>
      </c>
      <c r="J9" s="118">
        <f t="shared" si="1"/>
        <v>0</v>
      </c>
      <c r="K9" s="626"/>
      <c r="L9" s="616"/>
      <c r="M9" s="616"/>
      <c r="N9" s="616"/>
      <c r="O9" s="616"/>
      <c r="P9" s="618"/>
    </row>
    <row r="10" spans="2:16" s="54" customFormat="1" ht="10.95" customHeight="1">
      <c r="B10" s="623"/>
      <c r="C10" s="632" t="s">
        <v>80</v>
      </c>
      <c r="D10" s="57" t="s">
        <v>11</v>
      </c>
      <c r="E10" s="119">
        <f>5662.896+3775.264</f>
        <v>9438.16</v>
      </c>
      <c r="F10" s="209">
        <v>-943.81500000000005</v>
      </c>
      <c r="G10" s="119">
        <f>E10+F10</f>
        <v>8494.3449999999993</v>
      </c>
      <c r="H10" s="111"/>
      <c r="I10" s="121">
        <f t="shared" ref="I10:I11" si="2">G10-H10</f>
        <v>8494.3449999999993</v>
      </c>
      <c r="J10" s="118">
        <f t="shared" ref="J10:J11" si="3">H10/G10</f>
        <v>0</v>
      </c>
      <c r="K10" s="626">
        <f>E10+E11</f>
        <v>12584.2</v>
      </c>
      <c r="L10" s="616">
        <f>F10+F11</f>
        <v>-943.81500000000005</v>
      </c>
      <c r="M10" s="616">
        <f>K10+L10</f>
        <v>11640.385</v>
      </c>
      <c r="N10" s="616">
        <f>H10+H11</f>
        <v>0</v>
      </c>
      <c r="O10" s="616">
        <f>M10-N10</f>
        <v>11640.385</v>
      </c>
      <c r="P10" s="618">
        <f>N10/M10</f>
        <v>0</v>
      </c>
    </row>
    <row r="11" spans="2:16" s="54" customFormat="1" ht="10.95" customHeight="1">
      <c r="B11" s="623"/>
      <c r="C11" s="633"/>
      <c r="D11" s="55" t="s">
        <v>12</v>
      </c>
      <c r="E11" s="114">
        <f>1887.624+1258.416</f>
        <v>3146.04</v>
      </c>
      <c r="F11" s="122"/>
      <c r="G11" s="116">
        <f>E11+F11+I10</f>
        <v>11640.384999999998</v>
      </c>
      <c r="H11" s="117"/>
      <c r="I11" s="116">
        <f t="shared" si="2"/>
        <v>11640.384999999998</v>
      </c>
      <c r="J11" s="118">
        <f t="shared" si="3"/>
        <v>0</v>
      </c>
      <c r="K11" s="626"/>
      <c r="L11" s="616"/>
      <c r="M11" s="616"/>
      <c r="N11" s="616"/>
      <c r="O11" s="616"/>
      <c r="P11" s="618"/>
    </row>
    <row r="12" spans="2:16" s="54" customFormat="1" ht="10.95" customHeight="1">
      <c r="B12" s="623"/>
      <c r="C12" s="628" t="s">
        <v>79</v>
      </c>
      <c r="D12" s="57" t="s">
        <v>11</v>
      </c>
      <c r="E12" s="119">
        <f>2359.54+471.908+4247.172+707.862</f>
        <v>7786.4819999999991</v>
      </c>
      <c r="F12" s="120"/>
      <c r="G12" s="119">
        <f>E12+F12</f>
        <v>7786.4819999999991</v>
      </c>
      <c r="H12" s="111"/>
      <c r="I12" s="121">
        <f t="shared" ref="I12:I13" si="4">G12-H12</f>
        <v>7786.4819999999991</v>
      </c>
      <c r="J12" s="118">
        <f t="shared" ref="J12:J13" si="5">H12/G12</f>
        <v>0</v>
      </c>
      <c r="K12" s="626">
        <f>E12+E13</f>
        <v>10381.965</v>
      </c>
      <c r="L12" s="616">
        <f>F12+F13</f>
        <v>0</v>
      </c>
      <c r="M12" s="616">
        <f>K12+L12</f>
        <v>10381.965</v>
      </c>
      <c r="N12" s="616">
        <f>H12+H13</f>
        <v>0</v>
      </c>
      <c r="O12" s="616">
        <f>M12-N12</f>
        <v>10381.965</v>
      </c>
      <c r="P12" s="618">
        <f>N12/M12</f>
        <v>0</v>
      </c>
    </row>
    <row r="13" spans="2:16" s="54" customFormat="1" ht="10.95" customHeight="1">
      <c r="B13" s="623"/>
      <c r="C13" s="629"/>
      <c r="D13" s="55" t="s">
        <v>12</v>
      </c>
      <c r="E13" s="114">
        <f>786.51+157.302+1415.718+235.953</f>
        <v>2595.4830000000002</v>
      </c>
      <c r="F13" s="122"/>
      <c r="G13" s="116">
        <f>E13+F13+I12</f>
        <v>10381.965</v>
      </c>
      <c r="H13" s="117"/>
      <c r="I13" s="116">
        <f t="shared" si="4"/>
        <v>10381.965</v>
      </c>
      <c r="J13" s="118">
        <f t="shared" si="5"/>
        <v>0</v>
      </c>
      <c r="K13" s="626"/>
      <c r="L13" s="616"/>
      <c r="M13" s="616"/>
      <c r="N13" s="616"/>
      <c r="O13" s="616"/>
      <c r="P13" s="618"/>
    </row>
    <row r="14" spans="2:16" s="54" customFormat="1" ht="10.95" customHeight="1">
      <c r="B14" s="623"/>
      <c r="C14" s="624" t="s">
        <v>78</v>
      </c>
      <c r="D14" s="57" t="s">
        <v>11</v>
      </c>
      <c r="E14" s="109">
        <v>356634.93800000002</v>
      </c>
      <c r="F14" s="202">
        <f>-12000-15000</f>
        <v>-27000</v>
      </c>
      <c r="G14" s="109">
        <f>E14+F14</f>
        <v>329634.93800000002</v>
      </c>
      <c r="H14" s="722">
        <v>225775.37499999997</v>
      </c>
      <c r="I14" s="112">
        <f>G14-H14</f>
        <v>103859.56300000005</v>
      </c>
      <c r="J14" s="118">
        <f t="shared" si="1"/>
        <v>0.68492550082782777</v>
      </c>
      <c r="K14" s="626">
        <f>E14+E15</f>
        <v>475512.74700000003</v>
      </c>
      <c r="L14" s="616">
        <f>F14+F15</f>
        <v>-27000</v>
      </c>
      <c r="M14" s="616">
        <f>K14+L14</f>
        <v>448512.74700000003</v>
      </c>
      <c r="N14" s="616">
        <f>H14+H15</f>
        <v>225775.37499999997</v>
      </c>
      <c r="O14" s="616">
        <f>M14-N14</f>
        <v>222737.37200000006</v>
      </c>
      <c r="P14" s="618">
        <f>N14/M14</f>
        <v>0.50338675212724771</v>
      </c>
    </row>
    <row r="15" spans="2:16" s="54" customFormat="1" ht="10.95" customHeight="1" thickBot="1">
      <c r="B15" s="623"/>
      <c r="C15" s="625"/>
      <c r="D15" s="52" t="s">
        <v>12</v>
      </c>
      <c r="E15" s="109">
        <v>118877.80899999999</v>
      </c>
      <c r="F15" s="110"/>
      <c r="G15" s="112">
        <f>I14+E15+F15</f>
        <v>222737.37200000003</v>
      </c>
      <c r="H15" s="117"/>
      <c r="I15" s="112">
        <f>G15-H15</f>
        <v>222737.37200000003</v>
      </c>
      <c r="J15" s="118">
        <f t="shared" si="1"/>
        <v>0</v>
      </c>
      <c r="K15" s="627"/>
      <c r="L15" s="617"/>
      <c r="M15" s="617"/>
      <c r="N15" s="617"/>
      <c r="O15" s="617"/>
      <c r="P15" s="619"/>
    </row>
    <row r="16" spans="2:16" s="60" customFormat="1" ht="10.95" customHeight="1" thickBot="1">
      <c r="B16" s="642" t="s">
        <v>105</v>
      </c>
      <c r="C16" s="643"/>
      <c r="D16" s="643"/>
      <c r="E16" s="388">
        <f>SUM(E6:E15)</f>
        <v>629209.99900000007</v>
      </c>
      <c r="F16" s="359">
        <f>SUM(F6:F15)</f>
        <v>-27943.814999999999</v>
      </c>
      <c r="G16" s="302">
        <f>+E16+F16</f>
        <v>601266.18400000012</v>
      </c>
      <c r="H16" s="360">
        <f>SUM(H6:H15)</f>
        <v>278811.28999999998</v>
      </c>
      <c r="I16" s="362">
        <f>G16-H16</f>
        <v>322454.89400000015</v>
      </c>
      <c r="J16" s="361">
        <f>H16/G16</f>
        <v>0.4637069195296703</v>
      </c>
      <c r="K16" s="58">
        <f>SUM(K6:K15)</f>
        <v>629209.99900000007</v>
      </c>
      <c r="L16" s="58">
        <f>SUM(L6:L15)</f>
        <v>-27943.814999999999</v>
      </c>
      <c r="M16" s="58">
        <f>+K16+L16</f>
        <v>601266.18400000012</v>
      </c>
      <c r="N16" s="58">
        <f>SUM(N6:N15)</f>
        <v>278811.28999999998</v>
      </c>
      <c r="O16" s="58">
        <f>SUM(O6:O15)</f>
        <v>322454.89400000003</v>
      </c>
      <c r="P16" s="59">
        <f>N16/M16</f>
        <v>0.4637069195296703</v>
      </c>
    </row>
    <row r="17" spans="2:17" s="60" customFormat="1" ht="10.95" customHeight="1">
      <c r="B17" s="61"/>
      <c r="C17" s="61"/>
      <c r="D17" s="61"/>
      <c r="E17" s="109"/>
      <c r="F17" s="109"/>
      <c r="G17" s="109"/>
      <c r="H17" s="109"/>
      <c r="I17" s="109"/>
      <c r="J17" s="109"/>
      <c r="K17" s="61"/>
      <c r="L17" s="61"/>
      <c r="M17" s="61"/>
      <c r="N17" s="61"/>
      <c r="O17" s="61"/>
      <c r="P17" s="61"/>
    </row>
    <row r="18" spans="2:17" s="54" customFormat="1" ht="10.95" customHeight="1">
      <c r="B18" s="620" t="s">
        <v>13</v>
      </c>
      <c r="C18" s="223" t="s">
        <v>70</v>
      </c>
      <c r="D18" s="445" t="s">
        <v>14</v>
      </c>
      <c r="E18" s="495">
        <v>2124.5897651999999</v>
      </c>
      <c r="F18" s="466">
        <v>-1100</v>
      </c>
      <c r="G18" s="493">
        <f t="shared" ref="G18:G34" si="6">E18+F18</f>
        <v>1024.5897651999999</v>
      </c>
      <c r="H18" s="125"/>
      <c r="I18" s="126">
        <f>G18-H18</f>
        <v>1024.5897651999999</v>
      </c>
      <c r="J18" s="127">
        <f t="shared" si="1"/>
        <v>0</v>
      </c>
      <c r="K18" s="62"/>
      <c r="L18" s="62"/>
      <c r="M18" s="62"/>
      <c r="N18" s="62"/>
      <c r="O18" s="62"/>
      <c r="P18" s="62"/>
      <c r="Q18" s="497">
        <f>+F18/E18</f>
        <v>-0.51774701074889662</v>
      </c>
    </row>
    <row r="19" spans="2:17" s="54" customFormat="1" ht="10.95" customHeight="1">
      <c r="B19" s="620"/>
      <c r="C19" s="534" t="s">
        <v>71</v>
      </c>
      <c r="D19" s="529" t="s">
        <v>14</v>
      </c>
      <c r="E19" s="523">
        <v>15839.5403862</v>
      </c>
      <c r="F19" s="524">
        <f>-6937.234-1500-7402.3</f>
        <v>-15839.534</v>
      </c>
      <c r="G19" s="525">
        <f t="shared" si="6"/>
        <v>6.3862000006338349E-3</v>
      </c>
      <c r="H19" s="193"/>
      <c r="I19" s="536">
        <f t="shared" ref="I19:I32" si="7">G19-H19</f>
        <v>6.3862000006338349E-3</v>
      </c>
      <c r="J19" s="533">
        <v>0</v>
      </c>
      <c r="K19" s="62"/>
      <c r="L19" s="62"/>
      <c r="M19" s="62"/>
      <c r="N19" s="62"/>
      <c r="O19" s="62"/>
      <c r="P19" s="62"/>
      <c r="Q19" s="60"/>
    </row>
    <row r="20" spans="2:17" s="54" customFormat="1" ht="10.95" customHeight="1">
      <c r="B20" s="620"/>
      <c r="C20" s="223" t="s">
        <v>72</v>
      </c>
      <c r="D20" s="445" t="s">
        <v>14</v>
      </c>
      <c r="E20" s="495">
        <v>122.5570182</v>
      </c>
      <c r="F20" s="123"/>
      <c r="G20" s="493">
        <f t="shared" si="6"/>
        <v>122.5570182</v>
      </c>
      <c r="H20" s="125"/>
      <c r="I20" s="126">
        <f t="shared" si="7"/>
        <v>122.5570182</v>
      </c>
      <c r="J20" s="128">
        <f t="shared" si="1"/>
        <v>0</v>
      </c>
      <c r="K20" s="62"/>
      <c r="L20" s="62"/>
      <c r="M20" s="62"/>
      <c r="N20" s="62"/>
      <c r="O20" s="62"/>
      <c r="P20" s="62"/>
      <c r="Q20" s="497">
        <f t="shared" ref="Q20" si="8">+F20/E20</f>
        <v>0</v>
      </c>
    </row>
    <row r="21" spans="2:17" s="54" customFormat="1" ht="10.95" customHeight="1">
      <c r="B21" s="620"/>
      <c r="C21" s="223" t="s">
        <v>73</v>
      </c>
      <c r="D21" s="445" t="s">
        <v>14</v>
      </c>
      <c r="E21" s="495">
        <v>29.3473635</v>
      </c>
      <c r="F21" s="468"/>
      <c r="G21" s="493">
        <f>E21+F21</f>
        <v>29.3473635</v>
      </c>
      <c r="H21" s="125"/>
      <c r="I21" s="126">
        <f t="shared" si="7"/>
        <v>29.3473635</v>
      </c>
      <c r="J21" s="128">
        <f t="shared" si="1"/>
        <v>0</v>
      </c>
      <c r="K21" s="62"/>
      <c r="L21" s="62"/>
      <c r="M21" s="62"/>
      <c r="N21" s="62"/>
      <c r="O21" s="62"/>
      <c r="P21" s="62"/>
      <c r="Q21" s="60"/>
    </row>
    <row r="22" spans="2:17" s="54" customFormat="1" ht="10.95" customHeight="1">
      <c r="B22" s="620"/>
      <c r="C22" s="223" t="s">
        <v>15</v>
      </c>
      <c r="D22" s="445" t="s">
        <v>14</v>
      </c>
      <c r="E22" s="495">
        <v>368.47919790000003</v>
      </c>
      <c r="F22" s="466">
        <f>-184.113-173.011</f>
        <v>-357.12400000000002</v>
      </c>
      <c r="G22" s="493">
        <f t="shared" si="6"/>
        <v>11.355197900000007</v>
      </c>
      <c r="H22" s="125"/>
      <c r="I22" s="126">
        <f t="shared" si="7"/>
        <v>11.355197900000007</v>
      </c>
      <c r="J22" s="128">
        <v>0</v>
      </c>
      <c r="K22" s="62"/>
      <c r="L22" s="62"/>
      <c r="M22" s="62"/>
      <c r="N22" s="62"/>
      <c r="O22" s="62"/>
      <c r="P22" s="62"/>
      <c r="Q22" s="497">
        <f t="shared" ref="Q22" si="9">+F22/E22</f>
        <v>-0.96918361208797021</v>
      </c>
    </row>
    <row r="23" spans="2:17" s="54" customFormat="1" ht="10.95" customHeight="1">
      <c r="B23" s="620"/>
      <c r="C23" s="223" t="s">
        <v>74</v>
      </c>
      <c r="D23" s="445" t="s">
        <v>14</v>
      </c>
      <c r="E23" s="495">
        <v>15542.492709</v>
      </c>
      <c r="F23" s="466">
        <f>-8100-7400</f>
        <v>-15500</v>
      </c>
      <c r="G23" s="493">
        <f t="shared" si="6"/>
        <v>42.492709000000104</v>
      </c>
      <c r="H23" s="125"/>
      <c r="I23" s="126">
        <f t="shared" si="7"/>
        <v>42.492709000000104</v>
      </c>
      <c r="J23" s="128">
        <f t="shared" si="1"/>
        <v>0</v>
      </c>
      <c r="K23" s="62"/>
      <c r="L23" s="62"/>
      <c r="M23" s="62"/>
      <c r="N23" s="62"/>
      <c r="O23" s="62"/>
      <c r="P23" s="62"/>
      <c r="Q23" s="60"/>
    </row>
    <row r="24" spans="2:17" s="54" customFormat="1" ht="10.95" customHeight="1">
      <c r="B24" s="620"/>
      <c r="C24" s="223" t="s">
        <v>75</v>
      </c>
      <c r="D24" s="445" t="s">
        <v>14</v>
      </c>
      <c r="E24" s="495">
        <v>799.28787059999991</v>
      </c>
      <c r="F24" s="467">
        <f>-51.352-370.146</f>
        <v>-421.49799999999999</v>
      </c>
      <c r="G24" s="493">
        <f t="shared" si="6"/>
        <v>377.78987059999992</v>
      </c>
      <c r="H24" s="125"/>
      <c r="I24" s="126">
        <f t="shared" si="7"/>
        <v>377.78987059999992</v>
      </c>
      <c r="J24" s="128">
        <f t="shared" si="1"/>
        <v>0</v>
      </c>
      <c r="K24" s="62"/>
      <c r="L24" s="62"/>
      <c r="M24" s="62"/>
      <c r="N24" s="62"/>
      <c r="O24" s="62"/>
      <c r="P24" s="62"/>
      <c r="Q24" s="497">
        <f t="shared" ref="Q24" si="10">+F24/E24</f>
        <v>-0.52734191960600485</v>
      </c>
    </row>
    <row r="25" spans="2:17" s="54" customFormat="1" ht="10.95" customHeight="1">
      <c r="B25" s="620"/>
      <c r="C25" s="223" t="s">
        <v>76</v>
      </c>
      <c r="D25" s="445" t="s">
        <v>14</v>
      </c>
      <c r="E25" s="495">
        <v>3.5436893999999999</v>
      </c>
      <c r="F25" s="123"/>
      <c r="G25" s="493">
        <f t="shared" ref="G25:G29" si="11">E25+F25</f>
        <v>3.5436893999999999</v>
      </c>
      <c r="H25" s="125"/>
      <c r="I25" s="126">
        <f t="shared" ref="I25:I27" si="12">G25-H25</f>
        <v>3.5436893999999999</v>
      </c>
      <c r="J25" s="128">
        <f t="shared" ref="J25:J27" si="13">H25/G25</f>
        <v>0</v>
      </c>
      <c r="K25" s="62"/>
      <c r="L25" s="62"/>
      <c r="M25" s="62"/>
      <c r="N25" s="62"/>
      <c r="O25" s="62"/>
      <c r="P25" s="62"/>
      <c r="Q25" s="60"/>
    </row>
    <row r="26" spans="2:17" s="54" customFormat="1" ht="10.95" customHeight="1">
      <c r="B26" s="620"/>
      <c r="C26" s="534" t="s">
        <v>130</v>
      </c>
      <c r="D26" s="529" t="s">
        <v>14</v>
      </c>
      <c r="E26" s="523">
        <v>758.82000000000016</v>
      </c>
      <c r="F26" s="535">
        <f>-404.104-354.714</f>
        <v>-758.81799999999998</v>
      </c>
      <c r="G26" s="525">
        <f t="shared" si="11"/>
        <v>2.00000000018008E-3</v>
      </c>
      <c r="H26" s="193"/>
      <c r="I26" s="532">
        <f t="shared" si="12"/>
        <v>2.00000000018008E-3</v>
      </c>
      <c r="J26" s="533">
        <f t="shared" si="13"/>
        <v>0</v>
      </c>
      <c r="K26" s="62"/>
      <c r="L26" s="62"/>
      <c r="M26" s="62"/>
      <c r="N26" s="62"/>
      <c r="O26" s="62"/>
      <c r="P26" s="62"/>
      <c r="Q26" s="497">
        <f t="shared" ref="Q26" si="14">+F26/E26</f>
        <v>-0.99999736432882613</v>
      </c>
    </row>
    <row r="27" spans="2:17" s="54" customFormat="1" ht="10.95" customHeight="1">
      <c r="B27" s="620"/>
      <c r="C27" s="223" t="s">
        <v>16</v>
      </c>
      <c r="D27" s="445" t="s">
        <v>14</v>
      </c>
      <c r="E27" s="495">
        <v>227.64600000000002</v>
      </c>
      <c r="F27" s="123"/>
      <c r="G27" s="493">
        <f t="shared" si="11"/>
        <v>227.64600000000002</v>
      </c>
      <c r="H27" s="125"/>
      <c r="I27" s="126">
        <f t="shared" si="12"/>
        <v>227.64600000000002</v>
      </c>
      <c r="J27" s="127">
        <f t="shared" si="13"/>
        <v>0</v>
      </c>
      <c r="K27" s="62"/>
      <c r="L27" s="62"/>
      <c r="M27" s="62"/>
      <c r="N27" s="62"/>
      <c r="O27" s="62"/>
      <c r="P27" s="62"/>
      <c r="Q27" s="60"/>
    </row>
    <row r="28" spans="2:17" s="54" customFormat="1" ht="10.95" customHeight="1">
      <c r="B28" s="620"/>
      <c r="C28" s="223" t="s">
        <v>17</v>
      </c>
      <c r="D28" s="445" t="s">
        <v>14</v>
      </c>
      <c r="E28" s="495">
        <v>607.05600000000004</v>
      </c>
      <c r="F28" s="123"/>
      <c r="G28" s="493">
        <f t="shared" si="11"/>
        <v>607.05600000000004</v>
      </c>
      <c r="H28" s="129"/>
      <c r="I28" s="130">
        <f>G28-H28</f>
        <v>607.05600000000004</v>
      </c>
      <c r="J28" s="131">
        <f>H28/G28</f>
        <v>0</v>
      </c>
      <c r="K28" s="62"/>
      <c r="L28" s="62"/>
      <c r="M28" s="62"/>
      <c r="N28" s="62"/>
      <c r="O28" s="62"/>
      <c r="P28" s="62"/>
      <c r="Q28" s="497">
        <f t="shared" ref="Q28" si="15">+F28/E28</f>
        <v>0</v>
      </c>
    </row>
    <row r="29" spans="2:17" s="54" customFormat="1" ht="10.95" customHeight="1">
      <c r="B29" s="620"/>
      <c r="C29" s="223" t="s">
        <v>170</v>
      </c>
      <c r="D29" s="57" t="s">
        <v>14</v>
      </c>
      <c r="E29" s="496">
        <v>436.32150000000001</v>
      </c>
      <c r="F29" s="132"/>
      <c r="G29" s="494">
        <f t="shared" si="11"/>
        <v>436.32150000000001</v>
      </c>
      <c r="H29" s="125"/>
      <c r="I29" s="126">
        <f>G29-H29</f>
        <v>436.32150000000001</v>
      </c>
      <c r="J29" s="128">
        <v>0</v>
      </c>
      <c r="K29" s="62"/>
      <c r="L29" s="62"/>
      <c r="M29" s="62"/>
      <c r="N29" s="62"/>
      <c r="O29" s="62"/>
      <c r="P29" s="62"/>
      <c r="Q29" s="60"/>
    </row>
    <row r="30" spans="2:17" s="54" customFormat="1" ht="10.95" customHeight="1">
      <c r="B30" s="620"/>
      <c r="C30" s="570" t="s">
        <v>171</v>
      </c>
      <c r="D30" s="571" t="s">
        <v>14</v>
      </c>
      <c r="E30" s="572">
        <v>284.5575</v>
      </c>
      <c r="F30" s="578">
        <v>-284.55900000000003</v>
      </c>
      <c r="G30" s="574">
        <f t="shared" si="6"/>
        <v>-1.5000000000213731E-3</v>
      </c>
      <c r="H30" s="575"/>
      <c r="I30" s="576">
        <f t="shared" si="7"/>
        <v>-1.5000000000213731E-3</v>
      </c>
      <c r="J30" s="579">
        <f t="shared" si="1"/>
        <v>0</v>
      </c>
      <c r="K30" s="62"/>
      <c r="L30" s="62"/>
      <c r="M30" s="62"/>
      <c r="N30" s="62"/>
      <c r="O30" s="62"/>
      <c r="P30" s="62"/>
      <c r="Q30" s="497">
        <f t="shared" ref="Q30" si="16">+F30/E30</f>
        <v>-1.0000052713423475</v>
      </c>
    </row>
    <row r="31" spans="2:17" s="54" customFormat="1" ht="10.95" customHeight="1">
      <c r="B31" s="620"/>
      <c r="C31" s="346" t="s">
        <v>172</v>
      </c>
      <c r="D31" s="57" t="s">
        <v>14</v>
      </c>
      <c r="E31" s="495">
        <v>94.852500000000006</v>
      </c>
      <c r="F31" s="208"/>
      <c r="G31" s="493">
        <f t="shared" si="6"/>
        <v>94.852500000000006</v>
      </c>
      <c r="H31" s="125"/>
      <c r="I31" s="126">
        <f t="shared" si="7"/>
        <v>94.852500000000006</v>
      </c>
      <c r="J31" s="128">
        <f t="shared" si="1"/>
        <v>0</v>
      </c>
      <c r="K31" s="62"/>
      <c r="L31" s="62"/>
      <c r="M31" s="62"/>
      <c r="N31" s="62"/>
      <c r="O31" s="62"/>
      <c r="P31" s="62"/>
      <c r="Q31" s="60"/>
    </row>
    <row r="32" spans="2:17" s="54" customFormat="1" ht="10.95" customHeight="1">
      <c r="B32" s="620"/>
      <c r="C32" s="570" t="s">
        <v>173</v>
      </c>
      <c r="D32" s="571" t="s">
        <v>14</v>
      </c>
      <c r="E32" s="572">
        <v>398.38050000000004</v>
      </c>
      <c r="F32" s="573">
        <f>-209.48-188.186</f>
        <v>-397.666</v>
      </c>
      <c r="G32" s="574">
        <f t="shared" si="6"/>
        <v>0.71450000000004366</v>
      </c>
      <c r="H32" s="575"/>
      <c r="I32" s="576">
        <f t="shared" si="7"/>
        <v>0.71450000000004366</v>
      </c>
      <c r="J32" s="577">
        <f t="shared" si="1"/>
        <v>0</v>
      </c>
      <c r="K32" s="62"/>
      <c r="L32" s="62"/>
      <c r="M32" s="62"/>
      <c r="N32" s="62"/>
      <c r="O32" s="62"/>
      <c r="P32" s="62"/>
      <c r="Q32" s="497">
        <f t="shared" ref="Q32" si="17">+F32/E32</f>
        <v>-0.99820648852039684</v>
      </c>
    </row>
    <row r="33" spans="2:17" s="54" customFormat="1" ht="10.95" customHeight="1">
      <c r="B33" s="620"/>
      <c r="C33" s="521" t="s">
        <v>174</v>
      </c>
      <c r="D33" s="522" t="s">
        <v>14</v>
      </c>
      <c r="E33" s="523">
        <v>151.76400000000001</v>
      </c>
      <c r="F33" s="524">
        <v>-151.76400000000001</v>
      </c>
      <c r="G33" s="525">
        <f t="shared" si="6"/>
        <v>0</v>
      </c>
      <c r="H33" s="526"/>
      <c r="I33" s="527">
        <f>G33-H33</f>
        <v>0</v>
      </c>
      <c r="J33" s="528">
        <v>0</v>
      </c>
      <c r="K33" s="62"/>
      <c r="L33" s="62"/>
      <c r="M33" s="62"/>
      <c r="N33" s="62"/>
      <c r="O33" s="62"/>
      <c r="P33" s="62"/>
      <c r="Q33" s="60"/>
    </row>
    <row r="34" spans="2:17" s="54" customFormat="1" ht="10.95" customHeight="1">
      <c r="B34" s="621"/>
      <c r="C34" s="521" t="s">
        <v>175</v>
      </c>
      <c r="D34" s="529" t="s">
        <v>14</v>
      </c>
      <c r="E34" s="530">
        <v>151.76400000000001</v>
      </c>
      <c r="F34" s="524">
        <v>-151.76400000000001</v>
      </c>
      <c r="G34" s="531">
        <f t="shared" si="6"/>
        <v>0</v>
      </c>
      <c r="H34" s="193"/>
      <c r="I34" s="532">
        <f>G34-H34</f>
        <v>0</v>
      </c>
      <c r="J34" s="533">
        <v>0</v>
      </c>
      <c r="K34" s="62"/>
      <c r="L34" s="62"/>
      <c r="M34" s="62"/>
      <c r="N34" s="62"/>
      <c r="O34" s="62"/>
      <c r="P34" s="62"/>
      <c r="Q34" s="497">
        <f t="shared" ref="Q34" si="18">+F34/E34</f>
        <v>-1</v>
      </c>
    </row>
    <row r="35" spans="2:17" s="60" customFormat="1" ht="10.95" customHeight="1">
      <c r="B35" s="644" t="s">
        <v>13</v>
      </c>
      <c r="C35" s="645"/>
      <c r="D35" s="645"/>
      <c r="E35" s="358">
        <f>SUM(E18:E34)</f>
        <v>37941.000000000007</v>
      </c>
      <c r="F35" s="492">
        <f>SUM(F18:F34)</f>
        <v>-34962.726999999999</v>
      </c>
      <c r="G35" s="302">
        <f>+E35+F35</f>
        <v>2978.2730000000083</v>
      </c>
      <c r="H35" s="360">
        <f>SUM(H18:H34)</f>
        <v>0</v>
      </c>
      <c r="I35" s="302">
        <f>+G35-H35</f>
        <v>2978.2730000000083</v>
      </c>
      <c r="J35" s="361">
        <f>H35/G35</f>
        <v>0</v>
      </c>
      <c r="K35" s="61"/>
      <c r="L35" s="61"/>
      <c r="M35" s="61"/>
      <c r="N35" s="61"/>
      <c r="O35" s="61"/>
      <c r="P35" s="61"/>
    </row>
    <row r="36" spans="2:17" s="60" customFormat="1" ht="10.95" customHeight="1" thickBot="1">
      <c r="B36" s="63"/>
      <c r="C36" s="63"/>
      <c r="D36" s="63"/>
      <c r="E36" s="109"/>
      <c r="F36" s="109"/>
      <c r="G36" s="109"/>
      <c r="H36" s="109"/>
      <c r="I36" s="109"/>
      <c r="J36" s="134"/>
      <c r="K36" s="61"/>
      <c r="L36" s="61"/>
      <c r="M36" s="61"/>
      <c r="N36" s="61"/>
      <c r="O36" s="61"/>
      <c r="P36" s="61"/>
    </row>
    <row r="37" spans="2:17" s="54" customFormat="1" ht="10.95" customHeight="1">
      <c r="B37" s="593" t="s">
        <v>18</v>
      </c>
      <c r="C37" s="604" t="s">
        <v>81</v>
      </c>
      <c r="D37" s="64" t="s">
        <v>11</v>
      </c>
      <c r="E37" s="133">
        <v>3.661</v>
      </c>
      <c r="F37" s="132"/>
      <c r="G37" s="133">
        <f>E37+F37</f>
        <v>3.661</v>
      </c>
      <c r="H37" s="111"/>
      <c r="I37" s="126">
        <f t="shared" ref="I37:I42" si="19">G37-H37</f>
        <v>3.661</v>
      </c>
      <c r="J37" s="128">
        <f t="shared" ref="J37:J52" si="20">H37/G37</f>
        <v>0</v>
      </c>
      <c r="K37" s="622">
        <f>E37+E38</f>
        <v>4.88</v>
      </c>
      <c r="L37" s="610">
        <f>F37+F38</f>
        <v>0</v>
      </c>
      <c r="M37" s="610">
        <f>K37+L37</f>
        <v>4.88</v>
      </c>
      <c r="N37" s="610">
        <f>H37+H38</f>
        <v>0</v>
      </c>
      <c r="O37" s="610">
        <f>M37-N37</f>
        <v>4.88</v>
      </c>
      <c r="P37" s="612">
        <f>N37/M37</f>
        <v>0</v>
      </c>
    </row>
    <row r="38" spans="2:17" s="54" customFormat="1" ht="10.95" customHeight="1">
      <c r="B38" s="594"/>
      <c r="C38" s="614"/>
      <c r="D38" s="56" t="s">
        <v>12</v>
      </c>
      <c r="E38" s="135">
        <v>1.2190000000000001</v>
      </c>
      <c r="F38" s="136"/>
      <c r="G38" s="137">
        <f>E38+F38+I37</f>
        <v>4.88</v>
      </c>
      <c r="H38" s="117"/>
      <c r="I38" s="138">
        <f t="shared" si="19"/>
        <v>4.88</v>
      </c>
      <c r="J38" s="128">
        <f t="shared" si="20"/>
        <v>0</v>
      </c>
      <c r="K38" s="615"/>
      <c r="L38" s="611"/>
      <c r="M38" s="611"/>
      <c r="N38" s="611"/>
      <c r="O38" s="611"/>
      <c r="P38" s="613"/>
    </row>
    <row r="39" spans="2:17" s="54" customFormat="1" ht="10.95" customHeight="1">
      <c r="B39" s="594"/>
      <c r="C39" s="604" t="s">
        <v>82</v>
      </c>
      <c r="D39" s="64" t="s">
        <v>11</v>
      </c>
      <c r="E39" s="133">
        <v>234.869</v>
      </c>
      <c r="F39" s="132"/>
      <c r="G39" s="133">
        <f>E39+F39</f>
        <v>234.869</v>
      </c>
      <c r="H39" s="132"/>
      <c r="I39" s="126">
        <f t="shared" si="19"/>
        <v>234.869</v>
      </c>
      <c r="J39" s="128">
        <f t="shared" si="20"/>
        <v>0</v>
      </c>
      <c r="K39" s="606">
        <f>E39+E40</f>
        <v>313.08799999999997</v>
      </c>
      <c r="L39" s="608">
        <f>F39+F40</f>
        <v>0</v>
      </c>
      <c r="M39" s="608">
        <f>K39+L39</f>
        <v>313.08799999999997</v>
      </c>
      <c r="N39" s="608">
        <f>H39+H40</f>
        <v>0</v>
      </c>
      <c r="O39" s="608">
        <f>M39-N39</f>
        <v>313.08799999999997</v>
      </c>
      <c r="P39" s="602">
        <f>N39/M39</f>
        <v>0</v>
      </c>
    </row>
    <row r="40" spans="2:17" s="54" customFormat="1" ht="10.95" customHeight="1">
      <c r="B40" s="594"/>
      <c r="C40" s="614"/>
      <c r="D40" s="56" t="s">
        <v>12</v>
      </c>
      <c r="E40" s="139">
        <v>78.218999999999994</v>
      </c>
      <c r="F40" s="136"/>
      <c r="G40" s="137">
        <f>E40+F40+I39</f>
        <v>313.08799999999997</v>
      </c>
      <c r="H40" s="140"/>
      <c r="I40" s="138">
        <f t="shared" si="19"/>
        <v>313.08799999999997</v>
      </c>
      <c r="J40" s="128">
        <f t="shared" si="20"/>
        <v>0</v>
      </c>
      <c r="K40" s="615"/>
      <c r="L40" s="611"/>
      <c r="M40" s="611"/>
      <c r="N40" s="611"/>
      <c r="O40" s="611"/>
      <c r="P40" s="613"/>
    </row>
    <row r="41" spans="2:17" s="54" customFormat="1" ht="10.95" customHeight="1">
      <c r="B41" s="594"/>
      <c r="C41" s="604" t="s">
        <v>83</v>
      </c>
      <c r="D41" s="64" t="s">
        <v>11</v>
      </c>
      <c r="E41" s="133">
        <v>875.47</v>
      </c>
      <c r="F41" s="132"/>
      <c r="G41" s="133">
        <f>E41+F41</f>
        <v>875.47</v>
      </c>
      <c r="H41" s="509">
        <v>6.1909999999999989</v>
      </c>
      <c r="I41" s="126">
        <f t="shared" si="19"/>
        <v>869.279</v>
      </c>
      <c r="J41" s="128">
        <f t="shared" si="20"/>
        <v>7.0716300958342361E-3</v>
      </c>
      <c r="K41" s="606">
        <f>E41+E42</f>
        <v>1167.0309999999999</v>
      </c>
      <c r="L41" s="608">
        <f>F41+F42</f>
        <v>0</v>
      </c>
      <c r="M41" s="608">
        <f>K41+L41</f>
        <v>1167.0309999999999</v>
      </c>
      <c r="N41" s="608">
        <f>H41+H42</f>
        <v>6.1909999999999989</v>
      </c>
      <c r="O41" s="608">
        <f>M41-N41</f>
        <v>1160.8399999999999</v>
      </c>
      <c r="P41" s="602">
        <f>N41/M41</f>
        <v>5.3049147794702965E-3</v>
      </c>
    </row>
    <row r="42" spans="2:17" s="54" customFormat="1" ht="10.95" customHeight="1" thickBot="1">
      <c r="B42" s="595"/>
      <c r="C42" s="605"/>
      <c r="D42" s="56" t="s">
        <v>12</v>
      </c>
      <c r="E42" s="141">
        <v>291.56099999999998</v>
      </c>
      <c r="F42" s="142"/>
      <c r="G42" s="143">
        <f>E42+F42+I41</f>
        <v>1160.8399999999999</v>
      </c>
      <c r="H42" s="117"/>
      <c r="I42" s="130">
        <f t="shared" si="19"/>
        <v>1160.8399999999999</v>
      </c>
      <c r="J42" s="144">
        <f t="shared" si="20"/>
        <v>0</v>
      </c>
      <c r="K42" s="607"/>
      <c r="L42" s="609"/>
      <c r="M42" s="609"/>
      <c r="N42" s="609"/>
      <c r="O42" s="609"/>
      <c r="P42" s="603"/>
    </row>
    <row r="43" spans="2:17" s="60" customFormat="1" ht="10.95" customHeight="1" thickBot="1">
      <c r="B43" s="646" t="s">
        <v>18</v>
      </c>
      <c r="C43" s="647"/>
      <c r="D43" s="648"/>
      <c r="E43" s="145">
        <f>SUM(E37:E42)</f>
        <v>1484.999</v>
      </c>
      <c r="F43" s="146">
        <f>SUM(F37:F42)</f>
        <v>0</v>
      </c>
      <c r="G43" s="147">
        <f>G37+G38+G39+G40+G41+G42</f>
        <v>2592.808</v>
      </c>
      <c r="H43" s="148">
        <f>SUM(H37:H42)</f>
        <v>6.1909999999999989</v>
      </c>
      <c r="I43" s="149">
        <f>+G43-H43</f>
        <v>2586.6170000000002</v>
      </c>
      <c r="J43" s="150">
        <f>H43/G43</f>
        <v>2.3877587542155067E-3</v>
      </c>
      <c r="K43" s="58">
        <f>SUM(K37:K42)</f>
        <v>1484.9989999999998</v>
      </c>
      <c r="L43" s="58">
        <f>SUM(L37:L42)</f>
        <v>0</v>
      </c>
      <c r="M43" s="58">
        <f>+K43+L43</f>
        <v>1484.9989999999998</v>
      </c>
      <c r="N43" s="58">
        <f>SUM(N37:N42)</f>
        <v>6.1909999999999989</v>
      </c>
      <c r="O43" s="58">
        <f>+M43-N43</f>
        <v>1478.8079999999998</v>
      </c>
      <c r="P43" s="59">
        <f>N43/M43</f>
        <v>4.1690263764487378E-3</v>
      </c>
    </row>
    <row r="44" spans="2:17" s="60" customFormat="1" ht="10.95" customHeight="1">
      <c r="B44" s="61"/>
      <c r="C44" s="65"/>
      <c r="D44" s="61"/>
      <c r="E44" s="151"/>
      <c r="F44" s="151"/>
      <c r="G44" s="151"/>
      <c r="H44" s="151"/>
      <c r="I44" s="152"/>
      <c r="J44" s="134"/>
      <c r="K44" s="53"/>
      <c r="L44" s="61"/>
      <c r="M44" s="61"/>
      <c r="N44" s="61"/>
      <c r="O44" s="61"/>
      <c r="P44" s="61"/>
    </row>
    <row r="45" spans="2:17" s="54" customFormat="1" ht="10.95" customHeight="1">
      <c r="B45" s="593" t="s">
        <v>19</v>
      </c>
      <c r="C45" s="446" t="s">
        <v>84</v>
      </c>
      <c r="D45" s="66" t="s">
        <v>14</v>
      </c>
      <c r="E45" s="133">
        <v>119.553</v>
      </c>
      <c r="F45" s="132"/>
      <c r="G45" s="133">
        <f t="shared" ref="G45:G53" si="21">E45+F45</f>
        <v>119.553</v>
      </c>
      <c r="H45" s="193"/>
      <c r="I45" s="126">
        <f>G45-H45</f>
        <v>119.553</v>
      </c>
      <c r="J45" s="127">
        <f t="shared" si="20"/>
        <v>0</v>
      </c>
      <c r="K45" s="62"/>
      <c r="L45" s="62"/>
      <c r="M45" s="62"/>
      <c r="N45" s="62"/>
      <c r="O45" s="62"/>
      <c r="P45" s="62"/>
    </row>
    <row r="46" spans="2:17" s="54" customFormat="1" ht="10.95" customHeight="1">
      <c r="B46" s="594"/>
      <c r="C46" s="446" t="s">
        <v>71</v>
      </c>
      <c r="D46" s="66" t="s">
        <v>14</v>
      </c>
      <c r="E46" s="133">
        <v>520.51199999999994</v>
      </c>
      <c r="F46" s="132"/>
      <c r="G46" s="133">
        <f t="shared" si="21"/>
        <v>520.51199999999994</v>
      </c>
      <c r="H46" s="193"/>
      <c r="I46" s="126">
        <f t="shared" ref="I46:I53" si="22">G46-H46</f>
        <v>520.51199999999994</v>
      </c>
      <c r="J46" s="128">
        <f t="shared" si="20"/>
        <v>0</v>
      </c>
      <c r="K46" s="62"/>
      <c r="L46" s="62"/>
      <c r="M46" s="62"/>
      <c r="N46" s="62"/>
      <c r="O46" s="62"/>
      <c r="P46" s="62"/>
    </row>
    <row r="47" spans="2:17" s="54" customFormat="1" ht="10.95" customHeight="1">
      <c r="B47" s="594"/>
      <c r="C47" s="540" t="s">
        <v>16</v>
      </c>
      <c r="D47" s="537" t="s">
        <v>14</v>
      </c>
      <c r="E47" s="538">
        <v>8.7999999999999995E-2</v>
      </c>
      <c r="F47" s="193"/>
      <c r="G47" s="538">
        <f t="shared" si="21"/>
        <v>8.7999999999999995E-2</v>
      </c>
      <c r="H47" s="193"/>
      <c r="I47" s="532">
        <f t="shared" si="22"/>
        <v>8.7999999999999995E-2</v>
      </c>
      <c r="J47" s="533">
        <f t="shared" si="20"/>
        <v>0</v>
      </c>
      <c r="K47" s="62"/>
      <c r="L47" s="62"/>
      <c r="M47" s="62"/>
      <c r="N47" s="62"/>
      <c r="O47" s="62"/>
      <c r="P47" s="62"/>
    </row>
    <row r="48" spans="2:17" s="54" customFormat="1" ht="10.95" customHeight="1">
      <c r="B48" s="594"/>
      <c r="C48" s="446" t="s">
        <v>20</v>
      </c>
      <c r="D48" s="66" t="s">
        <v>14</v>
      </c>
      <c r="E48" s="153">
        <v>3.3519999999999999</v>
      </c>
      <c r="F48" s="123"/>
      <c r="G48" s="133">
        <f t="shared" si="21"/>
        <v>3.3519999999999999</v>
      </c>
      <c r="H48" s="193"/>
      <c r="I48" s="126">
        <f t="shared" si="22"/>
        <v>3.3519999999999999</v>
      </c>
      <c r="J48" s="128">
        <f t="shared" si="20"/>
        <v>0</v>
      </c>
      <c r="K48" s="62"/>
      <c r="L48" s="62"/>
      <c r="M48" s="62"/>
      <c r="N48" s="62"/>
      <c r="O48" s="62"/>
      <c r="P48" s="62"/>
    </row>
    <row r="49" spans="2:16" s="54" customFormat="1" ht="10.95" customHeight="1">
      <c r="B49" s="594"/>
      <c r="C49" s="223" t="s">
        <v>21</v>
      </c>
      <c r="D49" s="66" t="s">
        <v>14</v>
      </c>
      <c r="E49" s="133">
        <v>3.7890000000000001</v>
      </c>
      <c r="F49" s="437">
        <v>0</v>
      </c>
      <c r="G49" s="133">
        <f t="shared" si="21"/>
        <v>3.7890000000000001</v>
      </c>
      <c r="H49" s="193"/>
      <c r="I49" s="126">
        <f t="shared" si="22"/>
        <v>3.7890000000000001</v>
      </c>
      <c r="J49" s="128">
        <f t="shared" si="20"/>
        <v>0</v>
      </c>
      <c r="K49" s="62"/>
      <c r="L49" s="62"/>
      <c r="M49" s="62"/>
      <c r="N49" s="62"/>
      <c r="O49" s="62"/>
      <c r="P49" s="62"/>
    </row>
    <row r="50" spans="2:16" s="54" customFormat="1" ht="10.95" customHeight="1">
      <c r="B50" s="594"/>
      <c r="C50" s="534" t="s">
        <v>22</v>
      </c>
      <c r="D50" s="537" t="s">
        <v>14</v>
      </c>
      <c r="E50" s="538">
        <v>1.736</v>
      </c>
      <c r="F50" s="539">
        <f>-1.663</f>
        <v>-1.663</v>
      </c>
      <c r="G50" s="538">
        <f t="shared" si="21"/>
        <v>7.2999999999999954E-2</v>
      </c>
      <c r="H50" s="193"/>
      <c r="I50" s="532">
        <f t="shared" si="22"/>
        <v>7.2999999999999954E-2</v>
      </c>
      <c r="J50" s="533">
        <f t="shared" si="20"/>
        <v>0</v>
      </c>
      <c r="K50" s="62"/>
      <c r="L50" s="62"/>
      <c r="M50" s="62"/>
      <c r="N50" s="62"/>
      <c r="O50" s="62"/>
      <c r="P50" s="62"/>
    </row>
    <row r="51" spans="2:16" s="54" customFormat="1" ht="10.95" customHeight="1">
      <c r="B51" s="594"/>
      <c r="C51" s="223" t="s">
        <v>23</v>
      </c>
      <c r="D51" s="66" t="s">
        <v>14</v>
      </c>
      <c r="E51" s="133">
        <v>223.434</v>
      </c>
      <c r="F51" s="204">
        <f>-100-100</f>
        <v>-200</v>
      </c>
      <c r="G51" s="133">
        <f t="shared" si="21"/>
        <v>23.433999999999997</v>
      </c>
      <c r="H51" s="193"/>
      <c r="I51" s="126">
        <f t="shared" si="22"/>
        <v>23.433999999999997</v>
      </c>
      <c r="J51" s="128">
        <f t="shared" si="20"/>
        <v>0</v>
      </c>
      <c r="K51" s="62"/>
      <c r="L51" s="62"/>
      <c r="M51" s="62"/>
      <c r="N51" s="62"/>
      <c r="O51" s="62"/>
      <c r="P51" s="62"/>
    </row>
    <row r="52" spans="2:16" s="54" customFormat="1" ht="10.95" customHeight="1">
      <c r="B52" s="594"/>
      <c r="C52" s="223" t="s">
        <v>24</v>
      </c>
      <c r="D52" s="66" t="s">
        <v>14</v>
      </c>
      <c r="E52" s="153">
        <v>1.5129999999999999</v>
      </c>
      <c r="F52" s="132"/>
      <c r="G52" s="133">
        <f t="shared" si="21"/>
        <v>1.5129999999999999</v>
      </c>
      <c r="H52" s="193"/>
      <c r="I52" s="126">
        <f t="shared" si="22"/>
        <v>1.5129999999999999</v>
      </c>
      <c r="J52" s="128">
        <f t="shared" si="20"/>
        <v>0</v>
      </c>
      <c r="K52" s="62"/>
      <c r="L52" s="62"/>
      <c r="M52" s="62"/>
      <c r="N52" s="62"/>
      <c r="O52" s="62"/>
      <c r="P52" s="62"/>
    </row>
    <row r="53" spans="2:16" s="54" customFormat="1" ht="10.95" customHeight="1">
      <c r="B53" s="595"/>
      <c r="C53" s="447" t="s">
        <v>25</v>
      </c>
      <c r="D53" s="445" t="s">
        <v>14</v>
      </c>
      <c r="E53" s="154">
        <v>1.024</v>
      </c>
      <c r="F53" s="123"/>
      <c r="G53" s="124">
        <f t="shared" si="21"/>
        <v>1.024</v>
      </c>
      <c r="H53" s="194"/>
      <c r="I53" s="155">
        <f t="shared" si="22"/>
        <v>1.024</v>
      </c>
      <c r="J53" s="156">
        <v>0</v>
      </c>
      <c r="K53" s="62"/>
      <c r="L53" s="62"/>
      <c r="M53" s="62"/>
      <c r="N53" s="62"/>
      <c r="O53" s="62"/>
      <c r="P53" s="62"/>
    </row>
    <row r="54" spans="2:16" s="60" customFormat="1" ht="10.95" customHeight="1">
      <c r="B54" s="646" t="s">
        <v>19</v>
      </c>
      <c r="C54" s="647"/>
      <c r="D54" s="648"/>
      <c r="E54" s="145">
        <f>SUM(E45:E53)</f>
        <v>875.00099999999986</v>
      </c>
      <c r="F54" s="289">
        <f>SUM(F45:F53)</f>
        <v>-201.66300000000001</v>
      </c>
      <c r="G54" s="149">
        <f>+E54+F54</f>
        <v>673.33799999999985</v>
      </c>
      <c r="H54" s="146">
        <f>SUM(H45:H53)</f>
        <v>0</v>
      </c>
      <c r="I54" s="149">
        <f>+G54-H54</f>
        <v>673.33799999999985</v>
      </c>
      <c r="J54" s="150">
        <f>H54/G54</f>
        <v>0</v>
      </c>
      <c r="K54" s="61"/>
      <c r="L54" s="61"/>
      <c r="M54" s="61"/>
      <c r="N54" s="61"/>
      <c r="O54" s="61"/>
      <c r="P54" s="61"/>
    </row>
    <row r="55" spans="2:16" s="60" customFormat="1" ht="10.95" customHeight="1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2:16" s="60" customFormat="1" ht="0.6" customHeight="1">
      <c r="B56" s="61"/>
      <c r="C56" s="61"/>
      <c r="D56" s="61"/>
      <c r="E56" s="61"/>
      <c r="F56" s="61">
        <f>+F54+F43+F35+F16</f>
        <v>-63108.205000000002</v>
      </c>
      <c r="G56" s="61"/>
      <c r="H56" s="463">
        <f>SUM(H58:H78)</f>
        <v>62058.620999999999</v>
      </c>
      <c r="I56" s="463">
        <f>-H56-F56</f>
        <v>1049.5840000000026</v>
      </c>
      <c r="J56" s="61"/>
      <c r="K56" s="61"/>
      <c r="L56" s="61"/>
      <c r="M56" s="61"/>
      <c r="N56" s="61"/>
      <c r="O56" s="61"/>
      <c r="P56" s="61"/>
    </row>
    <row r="57" spans="2:16" s="60" customFormat="1" ht="10.95" customHeight="1">
      <c r="B57" s="290" t="s">
        <v>128</v>
      </c>
      <c r="C57" s="290" t="s">
        <v>118</v>
      </c>
      <c r="D57" s="206" t="s">
        <v>119</v>
      </c>
      <c r="E57" s="451" t="s">
        <v>140</v>
      </c>
      <c r="F57" s="452" t="s">
        <v>141</v>
      </c>
      <c r="G57" s="290" t="s">
        <v>121</v>
      </c>
      <c r="H57" s="290" t="s">
        <v>120</v>
      </c>
      <c r="I57" s="649" t="s">
        <v>122</v>
      </c>
      <c r="J57" s="650"/>
      <c r="K57" s="453"/>
      <c r="L57" s="453"/>
      <c r="M57" s="453"/>
      <c r="N57" s="453"/>
      <c r="O57" s="453"/>
      <c r="P57" s="453"/>
    </row>
    <row r="58" spans="2:16" s="60" customFormat="1" ht="10.95" customHeight="1">
      <c r="B58" s="455" t="s">
        <v>129</v>
      </c>
      <c r="C58" s="464">
        <v>242</v>
      </c>
      <c r="D58" s="465">
        <v>43494</v>
      </c>
      <c r="E58" s="456" t="s">
        <v>231</v>
      </c>
      <c r="F58" s="456" t="s">
        <v>124</v>
      </c>
      <c r="G58" s="199" t="s">
        <v>63</v>
      </c>
      <c r="H58" s="469">
        <v>6937.2340000000004</v>
      </c>
      <c r="I58" s="596" t="str">
        <f t="shared" ref="I58:I72" si="23">+"R Ex "&amp;C58&amp;" Cesion de "&amp;H58&amp;" ton de "&amp;E58&amp;"  a "&amp;F58&amp;" region"</f>
        <v>R Ex 242 Cesion de 6937,234 ton de Pesq. Bahia Caldera III-IV  a Grupo Emb II region</v>
      </c>
      <c r="J58" s="597"/>
      <c r="K58" s="453"/>
      <c r="L58" s="453"/>
      <c r="M58" s="453"/>
      <c r="N58" s="453"/>
      <c r="O58" s="453"/>
      <c r="P58" s="453"/>
    </row>
    <row r="59" spans="2:16" s="60" customFormat="1" ht="10.95" customHeight="1">
      <c r="B59" s="455" t="s">
        <v>129</v>
      </c>
      <c r="C59" s="200">
        <v>651</v>
      </c>
      <c r="D59" s="201">
        <v>43514</v>
      </c>
      <c r="E59" s="456" t="s">
        <v>131</v>
      </c>
      <c r="F59" s="456" t="s">
        <v>125</v>
      </c>
      <c r="G59" s="199" t="s">
        <v>63</v>
      </c>
      <c r="H59" s="469">
        <v>404.10399999999998</v>
      </c>
      <c r="I59" s="596" t="str">
        <f t="shared" si="23"/>
        <v>R Ex 651 Cesion de 404,104 ton de Soc Com Serv y Trasportes II-IV  a Grupo Emb IV region</v>
      </c>
      <c r="J59" s="597"/>
      <c r="K59" s="453"/>
      <c r="L59" s="453"/>
      <c r="M59" s="453"/>
      <c r="N59" s="453"/>
      <c r="O59" s="453"/>
      <c r="P59" s="453"/>
    </row>
    <row r="60" spans="2:16" s="60" customFormat="1" ht="10.95" customHeight="1">
      <c r="B60" s="455" t="s">
        <v>129</v>
      </c>
      <c r="C60" s="200">
        <v>685</v>
      </c>
      <c r="D60" s="201">
        <v>43516</v>
      </c>
      <c r="E60" s="456" t="s">
        <v>132</v>
      </c>
      <c r="F60" s="456" t="s">
        <v>133</v>
      </c>
      <c r="G60" s="199" t="s">
        <v>63</v>
      </c>
      <c r="H60" s="470">
        <v>0</v>
      </c>
      <c r="I60" s="596" t="str">
        <f t="shared" si="23"/>
        <v>R Ex 685 Cesion de 0 ton de Pesq Litoral III-IV  a Emb Fortuna V Rpa 955947-IV region</v>
      </c>
      <c r="J60" s="597"/>
      <c r="K60" s="453"/>
      <c r="L60" s="453"/>
      <c r="M60" s="453"/>
      <c r="N60" s="453"/>
      <c r="O60" s="453"/>
      <c r="P60" s="453"/>
    </row>
    <row r="61" spans="2:16" s="60" customFormat="1" ht="10.95" customHeight="1">
      <c r="B61" s="455" t="s">
        <v>129</v>
      </c>
      <c r="C61" s="200">
        <v>685</v>
      </c>
      <c r="D61" s="201">
        <v>43516</v>
      </c>
      <c r="E61" s="456" t="s">
        <v>132</v>
      </c>
      <c r="F61" s="456" t="s">
        <v>133</v>
      </c>
      <c r="G61" s="199" t="s">
        <v>232</v>
      </c>
      <c r="H61" s="210"/>
      <c r="I61" s="596" t="str">
        <f t="shared" si="23"/>
        <v>R Ex 685 Cesion de  ton de Pesq Litoral III-IV  a Emb Fortuna V Rpa 955947-IV region</v>
      </c>
      <c r="J61" s="597"/>
      <c r="K61" s="453"/>
      <c r="L61" s="453"/>
      <c r="M61" s="453"/>
      <c r="N61" s="453"/>
      <c r="O61" s="453"/>
      <c r="P61" s="453"/>
    </row>
    <row r="62" spans="2:16" s="60" customFormat="1" ht="10.95" customHeight="1">
      <c r="B62" s="455" t="s">
        <v>129</v>
      </c>
      <c r="C62" s="200" t="s">
        <v>137</v>
      </c>
      <c r="D62" s="201">
        <v>43572</v>
      </c>
      <c r="E62" s="456" t="s">
        <v>132</v>
      </c>
      <c r="F62" s="456" t="s">
        <v>133</v>
      </c>
      <c r="G62" s="199" t="s">
        <v>232</v>
      </c>
      <c r="H62" s="210"/>
      <c r="I62" s="596" t="str">
        <f t="shared" si="23"/>
        <v>R Ex 826  rectifica 685 Cesion de  ton de Pesq Litoral III-IV  a Emb Fortuna V Rpa 955947-IV region</v>
      </c>
      <c r="J62" s="597"/>
      <c r="K62" s="453"/>
      <c r="L62" s="453"/>
      <c r="M62" s="453"/>
      <c r="N62" s="453"/>
      <c r="O62" s="453"/>
      <c r="P62" s="453"/>
    </row>
    <row r="63" spans="2:16" s="60" customFormat="1" ht="10.95" customHeight="1">
      <c r="B63" s="455" t="s">
        <v>129</v>
      </c>
      <c r="C63" s="203">
        <v>885</v>
      </c>
      <c r="D63" s="207">
        <v>43537</v>
      </c>
      <c r="E63" s="456" t="s">
        <v>127</v>
      </c>
      <c r="F63" s="456" t="s">
        <v>125</v>
      </c>
      <c r="G63" s="203" t="s">
        <v>63</v>
      </c>
      <c r="H63" s="471">
        <v>8100</v>
      </c>
      <c r="I63" s="596" t="str">
        <f t="shared" si="23"/>
        <v>R Ex 885 Cesion de 8100 ton de Orizon II-IV  a Grupo Emb IV region</v>
      </c>
      <c r="J63" s="597"/>
      <c r="K63" s="453"/>
      <c r="L63" s="453"/>
      <c r="M63" s="453"/>
      <c r="N63" s="453"/>
      <c r="O63" s="453"/>
      <c r="P63" s="453"/>
    </row>
    <row r="64" spans="2:16" s="60" customFormat="1" ht="10.95" customHeight="1">
      <c r="B64" s="455" t="s">
        <v>129</v>
      </c>
      <c r="C64" s="203">
        <v>885</v>
      </c>
      <c r="D64" s="207">
        <v>43537</v>
      </c>
      <c r="E64" s="456" t="s">
        <v>127</v>
      </c>
      <c r="F64" s="456" t="s">
        <v>125</v>
      </c>
      <c r="G64" s="203" t="s">
        <v>126</v>
      </c>
      <c r="H64" s="211">
        <v>100</v>
      </c>
      <c r="I64" s="596" t="str">
        <f t="shared" si="23"/>
        <v>R Ex 885 Cesion de 100 ton de Orizon II-IV  a Grupo Emb IV region</v>
      </c>
      <c r="J64" s="597"/>
      <c r="K64" s="453"/>
      <c r="L64" s="453"/>
      <c r="M64" s="453"/>
      <c r="N64" s="453"/>
      <c r="O64" s="453"/>
      <c r="P64" s="453"/>
    </row>
    <row r="65" spans="2:16" s="60" customFormat="1" ht="10.95" customHeight="1">
      <c r="B65" s="455" t="s">
        <v>129</v>
      </c>
      <c r="C65" s="203">
        <v>944</v>
      </c>
      <c r="D65" s="207">
        <v>43542</v>
      </c>
      <c r="E65" s="456" t="s">
        <v>231</v>
      </c>
      <c r="F65" s="456" t="s">
        <v>125</v>
      </c>
      <c r="G65" s="203" t="s">
        <v>63</v>
      </c>
      <c r="H65" s="471">
        <v>1500</v>
      </c>
      <c r="I65" s="596" t="str">
        <f t="shared" si="23"/>
        <v>R Ex 944 Cesion de 1500 ton de Pesq. Bahia Caldera III-IV  a Grupo Emb IV region</v>
      </c>
      <c r="J65" s="597"/>
      <c r="K65" s="453"/>
      <c r="L65" s="453"/>
      <c r="M65" s="453"/>
      <c r="N65" s="453"/>
      <c r="O65" s="453"/>
      <c r="P65" s="453"/>
    </row>
    <row r="66" spans="2:16" s="60" customFormat="1" ht="10.95" customHeight="1">
      <c r="B66" s="455" t="s">
        <v>129</v>
      </c>
      <c r="C66" s="200">
        <v>1199</v>
      </c>
      <c r="D66" s="201">
        <v>43553</v>
      </c>
      <c r="E66" s="456" t="s">
        <v>135</v>
      </c>
      <c r="F66" s="456" t="s">
        <v>134</v>
      </c>
      <c r="G66" s="199" t="s">
        <v>63</v>
      </c>
      <c r="H66" s="198">
        <v>943.81500000000005</v>
      </c>
      <c r="I66" s="596" t="str">
        <f t="shared" si="23"/>
        <v>R Ex 1199 Cesion de 943,815 ton de Serv Ind Lo Rojas Ltda XV-II  a Emb Valentina Rpa 967544-II region</v>
      </c>
      <c r="J66" s="597"/>
      <c r="K66" s="453"/>
      <c r="L66" s="453"/>
      <c r="M66" s="453"/>
      <c r="N66" s="453"/>
      <c r="O66" s="453"/>
      <c r="P66" s="453"/>
    </row>
    <row r="67" spans="2:16" s="60" customFormat="1" ht="10.95" customHeight="1">
      <c r="B67" s="455" t="s">
        <v>129</v>
      </c>
      <c r="C67" s="200" t="s">
        <v>136</v>
      </c>
      <c r="D67" s="201">
        <v>43572</v>
      </c>
      <c r="E67" s="456" t="s">
        <v>132</v>
      </c>
      <c r="F67" s="456" t="s">
        <v>133</v>
      </c>
      <c r="G67" s="199" t="s">
        <v>63</v>
      </c>
      <c r="H67" s="470">
        <v>0</v>
      </c>
      <c r="I67" s="596" t="str">
        <f t="shared" si="23"/>
        <v>R Ex 1330 sin efecto 685 Cesion de 0 ton de Pesq Litoral III-IV  a Emb Fortuna V Rpa 955947-IV region</v>
      </c>
      <c r="J67" s="597"/>
      <c r="K67" s="453"/>
      <c r="L67" s="453"/>
      <c r="M67" s="453"/>
      <c r="N67" s="453"/>
      <c r="O67" s="453"/>
      <c r="P67" s="453"/>
    </row>
    <row r="68" spans="2:16" s="60" customFormat="1" ht="10.95" customHeight="1">
      <c r="B68" s="510" t="s">
        <v>129</v>
      </c>
      <c r="C68" s="511" t="s">
        <v>247</v>
      </c>
      <c r="D68" s="512">
        <v>43563</v>
      </c>
      <c r="E68" s="514" t="s">
        <v>132</v>
      </c>
      <c r="F68" s="514" t="s">
        <v>248</v>
      </c>
      <c r="G68" s="515" t="s">
        <v>63</v>
      </c>
      <c r="H68" s="513">
        <v>184.113</v>
      </c>
      <c r="I68" s="598" t="str">
        <f t="shared" si="23"/>
        <v>R Ex 1461 rectificada 2242 Cesion de 184,113 ton de Pesq Litoral III-IV  a Emb Don BAYRON Rpa 966665-III region</v>
      </c>
      <c r="J68" s="599"/>
      <c r="K68" s="453"/>
      <c r="L68" s="453"/>
      <c r="M68" s="453"/>
      <c r="N68" s="453"/>
      <c r="O68" s="453"/>
      <c r="P68" s="453"/>
    </row>
    <row r="69" spans="2:16" s="60" customFormat="1" ht="10.95" customHeight="1">
      <c r="B69" s="510" t="s">
        <v>129</v>
      </c>
      <c r="C69" s="511" t="s">
        <v>247</v>
      </c>
      <c r="D69" s="512">
        <v>43563</v>
      </c>
      <c r="E69" s="514" t="s">
        <v>132</v>
      </c>
      <c r="F69" s="514" t="s">
        <v>248</v>
      </c>
      <c r="G69" s="515" t="s">
        <v>126</v>
      </c>
      <c r="H69" s="513">
        <v>1.663</v>
      </c>
      <c r="I69" s="598" t="str">
        <f t="shared" si="23"/>
        <v>R Ex 1461 rectificada 2242 Cesion de 1,663 ton de Pesq Litoral III-IV  a Emb Don BAYRON Rpa 966665-III region</v>
      </c>
      <c r="J69" s="599"/>
      <c r="K69" s="453"/>
      <c r="L69" s="453"/>
      <c r="M69" s="453"/>
      <c r="N69" s="453"/>
      <c r="O69" s="453"/>
      <c r="P69" s="453"/>
    </row>
    <row r="70" spans="2:16" s="60" customFormat="1" ht="10.95" customHeight="1">
      <c r="B70" s="455" t="s">
        <v>129</v>
      </c>
      <c r="C70" s="220">
        <v>1550</v>
      </c>
      <c r="D70" s="221">
        <v>43580</v>
      </c>
      <c r="E70" s="457" t="s">
        <v>138</v>
      </c>
      <c r="F70" s="457" t="s">
        <v>139</v>
      </c>
      <c r="G70" s="222" t="s">
        <v>63</v>
      </c>
      <c r="H70" s="470">
        <f>51.352+370.146</f>
        <v>421.49799999999999</v>
      </c>
      <c r="I70" s="600" t="str">
        <f t="shared" si="23"/>
        <v>R Ex 1550 Cesion de 421,498 ton de Camanchaca III-IV  a Emb Fortuna V_III y Maimaui_III region</v>
      </c>
      <c r="J70" s="601"/>
      <c r="K70" s="453"/>
      <c r="L70" s="453"/>
      <c r="M70" s="453"/>
      <c r="N70" s="453"/>
      <c r="O70" s="453"/>
      <c r="P70" s="453"/>
    </row>
    <row r="71" spans="2:16" s="60" customFormat="1" ht="10.95" customHeight="1">
      <c r="B71" s="455" t="s">
        <v>129</v>
      </c>
      <c r="C71" s="200">
        <v>1636</v>
      </c>
      <c r="D71" s="201">
        <v>43585</v>
      </c>
      <c r="E71" s="456" t="s">
        <v>123</v>
      </c>
      <c r="F71" s="456" t="s">
        <v>228</v>
      </c>
      <c r="G71" s="199" t="s">
        <v>63</v>
      </c>
      <c r="H71" s="198">
        <v>12000</v>
      </c>
      <c r="I71" s="596" t="str">
        <f t="shared" si="23"/>
        <v>R Ex 1636 Cesion de 12000 ton de Corpesca XV-II  a Grupo Emb II region region</v>
      </c>
      <c r="J71" s="597"/>
      <c r="K71" s="453"/>
      <c r="L71" s="453"/>
      <c r="M71" s="453"/>
      <c r="N71" s="453"/>
      <c r="O71" s="453"/>
      <c r="P71" s="453"/>
    </row>
    <row r="72" spans="2:16" s="60" customFormat="1" ht="10.95" customHeight="1">
      <c r="B72" s="455" t="s">
        <v>129</v>
      </c>
      <c r="C72" s="200">
        <v>1637</v>
      </c>
      <c r="D72" s="201">
        <v>43585</v>
      </c>
      <c r="E72" s="456" t="s">
        <v>123</v>
      </c>
      <c r="F72" s="456" t="s">
        <v>228</v>
      </c>
      <c r="G72" s="199" t="s">
        <v>63</v>
      </c>
      <c r="H72" s="198">
        <v>15000</v>
      </c>
      <c r="I72" s="596" t="str">
        <f t="shared" si="23"/>
        <v>R Ex 1637 Cesion de 15000 ton de Corpesca XV-II  a Grupo Emb II region region</v>
      </c>
      <c r="J72" s="597"/>
      <c r="K72" s="453"/>
      <c r="L72" s="453"/>
      <c r="M72" s="453"/>
      <c r="N72" s="453"/>
      <c r="O72" s="453"/>
      <c r="P72" s="453"/>
    </row>
    <row r="73" spans="2:16" s="60" customFormat="1" ht="10.95" customHeight="1">
      <c r="B73" s="455" t="s">
        <v>129</v>
      </c>
      <c r="C73" s="200" t="s">
        <v>149</v>
      </c>
      <c r="D73" s="201">
        <v>43592</v>
      </c>
      <c r="E73" s="456" t="s">
        <v>138</v>
      </c>
      <c r="F73" s="457" t="s">
        <v>139</v>
      </c>
      <c r="G73" s="199" t="s">
        <v>232</v>
      </c>
      <c r="H73" s="210"/>
      <c r="I73" s="596"/>
      <c r="J73" s="597"/>
      <c r="K73" s="454"/>
      <c r="L73" s="454"/>
      <c r="M73" s="454"/>
      <c r="N73" s="454"/>
      <c r="O73" s="454"/>
      <c r="P73" s="454"/>
    </row>
    <row r="74" spans="2:16" s="60" customFormat="1" ht="10.95" customHeight="1">
      <c r="B74" s="455" t="s">
        <v>129</v>
      </c>
      <c r="C74" s="200">
        <v>1956</v>
      </c>
      <c r="D74" s="201">
        <v>43609</v>
      </c>
      <c r="E74" s="458" t="s">
        <v>225</v>
      </c>
      <c r="F74" s="458" t="s">
        <v>125</v>
      </c>
      <c r="G74" s="199" t="s">
        <v>63</v>
      </c>
      <c r="H74" s="470">
        <v>1100</v>
      </c>
      <c r="I74" s="596" t="str">
        <f t="shared" ref="I74" si="24">+"R Ex "&amp;C74&amp;" Cesion de "&amp;H74&amp;" ton de "&amp;E74&amp;"  a "&amp;F74&amp;" region"</f>
        <v>R Ex 1956 Cesion de 1100 ton de Alimar III-IV  a Grupo Emb IV region</v>
      </c>
      <c r="J74" s="597"/>
      <c r="K74" s="454"/>
      <c r="L74" s="454"/>
      <c r="M74" s="454"/>
      <c r="N74" s="454"/>
      <c r="O74" s="454"/>
      <c r="P74" s="454"/>
    </row>
    <row r="75" spans="2:16" s="60" customFormat="1" ht="10.95" customHeight="1">
      <c r="B75" s="459" t="s">
        <v>129</v>
      </c>
      <c r="C75" s="448">
        <v>2101</v>
      </c>
      <c r="D75" s="449">
        <v>43623</v>
      </c>
      <c r="E75" s="460" t="s">
        <v>230</v>
      </c>
      <c r="F75" s="460" t="s">
        <v>229</v>
      </c>
      <c r="G75" s="450" t="s">
        <v>63</v>
      </c>
      <c r="H75" s="470">
        <v>209.48</v>
      </c>
      <c r="I75" s="596" t="str">
        <f t="shared" ref="I75:I79" si="25">+"R Ex "&amp;C75&amp;" Cesion de "&amp;H75&amp;" ton de "&amp;E75&amp;"  a "&amp;F75&amp;" region"</f>
        <v>R Ex 2101 Cesion de 209,48 ton de Abastecimientos de Pacifico, 76.542.970-6  a Grupo Emb III region region</v>
      </c>
      <c r="J75" s="597"/>
      <c r="K75" s="454"/>
      <c r="L75" s="454"/>
      <c r="M75" s="454"/>
      <c r="N75" s="454"/>
      <c r="O75" s="454"/>
      <c r="P75" s="454"/>
    </row>
    <row r="76" spans="2:16" s="60" customFormat="1" ht="10.95" customHeight="1">
      <c r="B76" s="459" t="s">
        <v>129</v>
      </c>
      <c r="C76" s="448">
        <v>2142</v>
      </c>
      <c r="D76" s="449">
        <v>43627</v>
      </c>
      <c r="E76" s="456" t="s">
        <v>127</v>
      </c>
      <c r="F76" s="460" t="s">
        <v>237</v>
      </c>
      <c r="G76" s="450" t="s">
        <v>63</v>
      </c>
      <c r="H76" s="470">
        <v>7400</v>
      </c>
      <c r="I76" s="596" t="str">
        <f t="shared" si="25"/>
        <v>R Ex 2142 Cesion de 7400 ton de Orizon II-IV  a Grupo Emb IV region region</v>
      </c>
      <c r="J76" s="597"/>
      <c r="K76" s="454"/>
      <c r="L76" s="454"/>
      <c r="M76" s="454"/>
      <c r="N76" s="454"/>
      <c r="O76" s="454"/>
      <c r="P76" s="454"/>
    </row>
    <row r="77" spans="2:16" s="60" customFormat="1" ht="10.95" customHeight="1">
      <c r="B77" s="459" t="s">
        <v>129</v>
      </c>
      <c r="C77" s="448">
        <v>2169</v>
      </c>
      <c r="D77" s="449">
        <v>43627</v>
      </c>
      <c r="E77" s="456" t="s">
        <v>131</v>
      </c>
      <c r="F77" s="460" t="s">
        <v>229</v>
      </c>
      <c r="G77" s="450" t="s">
        <v>63</v>
      </c>
      <c r="H77" s="470">
        <v>354.714</v>
      </c>
      <c r="I77" s="596" t="str">
        <f t="shared" si="25"/>
        <v>R Ex 2169 Cesion de 354,714 ton de Soc Com Serv y Trasportes II-IV  a Grupo Emb III region region</v>
      </c>
      <c r="J77" s="597"/>
      <c r="K77" s="454"/>
      <c r="L77" s="454"/>
      <c r="M77" s="454"/>
      <c r="N77" s="454"/>
      <c r="O77" s="454"/>
      <c r="P77" s="454"/>
    </row>
    <row r="78" spans="2:16" s="60" customFormat="1" ht="10.95" customHeight="1">
      <c r="B78" s="459" t="s">
        <v>129</v>
      </c>
      <c r="C78" s="448">
        <v>2178</v>
      </c>
      <c r="D78" s="449">
        <v>43627</v>
      </c>
      <c r="E78" s="456" t="s">
        <v>231</v>
      </c>
      <c r="F78" s="460" t="s">
        <v>229</v>
      </c>
      <c r="G78" s="450" t="s">
        <v>63</v>
      </c>
      <c r="H78" s="470">
        <v>7402</v>
      </c>
      <c r="I78" s="596" t="str">
        <f t="shared" si="25"/>
        <v>R Ex 2178 Cesion de 7402 ton de Pesq. Bahia Caldera III-IV  a Grupo Emb III region region</v>
      </c>
      <c r="J78" s="597"/>
      <c r="K78" s="454"/>
      <c r="L78" s="454"/>
      <c r="M78" s="454"/>
      <c r="N78" s="454"/>
      <c r="O78" s="454"/>
      <c r="P78" s="454"/>
    </row>
    <row r="79" spans="2:16" s="60" customFormat="1" ht="10.95" customHeight="1">
      <c r="B79" s="518" t="s">
        <v>129</v>
      </c>
      <c r="C79" s="516">
        <v>2274</v>
      </c>
      <c r="D79" s="517">
        <v>43637</v>
      </c>
      <c r="E79" s="456" t="s">
        <v>250</v>
      </c>
      <c r="F79" s="456" t="s">
        <v>249</v>
      </c>
      <c r="G79" s="519" t="s">
        <v>63</v>
      </c>
      <c r="H79" s="520">
        <v>151.76400000000001</v>
      </c>
      <c r="I79" s="651" t="str">
        <f t="shared" si="25"/>
        <v>R Ex 2274 Cesion de 151,764 ton de ERIC ARACENA REYNUABA III-IV  a Emb EL CID Rpa 950657-III region</v>
      </c>
      <c r="J79" s="652"/>
      <c r="K79" s="454"/>
      <c r="L79" s="454"/>
      <c r="M79" s="454"/>
      <c r="N79" s="454"/>
      <c r="O79" s="454"/>
      <c r="P79" s="454"/>
    </row>
    <row r="80" spans="2:16" s="60" customFormat="1" ht="10.95" customHeight="1">
      <c r="B80" s="518" t="s">
        <v>129</v>
      </c>
      <c r="C80" s="541">
        <v>2275</v>
      </c>
      <c r="D80" s="542">
        <v>43637</v>
      </c>
      <c r="E80" s="456" t="s">
        <v>251</v>
      </c>
      <c r="F80" s="456" t="s">
        <v>252</v>
      </c>
      <c r="G80" s="519" t="s">
        <v>63</v>
      </c>
      <c r="H80" s="520">
        <v>151.76400000000001</v>
      </c>
      <c r="I80" s="651" t="str">
        <f t="shared" ref="I80" si="26">+"R Ex "&amp;C80&amp;" Cesion de "&amp;H80&amp;" ton de "&amp;E80&amp;"  a "&amp;F80&amp;" region"</f>
        <v>R Ex 2275 Cesion de 151,764 ton de GIULLIANO REYNUABA SALAS III-IV  a Emb KALI Rpa 951110-III region</v>
      </c>
      <c r="J80" s="652"/>
    </row>
    <row r="81" spans="2:10" s="60" customFormat="1" ht="10.95" customHeight="1">
      <c r="B81" s="518" t="s">
        <v>129</v>
      </c>
      <c r="C81" s="541">
        <v>2276</v>
      </c>
      <c r="D81" s="542">
        <v>43637</v>
      </c>
      <c r="E81" s="514" t="s">
        <v>132</v>
      </c>
      <c r="F81" s="456" t="s">
        <v>253</v>
      </c>
      <c r="G81" s="519" t="s">
        <v>63</v>
      </c>
      <c r="H81" s="520">
        <v>173.011</v>
      </c>
      <c r="I81" s="651" t="str">
        <f t="shared" ref="I81:I82" si="27">+"R Ex "&amp;C81&amp;" Cesion de "&amp;H81&amp;" ton de "&amp;E81&amp;"  a "&amp;F81&amp;" region"</f>
        <v>R Ex 2276 Cesion de 173,011 ton de Pesq Litoral III-IV  a Emb SANDY III Rpa 967785-III region</v>
      </c>
      <c r="J81" s="652"/>
    </row>
    <row r="82" spans="2:10" s="60" customFormat="1" ht="10.95" customHeight="1">
      <c r="B82" s="518" t="s">
        <v>129</v>
      </c>
      <c r="C82" s="541">
        <v>2310</v>
      </c>
      <c r="D82" s="542">
        <v>43642</v>
      </c>
      <c r="E82" s="456" t="s">
        <v>127</v>
      </c>
      <c r="F82" s="456" t="s">
        <v>237</v>
      </c>
      <c r="G82" s="519" t="s">
        <v>126</v>
      </c>
      <c r="H82" s="520">
        <v>100</v>
      </c>
      <c r="I82" s="651" t="str">
        <f t="shared" si="27"/>
        <v>R Ex 2310 Cesion de 100 ton de Orizon II-IV  a Grupo Emb IV region region</v>
      </c>
      <c r="J82" s="652"/>
    </row>
    <row r="83" spans="2:10" s="60" customFormat="1" ht="10.95" customHeight="1">
      <c r="B83" s="564" t="s">
        <v>129</v>
      </c>
      <c r="C83" s="566">
        <v>2402</v>
      </c>
      <c r="D83" s="567">
        <v>43649</v>
      </c>
      <c r="E83" s="568" t="s">
        <v>173</v>
      </c>
      <c r="F83" s="568" t="s">
        <v>252</v>
      </c>
      <c r="G83" s="565" t="s">
        <v>63</v>
      </c>
      <c r="H83" s="569">
        <v>188.18600000000001</v>
      </c>
      <c r="I83" s="653" t="str">
        <f t="shared" ref="I83" si="28">+"R Ex "&amp;C83&amp;" Cesion de "&amp;H83&amp;" ton de "&amp;E83&amp;"  a "&amp;F83&amp;" region"</f>
        <v>R Ex 2402 Cesion de 188,186 ton de ABASTECIMIENTO DEL PACIFICO S.A.  a Emb KALI Rpa 951110-III region</v>
      </c>
      <c r="J83" s="654"/>
    </row>
    <row r="84" spans="2:10" s="60" customFormat="1" ht="10.95" customHeight="1">
      <c r="B84" s="564" t="s">
        <v>129</v>
      </c>
      <c r="C84" s="566">
        <v>2416</v>
      </c>
      <c r="D84" s="567">
        <v>43649</v>
      </c>
      <c r="E84" s="568" t="s">
        <v>254</v>
      </c>
      <c r="F84" s="568" t="s">
        <v>255</v>
      </c>
      <c r="G84" s="565" t="s">
        <v>63</v>
      </c>
      <c r="H84" s="569">
        <v>284.55900000000003</v>
      </c>
      <c r="I84" s="653" t="str">
        <f t="shared" ref="I84" si="29">+"R Ex "&amp;C84&amp;" Cesion de "&amp;H84&amp;" ton de "&amp;E84&amp;"  a "&amp;F84&amp;" region"</f>
        <v>R Ex 2416 Cesion de 284,559 ton de ATILIO BARRERA  a Emb DON ATILIO Rpa 960355-III region</v>
      </c>
      <c r="J84" s="654"/>
    </row>
    <row r="85" spans="2:10" s="60" customFormat="1" ht="10.95" customHeight="1"/>
    <row r="86" spans="2:10" s="60" customFormat="1" ht="10.95" customHeight="1"/>
    <row r="87" spans="2:10" s="60" customFormat="1" ht="49.2" customHeight="1"/>
    <row r="88" spans="2:10" s="60" customFormat="1" ht="10.95" customHeight="1"/>
    <row r="89" spans="2:10" s="60" customFormat="1" ht="10.95" customHeight="1"/>
    <row r="90" spans="2:10" s="60" customFormat="1" ht="10.95" customHeight="1"/>
    <row r="91" spans="2:10" s="60" customFormat="1" ht="10.95" customHeight="1"/>
    <row r="92" spans="2:10" s="60" customFormat="1" ht="10.95" customHeight="1"/>
    <row r="93" spans="2:10" s="60" customFormat="1" ht="10.95" customHeight="1"/>
    <row r="94" spans="2:10" s="60" customFormat="1" ht="10.95" customHeight="1"/>
    <row r="95" spans="2:10" s="60" customFormat="1" ht="10.95" customHeight="1"/>
    <row r="96" spans="2:10" s="60" customFormat="1" ht="10.95" customHeight="1"/>
    <row r="97" s="60" customFormat="1" ht="10.95" customHeight="1"/>
    <row r="98" s="60" customFormat="1" ht="10.95" customHeight="1"/>
    <row r="99" s="60" customFormat="1" ht="10.95" customHeight="1"/>
    <row r="100" s="60" customFormat="1" ht="10.95" customHeight="1"/>
    <row r="101" s="60" customFormat="1" ht="10.95" customHeight="1"/>
    <row r="102" s="60" customFormat="1" ht="10.95" customHeight="1"/>
    <row r="103" s="60" customFormat="1" ht="10.95" customHeight="1"/>
    <row r="104" s="60" customFormat="1" ht="10.95" customHeight="1"/>
    <row r="105" s="60" customFormat="1" ht="10.95" customHeight="1"/>
    <row r="106" s="60" customFormat="1" ht="10.95" customHeight="1"/>
    <row r="107" s="60" customFormat="1" ht="10.95" customHeight="1"/>
    <row r="108" s="60" customFormat="1" ht="10.95" customHeight="1"/>
    <row r="109" s="60" customFormat="1" ht="10.95" customHeight="1"/>
    <row r="110" s="60" customFormat="1" ht="10.95" customHeight="1"/>
    <row r="111" s="60" customFormat="1" ht="10.95" customHeight="1"/>
    <row r="112" s="60" customFormat="1" ht="10.95" customHeight="1"/>
    <row r="113" s="60" customFormat="1" ht="10.95" customHeight="1"/>
    <row r="114" s="60" customFormat="1" ht="10.95" customHeight="1"/>
    <row r="115" s="60" customFormat="1" ht="10.95" customHeight="1"/>
    <row r="116" s="60" customFormat="1" ht="10.95" customHeight="1"/>
    <row r="117" s="60" customFormat="1" ht="10.95" customHeight="1"/>
    <row r="118" s="60" customFormat="1" ht="10.95" customHeight="1"/>
    <row r="119" s="60" customFormat="1" ht="10.95" customHeight="1"/>
    <row r="120" s="60" customFormat="1" ht="10.95" customHeight="1"/>
    <row r="121" s="60" customFormat="1" ht="10.95" customHeight="1"/>
    <row r="122" s="60" customFormat="1" ht="10.95" customHeight="1"/>
    <row r="123" s="60" customFormat="1" ht="10.95" customHeight="1"/>
    <row r="124" s="60" customFormat="1" ht="10.95" customHeight="1"/>
    <row r="125" s="60" customFormat="1" ht="10.95" customHeight="1"/>
    <row r="126" s="60" customFormat="1" ht="10.95" customHeight="1"/>
    <row r="127" s="60" customFormat="1" ht="10.95" customHeight="1"/>
    <row r="128" s="60" customFormat="1" ht="10.95" customHeight="1"/>
    <row r="129" s="60" customFormat="1" ht="10.95" customHeight="1"/>
    <row r="130" s="60" customFormat="1" ht="10.95" customHeight="1"/>
    <row r="131" s="60" customFormat="1" ht="10.95" customHeight="1"/>
    <row r="132" s="60" customFormat="1" ht="10.95" customHeight="1"/>
    <row r="133" s="60" customFormat="1" ht="10.95" customHeight="1"/>
    <row r="134" s="60" customFormat="1" ht="10.95" customHeight="1"/>
    <row r="135" s="60" customFormat="1" ht="10.95" customHeight="1"/>
    <row r="136" s="60" customFormat="1" ht="10.95" customHeight="1"/>
    <row r="137" s="60" customFormat="1" ht="10.95" customHeight="1"/>
    <row r="138" s="60" customFormat="1" ht="10.95" customHeight="1"/>
    <row r="139" s="60" customFormat="1" ht="10.95" customHeight="1"/>
    <row r="140" s="60" customFormat="1" ht="10.95" customHeight="1"/>
    <row r="141" s="60" customFormat="1" ht="10.95" customHeight="1"/>
    <row r="142" s="60" customFormat="1" ht="10.95" customHeight="1"/>
    <row r="143" s="60" customFormat="1" ht="10.95" customHeight="1"/>
    <row r="144" s="60" customFormat="1" ht="10.95" customHeight="1"/>
    <row r="145" s="60" customFormat="1" ht="10.95" customHeight="1"/>
    <row r="146" s="60" customFormat="1" ht="10.95" customHeight="1"/>
    <row r="147" s="60" customFormat="1" ht="10.95" customHeight="1"/>
    <row r="148" s="60" customFormat="1" ht="10.95" customHeight="1"/>
    <row r="149" s="60" customFormat="1" ht="10.95" customHeight="1"/>
    <row r="150" s="60" customFormat="1" ht="10.95" customHeight="1"/>
    <row r="151" s="60" customFormat="1" ht="10.95" customHeight="1"/>
    <row r="152" s="60" customFormat="1" ht="10.95" customHeight="1"/>
    <row r="153" s="60" customFormat="1" ht="10.95" customHeight="1"/>
    <row r="154" s="60" customFormat="1" ht="10.95" customHeight="1"/>
    <row r="155" s="60" customFormat="1" ht="10.95" customHeight="1"/>
    <row r="156" s="60" customFormat="1" ht="10.95" customHeight="1"/>
    <row r="157" s="54" customFormat="1" ht="10.95" customHeight="1"/>
    <row r="158" s="54" customFormat="1" ht="10.95" customHeight="1"/>
    <row r="159" s="54" customFormat="1" ht="10.95" customHeight="1"/>
    <row r="160" s="54" customFormat="1" ht="10.95" customHeight="1"/>
  </sheetData>
  <mergeCells count="94">
    <mergeCell ref="I83:J83"/>
    <mergeCell ref="I84:J84"/>
    <mergeCell ref="I80:J80"/>
    <mergeCell ref="I81:J81"/>
    <mergeCell ref="I82:J82"/>
    <mergeCell ref="I74:J74"/>
    <mergeCell ref="I79:J79"/>
    <mergeCell ref="I75:J75"/>
    <mergeCell ref="I76:J76"/>
    <mergeCell ref="I77:J77"/>
    <mergeCell ref="I78:J78"/>
    <mergeCell ref="I73:J73"/>
    <mergeCell ref="B54:D54"/>
    <mergeCell ref="I72:J72"/>
    <mergeCell ref="I57:J57"/>
    <mergeCell ref="I66:J66"/>
    <mergeCell ref="I58:J58"/>
    <mergeCell ref="I63:J63"/>
    <mergeCell ref="I65:J65"/>
    <mergeCell ref="I64:J64"/>
    <mergeCell ref="I59:J59"/>
    <mergeCell ref="B2:J2"/>
    <mergeCell ref="B3:J3"/>
    <mergeCell ref="B16:D16"/>
    <mergeCell ref="B35:D35"/>
    <mergeCell ref="B43:D43"/>
    <mergeCell ref="P12:P13"/>
    <mergeCell ref="C10:C11"/>
    <mergeCell ref="K10:K11"/>
    <mergeCell ref="L10:L11"/>
    <mergeCell ref="M10:M11"/>
    <mergeCell ref="N10:N11"/>
    <mergeCell ref="O10:O11"/>
    <mergeCell ref="P10:P11"/>
    <mergeCell ref="K12:K13"/>
    <mergeCell ref="L12:L13"/>
    <mergeCell ref="M12:M13"/>
    <mergeCell ref="N12:N13"/>
    <mergeCell ref="O12:O13"/>
    <mergeCell ref="O6:O7"/>
    <mergeCell ref="P6:P7"/>
    <mergeCell ref="C8:C9"/>
    <mergeCell ref="K8:K9"/>
    <mergeCell ref="L8:L9"/>
    <mergeCell ref="M8:M9"/>
    <mergeCell ref="N8:N9"/>
    <mergeCell ref="O8:O9"/>
    <mergeCell ref="P8:P9"/>
    <mergeCell ref="C6:C7"/>
    <mergeCell ref="K6:K7"/>
    <mergeCell ref="L6:L7"/>
    <mergeCell ref="M6:M7"/>
    <mergeCell ref="N6:N7"/>
    <mergeCell ref="N14:N15"/>
    <mergeCell ref="O14:O15"/>
    <mergeCell ref="P14:P15"/>
    <mergeCell ref="B18:B34"/>
    <mergeCell ref="B37:B42"/>
    <mergeCell ref="C37:C38"/>
    <mergeCell ref="K37:K38"/>
    <mergeCell ref="L37:L38"/>
    <mergeCell ref="M37:M38"/>
    <mergeCell ref="N37:N38"/>
    <mergeCell ref="B6:B15"/>
    <mergeCell ref="C14:C15"/>
    <mergeCell ref="K14:K15"/>
    <mergeCell ref="L14:L15"/>
    <mergeCell ref="M14:M15"/>
    <mergeCell ref="C12:C13"/>
    <mergeCell ref="O37:O38"/>
    <mergeCell ref="P37:P38"/>
    <mergeCell ref="C39:C40"/>
    <mergeCell ref="K39:K40"/>
    <mergeCell ref="L39:L40"/>
    <mergeCell ref="M39:M40"/>
    <mergeCell ref="N39:N40"/>
    <mergeCell ref="O39:O40"/>
    <mergeCell ref="P39:P40"/>
    <mergeCell ref="P41:P42"/>
    <mergeCell ref="C41:C42"/>
    <mergeCell ref="K41:K42"/>
    <mergeCell ref="L41:L42"/>
    <mergeCell ref="M41:M42"/>
    <mergeCell ref="N41:N42"/>
    <mergeCell ref="O41:O42"/>
    <mergeCell ref="B45:B53"/>
    <mergeCell ref="I60:J60"/>
    <mergeCell ref="I61:J61"/>
    <mergeCell ref="I62:J62"/>
    <mergeCell ref="I71:J71"/>
    <mergeCell ref="I67:J67"/>
    <mergeCell ref="I68:J68"/>
    <mergeCell ref="I69:J69"/>
    <mergeCell ref="I70:J70"/>
  </mergeCells>
  <conditionalFormatting sqref="J44:J54 J6:J15 J18:J42">
    <cfRule type="cellIs" dxfId="27" priority="78" operator="greaterThan">
      <formula>1</formula>
    </cfRule>
  </conditionalFormatting>
  <conditionalFormatting sqref="I54 I43 I35:I36 I16 O5:O54">
    <cfRule type="cellIs" dxfId="26" priority="77" operator="lessThan">
      <formula>0</formula>
    </cfRule>
  </conditionalFormatting>
  <conditionalFormatting sqref="J6:J15">
    <cfRule type="dataBar" priority="76">
      <dataBar>
        <cfvo type="min" val="0"/>
        <cfvo type="max" val="0"/>
        <color rgb="FF638EC6"/>
      </dataBar>
    </cfRule>
  </conditionalFormatting>
  <conditionalFormatting sqref="P6:P15">
    <cfRule type="dataBar" priority="75">
      <dataBar>
        <cfvo type="min" val="0"/>
        <cfvo type="max" val="0"/>
        <color rgb="FF638EC6"/>
      </dataBar>
    </cfRule>
  </conditionalFormatting>
  <conditionalFormatting sqref="J35:J36">
    <cfRule type="dataBar" priority="72">
      <dataBar>
        <cfvo type="min" val="0"/>
        <cfvo type="max" val="0"/>
        <color rgb="FF638EC6"/>
      </dataBar>
    </cfRule>
    <cfRule type="cellIs" dxfId="25" priority="73" operator="greaterThan">
      <formula>0.99</formula>
    </cfRule>
  </conditionalFormatting>
  <conditionalFormatting sqref="J35:J36">
    <cfRule type="dataBar" priority="71">
      <dataBar>
        <cfvo type="min" val="0"/>
        <cfvo type="max" val="0"/>
        <color rgb="FF638EC6"/>
      </dataBar>
    </cfRule>
  </conditionalFormatting>
  <conditionalFormatting sqref="J18:J36">
    <cfRule type="dataBar" priority="79">
      <dataBar>
        <cfvo type="min" val="0"/>
        <cfvo type="max" val="0"/>
        <color rgb="FF638EC6"/>
      </dataBar>
    </cfRule>
  </conditionalFormatting>
  <conditionalFormatting sqref="J54">
    <cfRule type="dataBar" priority="56">
      <dataBar>
        <cfvo type="min" val="0"/>
        <cfvo type="max" val="0"/>
        <color rgb="FF638EC6"/>
      </dataBar>
    </cfRule>
    <cfRule type="cellIs" dxfId="24" priority="57" operator="greaterThan">
      <formula>0.99</formula>
    </cfRule>
  </conditionalFormatting>
  <conditionalFormatting sqref="J54">
    <cfRule type="dataBar" priority="55">
      <dataBar>
        <cfvo type="min" val="0"/>
        <cfvo type="max" val="0"/>
        <color rgb="FF638EC6"/>
      </dataBar>
    </cfRule>
  </conditionalFormatting>
  <conditionalFormatting sqref="J43">
    <cfRule type="dataBar" priority="53">
      <dataBar>
        <cfvo type="min" val="0"/>
        <cfvo type="max" val="0"/>
        <color rgb="FF638EC6"/>
      </dataBar>
    </cfRule>
  </conditionalFormatting>
  <conditionalFormatting sqref="P37:P42">
    <cfRule type="cellIs" dxfId="23" priority="51" operator="greaterThan">
      <formula>0.85</formula>
    </cfRule>
    <cfRule type="dataBar" priority="52">
      <dataBar>
        <cfvo type="min" val="0"/>
        <cfvo type="max" val="0"/>
        <color rgb="FF638EC6"/>
      </dataBar>
    </cfRule>
  </conditionalFormatting>
  <conditionalFormatting sqref="P37:P42 P44">
    <cfRule type="dataBar" priority="61">
      <dataBar>
        <cfvo type="min" val="0"/>
        <cfvo type="max" val="0"/>
        <color rgb="FF638EC6"/>
      </dataBar>
    </cfRule>
    <cfRule type="cellIs" dxfId="22" priority="62" operator="greaterThan">
      <formula>0.99</formula>
    </cfRule>
  </conditionalFormatting>
  <conditionalFormatting sqref="P37:P44">
    <cfRule type="dataBar" priority="63">
      <dataBar>
        <cfvo type="min" val="0"/>
        <cfvo type="max" val="0"/>
        <color rgb="FF638EC6"/>
      </dataBar>
    </cfRule>
  </conditionalFormatting>
  <conditionalFormatting sqref="J37:J54">
    <cfRule type="dataBar" priority="64">
      <dataBar>
        <cfvo type="min" val="0"/>
        <cfvo type="max" val="0"/>
        <color rgb="FF638EC6"/>
      </dataBar>
    </cfRule>
  </conditionalFormatting>
  <conditionalFormatting sqref="P6:P15">
    <cfRule type="dataBar" priority="97">
      <dataBar>
        <cfvo type="min" val="0"/>
        <cfvo type="max" val="0"/>
        <color rgb="FF638EC6"/>
      </dataBar>
    </cfRule>
    <cfRule type="cellIs" dxfId="21" priority="98" operator="greaterThan">
      <formula>0.99</formula>
    </cfRule>
  </conditionalFormatting>
  <conditionalFormatting sqref="J6:J15 J18:J36">
    <cfRule type="dataBar" priority="100">
      <dataBar>
        <cfvo type="min" val="0"/>
        <cfvo type="max" val="0"/>
        <color rgb="FF638EC6"/>
      </dataBar>
    </cfRule>
  </conditionalFormatting>
  <conditionalFormatting sqref="E58:E80">
    <cfRule type="cellIs" dxfId="20" priority="41" operator="greaterThan">
      <formula>0</formula>
    </cfRule>
  </conditionalFormatting>
  <conditionalFormatting sqref="F58:F79">
    <cfRule type="cellIs" dxfId="19" priority="42" operator="greaterThan">
      <formula>0</formula>
    </cfRule>
  </conditionalFormatting>
  <conditionalFormatting sqref="F80">
    <cfRule type="cellIs" dxfId="18" priority="13" operator="greaterThan">
      <formula>0</formula>
    </cfRule>
  </conditionalFormatting>
  <conditionalFormatting sqref="E81">
    <cfRule type="cellIs" dxfId="17" priority="12" operator="greaterThan">
      <formula>0</formula>
    </cfRule>
  </conditionalFormatting>
  <conditionalFormatting sqref="F81">
    <cfRule type="cellIs" dxfId="16" priority="11" operator="greaterThan">
      <formula>0</formula>
    </cfRule>
  </conditionalFormatting>
  <conditionalFormatting sqref="E81">
    <cfRule type="cellIs" dxfId="15" priority="10" operator="greaterThan">
      <formula>0</formula>
    </cfRule>
  </conditionalFormatting>
  <conditionalFormatting sqref="E82">
    <cfRule type="cellIs" dxfId="14" priority="9" operator="greaterThan">
      <formula>0</formula>
    </cfRule>
  </conditionalFormatting>
  <conditionalFormatting sqref="F82">
    <cfRule type="cellIs" dxfId="13" priority="8" operator="greaterThan">
      <formula>0</formula>
    </cfRule>
  </conditionalFormatting>
  <conditionalFormatting sqref="E82">
    <cfRule type="cellIs" dxfId="12" priority="7" operator="greaterThan">
      <formula>0</formula>
    </cfRule>
  </conditionalFormatting>
  <conditionalFormatting sqref="F82">
    <cfRule type="cellIs" dxfId="11" priority="6" operator="greaterThan">
      <formula>0</formula>
    </cfRule>
  </conditionalFormatting>
  <conditionalFormatting sqref="E83">
    <cfRule type="cellIs" dxfId="10" priority="5" operator="greaterThan">
      <formula>0</formula>
    </cfRule>
  </conditionalFormatting>
  <conditionalFormatting sqref="E83">
    <cfRule type="cellIs" dxfId="9" priority="4" operator="greaterThan">
      <formula>0</formula>
    </cfRule>
  </conditionalFormatting>
  <conditionalFormatting sqref="F83:F84">
    <cfRule type="cellIs" dxfId="8" priority="3" operator="greaterThan">
      <formula>0</formula>
    </cfRule>
  </conditionalFormatting>
  <conditionalFormatting sqref="E84">
    <cfRule type="cellIs" dxfId="7" priority="2" operator="greaterThan">
      <formula>0</formula>
    </cfRule>
  </conditionalFormatting>
  <conditionalFormatting sqref="E84">
    <cfRule type="cellIs" dxfId="6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44"/>
  <sheetViews>
    <sheetView zoomScale="80" zoomScaleNormal="80" workbookViewId="0">
      <selection activeCell="G43" sqref="G43"/>
    </sheetView>
  </sheetViews>
  <sheetFormatPr baseColWidth="10" defaultRowHeight="14.4"/>
  <cols>
    <col min="1" max="1" width="11.44140625" style="45"/>
    <col min="2" max="2" width="24" style="45" customWidth="1"/>
    <col min="3" max="3" width="15.109375" style="45" customWidth="1"/>
    <col min="4" max="5" width="11.5546875" style="45"/>
    <col min="6" max="6" width="13.77734375" style="45" customWidth="1"/>
    <col min="7" max="10" width="11.5546875" style="45"/>
    <col min="11" max="11" width="9.21875" style="45" customWidth="1"/>
    <col min="12" max="16" width="11.5546875" style="45" hidden="1" customWidth="1"/>
    <col min="17" max="17" width="0.109375" style="45" hidden="1" customWidth="1"/>
    <col min="18" max="26" width="11.44140625" style="45"/>
    <col min="27" max="16384" width="11.5546875" style="45"/>
  </cols>
  <sheetData>
    <row r="1" spans="1:27">
      <c r="A1" s="67"/>
      <c r="B1" s="659" t="s">
        <v>245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1"/>
      <c r="O1" s="7"/>
      <c r="P1" s="7"/>
      <c r="Q1" s="7"/>
    </row>
    <row r="2" spans="1:27">
      <c r="A2" s="67"/>
      <c r="B2" s="662">
        <f>+'Resumen_Anch_Sard_Esp_XV-IV'!B2</f>
        <v>43656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4"/>
      <c r="O2" s="7"/>
      <c r="P2" s="7"/>
      <c r="Q2" s="7"/>
    </row>
    <row r="3" spans="1:27" ht="15" thickBot="1">
      <c r="A3" s="67"/>
      <c r="B3" s="68"/>
      <c r="C3" s="67"/>
      <c r="D3" s="67"/>
      <c r="E3" s="67"/>
      <c r="F3" s="67"/>
      <c r="G3" s="67"/>
      <c r="H3" s="67"/>
      <c r="I3" s="67"/>
      <c r="J3" s="67"/>
      <c r="K3" s="69"/>
      <c r="L3" s="67"/>
      <c r="M3" s="70"/>
      <c r="N3" s="70"/>
      <c r="O3" s="67"/>
      <c r="P3" s="67"/>
      <c r="Q3" s="67"/>
    </row>
    <row r="4" spans="1:27" ht="69" customHeight="1" thickBot="1">
      <c r="A4" s="67"/>
      <c r="B4" s="544" t="s">
        <v>26</v>
      </c>
      <c r="C4" s="544" t="s">
        <v>27</v>
      </c>
      <c r="D4" s="72" t="s">
        <v>2</v>
      </c>
      <c r="E4" s="72" t="s">
        <v>9</v>
      </c>
      <c r="F4" s="72" t="s">
        <v>28</v>
      </c>
      <c r="G4" s="72" t="s">
        <v>5</v>
      </c>
      <c r="H4" s="72" t="s">
        <v>29</v>
      </c>
      <c r="I4" s="72" t="s">
        <v>30</v>
      </c>
      <c r="J4" s="72" t="s">
        <v>31</v>
      </c>
      <c r="K4" s="545" t="s">
        <v>32</v>
      </c>
      <c r="L4" s="71" t="s">
        <v>33</v>
      </c>
      <c r="M4" s="2" t="s">
        <v>28</v>
      </c>
      <c r="N4" s="2" t="s">
        <v>5</v>
      </c>
      <c r="O4" s="3" t="s">
        <v>29</v>
      </c>
      <c r="P4" s="3" t="s">
        <v>30</v>
      </c>
      <c r="Q4" s="435" t="s">
        <v>31</v>
      </c>
    </row>
    <row r="5" spans="1:27" ht="14.4" customHeight="1">
      <c r="A5" s="67"/>
      <c r="B5" s="679" t="s">
        <v>34</v>
      </c>
      <c r="C5" s="237" t="s">
        <v>108</v>
      </c>
      <c r="D5" s="238" t="s">
        <v>11</v>
      </c>
      <c r="E5" s="239">
        <v>60695</v>
      </c>
      <c r="F5" s="157"/>
      <c r="G5" s="158">
        <f>E5</f>
        <v>60695</v>
      </c>
      <c r="H5" s="159">
        <f>+C25+C29</f>
        <v>57534.64</v>
      </c>
      <c r="I5" s="158">
        <f>G5-H5</f>
        <v>3160.3600000000006</v>
      </c>
      <c r="J5" s="167">
        <f t="shared" ref="J5:J13" si="0">H5/G5</f>
        <v>0.94793047203229264</v>
      </c>
      <c r="K5" s="548" t="s">
        <v>46</v>
      </c>
      <c r="L5" s="673">
        <f>E5+E6</f>
        <v>80927</v>
      </c>
      <c r="M5" s="655">
        <f>F5+F6</f>
        <v>0</v>
      </c>
      <c r="N5" s="657">
        <f>L5+M5</f>
        <v>80927</v>
      </c>
      <c r="O5" s="668">
        <f>H5+H6</f>
        <v>61424.932000000001</v>
      </c>
      <c r="P5" s="670">
        <f>N5-O5</f>
        <v>19502.067999999999</v>
      </c>
      <c r="Q5" s="665">
        <f>O5/N5</f>
        <v>0.75901654577582267</v>
      </c>
    </row>
    <row r="6" spans="1:27" ht="13.8" customHeight="1" thickBot="1">
      <c r="A6" s="67"/>
      <c r="B6" s="680"/>
      <c r="C6" s="237" t="s">
        <v>108</v>
      </c>
      <c r="D6" s="238" t="s">
        <v>12</v>
      </c>
      <c r="E6" s="240">
        <v>20232</v>
      </c>
      <c r="F6" s="160"/>
      <c r="G6" s="161">
        <f>+E6+I5+F6</f>
        <v>23392.36</v>
      </c>
      <c r="H6" s="100">
        <f>+D25+D29</f>
        <v>3890.2919999999995</v>
      </c>
      <c r="I6" s="161">
        <f>G6-H6</f>
        <v>19502.067999999999</v>
      </c>
      <c r="J6" s="546">
        <f>H6/G6</f>
        <v>0.16630609310048236</v>
      </c>
      <c r="K6" s="181" t="s">
        <v>46</v>
      </c>
      <c r="L6" s="674"/>
      <c r="M6" s="656"/>
      <c r="N6" s="658"/>
      <c r="O6" s="669"/>
      <c r="P6" s="671"/>
      <c r="Q6" s="665"/>
    </row>
    <row r="7" spans="1:27" ht="0.6" hidden="1" customHeight="1" thickBot="1">
      <c r="A7" s="67"/>
      <c r="B7" s="7"/>
      <c r="C7" s="241"/>
      <c r="D7" s="242"/>
      <c r="E7" s="243">
        <f>SUM(E5:E6)</f>
        <v>80927</v>
      </c>
      <c r="F7" s="101">
        <f>SUM(F5:F6)</f>
        <v>0</v>
      </c>
      <c r="G7" s="162">
        <f>E7+F7</f>
        <v>80927</v>
      </c>
      <c r="H7" s="101">
        <f t="shared" ref="H7:I7" si="1">SUM(H5:H6)</f>
        <v>61424.932000000001</v>
      </c>
      <c r="I7" s="163">
        <f t="shared" si="1"/>
        <v>22662.428</v>
      </c>
      <c r="J7" s="547"/>
      <c r="K7" s="164"/>
      <c r="L7" s="4"/>
      <c r="M7" s="6"/>
      <c r="N7" s="6"/>
      <c r="O7" s="6"/>
      <c r="P7" s="6"/>
      <c r="Q7" s="436"/>
    </row>
    <row r="8" spans="1:27" ht="18" hidden="1" customHeight="1" thickBot="1">
      <c r="A8" s="67"/>
      <c r="B8" s="242"/>
      <c r="C8" s="241"/>
      <c r="D8" s="242"/>
      <c r="E8" s="242"/>
      <c r="F8" s="5"/>
      <c r="G8" s="5"/>
      <c r="H8" s="5"/>
      <c r="I8" s="5"/>
      <c r="J8" s="5"/>
      <c r="K8" s="81"/>
      <c r="L8" s="5"/>
      <c r="M8" s="5"/>
      <c r="N8" s="5"/>
      <c r="O8" s="5"/>
      <c r="P8" s="5"/>
      <c r="Q8" s="81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" customHeight="1">
      <c r="A9" s="67"/>
      <c r="B9" s="666" t="s">
        <v>36</v>
      </c>
      <c r="C9" s="237" t="s">
        <v>107</v>
      </c>
      <c r="D9" s="238" t="s">
        <v>11</v>
      </c>
      <c r="E9" s="239">
        <f>22897+7631</f>
        <v>30528</v>
      </c>
      <c r="F9" s="165"/>
      <c r="G9" s="158">
        <f>E9+F9</f>
        <v>30528</v>
      </c>
      <c r="H9" s="106">
        <f>+C26</f>
        <v>24219.015999999981</v>
      </c>
      <c r="I9" s="166">
        <f>G9-H9</f>
        <v>6308.9840000000186</v>
      </c>
      <c r="J9" s="167">
        <f>H9/G9</f>
        <v>0.79333778825995749</v>
      </c>
      <c r="K9" s="548" t="s">
        <v>46</v>
      </c>
      <c r="L9" s="673">
        <f>E9+E10</f>
        <v>30529</v>
      </c>
      <c r="M9" s="675">
        <f>F9+F10</f>
        <v>0</v>
      </c>
      <c r="N9" s="657">
        <f>L9+M9</f>
        <v>30529</v>
      </c>
      <c r="O9" s="668">
        <f>H9+H10</f>
        <v>26679.465999999982</v>
      </c>
      <c r="P9" s="677">
        <f>N9-O9</f>
        <v>3849.5340000000178</v>
      </c>
      <c r="Q9" s="665">
        <f>O9/N9</f>
        <v>0.87390566346752208</v>
      </c>
    </row>
    <row r="10" spans="1:27" ht="12" customHeight="1" thickBot="1">
      <c r="A10" s="67"/>
      <c r="B10" s="672"/>
      <c r="C10" s="237" t="s">
        <v>107</v>
      </c>
      <c r="D10" s="238" t="s">
        <v>12</v>
      </c>
      <c r="E10" s="240">
        <v>1</v>
      </c>
      <c r="F10" s="168"/>
      <c r="G10" s="161">
        <f>+E10+I9+F10</f>
        <v>6309.9840000000186</v>
      </c>
      <c r="H10" s="102">
        <f>+D26</f>
        <v>2460.4500000000003</v>
      </c>
      <c r="I10" s="169">
        <f>G10-H10</f>
        <v>3849.5340000000183</v>
      </c>
      <c r="J10" s="170">
        <f>H10/G10</f>
        <v>0.38992967335574752</v>
      </c>
      <c r="K10" s="548" t="s">
        <v>46</v>
      </c>
      <c r="L10" s="674"/>
      <c r="M10" s="676"/>
      <c r="N10" s="658"/>
      <c r="O10" s="669"/>
      <c r="P10" s="678"/>
      <c r="Q10" s="665"/>
    </row>
    <row r="11" spans="1:27" ht="12" hidden="1" customHeight="1">
      <c r="A11" s="67"/>
      <c r="B11" s="247"/>
      <c r="C11" s="237" t="s">
        <v>107</v>
      </c>
      <c r="D11" s="7"/>
      <c r="E11" s="244">
        <f>SUM(E9:E10)</f>
        <v>30529</v>
      </c>
      <c r="F11" s="103">
        <f>SUM(F9:F10)</f>
        <v>0</v>
      </c>
      <c r="G11" s="171">
        <f>E11+F11</f>
        <v>30529</v>
      </c>
      <c r="H11" s="103">
        <f t="shared" ref="H11:I11" si="2">SUM(H9:H10)</f>
        <v>26679.465999999982</v>
      </c>
      <c r="I11" s="172">
        <f t="shared" si="2"/>
        <v>10158.518000000036</v>
      </c>
      <c r="J11" s="178"/>
      <c r="K11" s="174"/>
      <c r="L11" s="67"/>
      <c r="M11" s="70"/>
      <c r="N11" s="70"/>
      <c r="O11" s="67"/>
      <c r="P11" s="67"/>
      <c r="Q11" s="73"/>
    </row>
    <row r="12" spans="1:27" ht="12" hidden="1" customHeight="1">
      <c r="A12" s="67"/>
      <c r="B12" s="247"/>
      <c r="C12" s="237" t="s">
        <v>107</v>
      </c>
      <c r="D12" s="7"/>
      <c r="E12" s="245"/>
      <c r="F12" s="175"/>
      <c r="G12" s="175"/>
      <c r="H12" s="104"/>
      <c r="I12" s="175"/>
      <c r="J12" s="176"/>
      <c r="K12" s="174"/>
      <c r="L12" s="67"/>
      <c r="M12" s="70"/>
      <c r="N12" s="70"/>
      <c r="O12" s="67"/>
      <c r="P12" s="67"/>
      <c r="Q12" s="73"/>
    </row>
    <row r="13" spans="1:27" ht="13.8" customHeight="1">
      <c r="A13" s="67"/>
      <c r="B13" s="440" t="s">
        <v>38</v>
      </c>
      <c r="C13" s="438" t="s">
        <v>107</v>
      </c>
      <c r="D13" s="238" t="s">
        <v>14</v>
      </c>
      <c r="E13" s="246">
        <v>26209</v>
      </c>
      <c r="F13" s="101"/>
      <c r="G13" s="177">
        <f>E13+F13</f>
        <v>26209</v>
      </c>
      <c r="H13" s="105">
        <f>+C27</f>
        <v>24923.445000000007</v>
      </c>
      <c r="I13" s="163">
        <f>G13-H13</f>
        <v>1285.554999999993</v>
      </c>
      <c r="J13" s="178">
        <f t="shared" si="0"/>
        <v>0.95094986455034558</v>
      </c>
      <c r="K13" s="197" t="s">
        <v>46</v>
      </c>
      <c r="L13" s="7"/>
      <c r="M13" s="7"/>
      <c r="N13" s="7"/>
      <c r="O13" s="7"/>
      <c r="P13" s="7"/>
    </row>
    <row r="14" spans="1:27" ht="4.8" hidden="1" customHeight="1">
      <c r="A14" s="67"/>
      <c r="B14" s="247"/>
      <c r="C14" s="248"/>
      <c r="D14" s="242"/>
      <c r="E14" s="244">
        <f>SUM(E13)</f>
        <v>26209</v>
      </c>
      <c r="F14" s="103">
        <f>SUM(F13)</f>
        <v>0</v>
      </c>
      <c r="G14" s="171">
        <f>E14+F14</f>
        <v>26209</v>
      </c>
      <c r="H14" s="103">
        <f t="shared" ref="H14:I14" si="3">SUM(H13)</f>
        <v>24923.445000000007</v>
      </c>
      <c r="I14" s="172">
        <f t="shared" si="3"/>
        <v>1285.554999999993</v>
      </c>
      <c r="J14" s="178"/>
      <c r="K14" s="174"/>
      <c r="L14" s="67"/>
      <c r="M14" s="67"/>
      <c r="N14" s="67"/>
      <c r="O14" s="67"/>
      <c r="P14" s="67"/>
    </row>
    <row r="15" spans="1:27" ht="12" hidden="1" customHeight="1">
      <c r="A15" s="67"/>
      <c r="B15" s="247"/>
      <c r="C15" s="248"/>
      <c r="D15" s="242"/>
      <c r="E15" s="249"/>
      <c r="F15" s="179"/>
      <c r="G15" s="179"/>
      <c r="H15" s="104"/>
      <c r="I15" s="179"/>
      <c r="J15" s="180"/>
      <c r="K15" s="174"/>
      <c r="L15" s="67"/>
      <c r="M15" s="67"/>
      <c r="N15" s="67"/>
      <c r="O15" s="67"/>
      <c r="P15" s="67"/>
    </row>
    <row r="16" spans="1:27" ht="12.6" customHeight="1">
      <c r="A16" s="288">
        <v>11232</v>
      </c>
      <c r="B16" s="666" t="s">
        <v>40</v>
      </c>
      <c r="C16" s="237" t="s">
        <v>41</v>
      </c>
      <c r="D16" s="238" t="s">
        <v>14</v>
      </c>
      <c r="E16" s="246">
        <v>11195.151</v>
      </c>
      <c r="F16" s="101"/>
      <c r="G16" s="162">
        <f>E16+F16</f>
        <v>11195.151</v>
      </c>
      <c r="H16" s="287">
        <f>+C28-H17</f>
        <v>11109.647999999999</v>
      </c>
      <c r="I16" s="101">
        <f>G16-H16</f>
        <v>85.503000000000611</v>
      </c>
      <c r="J16" s="178">
        <f>H16/G16</f>
        <v>0.99236249694175627</v>
      </c>
      <c r="K16" s="181" t="s">
        <v>46</v>
      </c>
      <c r="L16" s="7"/>
      <c r="M16" s="7"/>
      <c r="N16" s="7"/>
      <c r="O16" s="7"/>
      <c r="P16" s="7"/>
    </row>
    <row r="17" spans="1:16" ht="12.6" customHeight="1">
      <c r="A17" s="67"/>
      <c r="B17" s="667"/>
      <c r="C17" s="237" t="s">
        <v>42</v>
      </c>
      <c r="D17" s="238" t="s">
        <v>14</v>
      </c>
      <c r="E17" s="246">
        <v>36.848999999999997</v>
      </c>
      <c r="F17" s="101"/>
      <c r="G17" s="162">
        <f>E17+F17</f>
        <v>36.848999999999997</v>
      </c>
      <c r="H17" s="287">
        <v>3.2</v>
      </c>
      <c r="I17" s="101">
        <f>G17-H17</f>
        <v>33.648999999999994</v>
      </c>
      <c r="J17" s="178">
        <f>H17/G17</f>
        <v>8.6840891204645998E-2</v>
      </c>
      <c r="K17" s="181" t="s">
        <v>46</v>
      </c>
      <c r="L17" s="7"/>
      <c r="M17" s="7"/>
      <c r="N17" s="7"/>
      <c r="O17" s="7"/>
      <c r="P17" s="7"/>
    </row>
    <row r="18" spans="1:16" ht="2.4" hidden="1" customHeight="1">
      <c r="A18" s="67"/>
      <c r="B18" s="68"/>
      <c r="C18" s="67"/>
      <c r="D18" s="67"/>
      <c r="E18" s="99">
        <f>SUM(E16:E17)</f>
        <v>11232</v>
      </c>
      <c r="F18" s="99">
        <f>SUM(F16:F17)</f>
        <v>0</v>
      </c>
      <c r="G18" s="99">
        <f>+E18+F18</f>
        <v>11232</v>
      </c>
      <c r="H18" s="286">
        <f>SUM(H16:H17)</f>
        <v>11112.848</v>
      </c>
      <c r="I18" s="286">
        <f>+G18-H18</f>
        <v>119.15200000000004</v>
      </c>
      <c r="J18" s="99"/>
      <c r="K18" s="98"/>
      <c r="L18" s="67"/>
      <c r="M18" s="67"/>
      <c r="N18" s="67"/>
      <c r="O18" s="67"/>
      <c r="P18" s="67"/>
    </row>
    <row r="19" spans="1:16" ht="15" customHeight="1"/>
    <row r="20" spans="1:16" ht="15" customHeight="1">
      <c r="B20" s="264" t="s">
        <v>150</v>
      </c>
      <c r="C20" s="265"/>
      <c r="D20" s="266"/>
      <c r="E20" s="263">
        <f>+E5+E6+E9+E10+E13+E16+E17</f>
        <v>148897</v>
      </c>
      <c r="F20" s="263">
        <f t="shared" ref="F20:H20" si="4">+F5+F6+F9+F10+F13+F16+F17</f>
        <v>0</v>
      </c>
      <c r="G20" s="263">
        <f t="shared" si="4"/>
        <v>158366.34400000001</v>
      </c>
      <c r="H20" s="500">
        <f t="shared" si="4"/>
        <v>124140.69099999998</v>
      </c>
      <c r="I20" s="163">
        <f>G20-H20</f>
        <v>34225.653000000035</v>
      </c>
      <c r="J20" s="173">
        <f>H20/G20</f>
        <v>0.78388303893660616</v>
      </c>
    </row>
    <row r="21" spans="1:16" ht="15" customHeight="1"/>
    <row r="22" spans="1:16" ht="15" customHeight="1"/>
    <row r="23" spans="1:16" ht="15" customHeight="1">
      <c r="H23" s="74"/>
    </row>
    <row r="24" spans="1:16" ht="15" hidden="1" customHeight="1">
      <c r="B24" s="260" t="s">
        <v>63</v>
      </c>
      <c r="C24" s="260" t="s">
        <v>11</v>
      </c>
      <c r="D24" s="260" t="s">
        <v>256</v>
      </c>
      <c r="E24" s="260" t="s">
        <v>236</v>
      </c>
    </row>
    <row r="25" spans="1:16" ht="15" hidden="1" customHeight="1">
      <c r="B25" s="261">
        <v>1</v>
      </c>
      <c r="C25" s="213">
        <v>15018.203000000012</v>
      </c>
      <c r="D25" s="213">
        <v>221.548</v>
      </c>
      <c r="E25" s="45">
        <f>+C25+D25</f>
        <v>15239.751000000013</v>
      </c>
    </row>
    <row r="26" spans="1:16" ht="15" hidden="1" customHeight="1">
      <c r="B26" s="261">
        <v>2</v>
      </c>
      <c r="C26" s="213">
        <v>24219.015999999981</v>
      </c>
      <c r="D26" s="213">
        <v>2460.4500000000003</v>
      </c>
      <c r="E26" s="45">
        <f t="shared" ref="E26:E30" si="5">+C26+D26</f>
        <v>26679.465999999982</v>
      </c>
    </row>
    <row r="27" spans="1:16" ht="15" hidden="1" customHeight="1">
      <c r="B27" s="261">
        <v>3</v>
      </c>
      <c r="C27" s="213">
        <v>24923.445000000007</v>
      </c>
      <c r="E27" s="45">
        <f t="shared" si="5"/>
        <v>24923.445000000007</v>
      </c>
    </row>
    <row r="28" spans="1:16" ht="15" hidden="1" customHeight="1">
      <c r="B28" s="261">
        <v>4</v>
      </c>
      <c r="C28" s="213">
        <v>11112.848</v>
      </c>
      <c r="E28" s="45">
        <f t="shared" si="5"/>
        <v>11112.848</v>
      </c>
    </row>
    <row r="29" spans="1:16" ht="15" hidden="1" customHeight="1">
      <c r="B29" s="261">
        <v>15</v>
      </c>
      <c r="C29" s="213">
        <v>42516.436999999984</v>
      </c>
      <c r="D29" s="213">
        <v>3668.7439999999992</v>
      </c>
      <c r="E29" s="45">
        <f t="shared" si="5"/>
        <v>46185.180999999982</v>
      </c>
    </row>
    <row r="30" spans="1:16" ht="15" hidden="1" customHeight="1">
      <c r="B30" s="262" t="s">
        <v>112</v>
      </c>
      <c r="C30" s="720">
        <f>SUM(C25:C29)</f>
        <v>117789.94899999999</v>
      </c>
      <c r="D30" s="720">
        <f>SUM(D25:D29)</f>
        <v>6350.7420000000002</v>
      </c>
      <c r="E30" s="720">
        <f>SUM(E25:E29)</f>
        <v>124140.69099999999</v>
      </c>
    </row>
    <row r="31" spans="1:16" ht="15" hidden="1" customHeight="1"/>
    <row r="32" spans="1:16" ht="15" hidden="1" customHeight="1"/>
    <row r="33" ht="15" hidden="1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17">
    <mergeCell ref="B16:B17"/>
    <mergeCell ref="O5:O6"/>
    <mergeCell ref="P5:P6"/>
    <mergeCell ref="Q5:Q6"/>
    <mergeCell ref="B9:B10"/>
    <mergeCell ref="L9:L10"/>
    <mergeCell ref="M9:M10"/>
    <mergeCell ref="N9:N10"/>
    <mergeCell ref="O9:O10"/>
    <mergeCell ref="P9:P10"/>
    <mergeCell ref="B5:B6"/>
    <mergeCell ref="L5:L6"/>
    <mergeCell ref="M5:M6"/>
    <mergeCell ref="N5:N6"/>
    <mergeCell ref="B1:N1"/>
    <mergeCell ref="B2:N2"/>
    <mergeCell ref="Q9:Q10"/>
  </mergeCells>
  <conditionalFormatting sqref="Q5:Q6 Q9:Q12 J5:J7 J9:J18 J20">
    <cfRule type="cellIs" dxfId="5" priority="4" operator="greaterThan">
      <formula>0.85</formula>
    </cfRule>
  </conditionalFormatting>
  <conditionalFormatting sqref="J5:J7 J9:J17">
    <cfRule type="dataBar" priority="6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{2634F2F4-3357-48CD-A516-6A2BB8148EEB}</x14:id>
        </ext>
      </extLst>
    </cfRule>
  </conditionalFormatting>
  <conditionalFormatting sqref="J5">
    <cfRule type="cellIs" dxfId="4" priority="5" operator="greaterThan">
      <formula>0.93542</formula>
    </cfRule>
  </conditionalFormatting>
  <conditionalFormatting sqref="J5:J7 J9:J17">
    <cfRule type="dataBar" priority="7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{21B14D1E-7BD7-4086-9FF5-75F515A23A93}</x14:id>
        </ext>
      </extLst>
    </cfRule>
  </conditionalFormatting>
  <conditionalFormatting sqref="J20">
    <cfRule type="dataBar" priority="2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{2634F2F4-3357-48CD-A516-6A2BB8148EEB}</x14:id>
        </ext>
      </extLst>
    </cfRule>
  </conditionalFormatting>
  <conditionalFormatting sqref="J20">
    <cfRule type="dataBar" priority="1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{21B14D1E-7BD7-4086-9FF5-75F515A23A93}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34F2F4-3357-48CD-A516-6A2BB8148E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J5:J17</xm:sqref>
        </x14:conditionalFormatting>
        <x14:conditionalFormatting xmlns:xm="http://schemas.microsoft.com/office/excel/2006/main">
          <x14:cfRule type="dataBar" id="{21B14D1E-7BD7-4086-9FF5-75F515A23A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J5:J17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S46"/>
  <sheetViews>
    <sheetView topLeftCell="A14" zoomScale="78" zoomScaleNormal="78" workbookViewId="0">
      <selection activeCell="J62" sqref="J62"/>
    </sheetView>
  </sheetViews>
  <sheetFormatPr baseColWidth="10" defaultRowHeight="14.4"/>
  <cols>
    <col min="1" max="1" width="9.5546875" style="80" customWidth="1"/>
    <col min="2" max="2" width="24.21875" style="80" customWidth="1"/>
    <col min="3" max="3" width="15.88671875" style="80" customWidth="1"/>
    <col min="4" max="4" width="8.6640625" style="80" customWidth="1"/>
    <col min="5" max="5" width="12.109375" style="80" customWidth="1"/>
    <col min="6" max="6" width="10.6640625" style="80" customWidth="1"/>
    <col min="7" max="10" width="11.5546875" style="80"/>
    <col min="11" max="11" width="9.5546875" style="80" customWidth="1"/>
    <col min="12" max="17" width="11.5546875" style="80" hidden="1" customWidth="1"/>
    <col min="18" max="16384" width="11.5546875" style="80"/>
  </cols>
  <sheetData>
    <row r="1" spans="1:19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8"/>
      <c r="N1" s="8"/>
      <c r="O1" s="8"/>
      <c r="P1" s="8"/>
      <c r="Q1" s="8"/>
      <c r="R1" s="8"/>
      <c r="S1" s="8"/>
    </row>
    <row r="2" spans="1:19" ht="18">
      <c r="A2" s="8"/>
      <c r="B2" s="688" t="s">
        <v>246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90"/>
      <c r="R2" s="10"/>
      <c r="S2" s="10"/>
    </row>
    <row r="3" spans="1:19" ht="17.399999999999999" customHeight="1">
      <c r="A3" s="8"/>
      <c r="B3" s="691">
        <f>+'Resumen_Anch_Sard_Esp_XV-IV'!B2</f>
        <v>43656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3"/>
      <c r="O3" s="694"/>
      <c r="P3" s="692"/>
      <c r="Q3" s="695"/>
      <c r="R3" s="10"/>
      <c r="S3" s="10"/>
    </row>
    <row r="4" spans="1:19" ht="19.2" customHeight="1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1"/>
      <c r="N4" s="10"/>
      <c r="O4" s="10"/>
      <c r="P4" s="10"/>
      <c r="Q4" s="10"/>
      <c r="R4" s="10"/>
      <c r="S4" s="10"/>
    </row>
    <row r="5" spans="1:19" ht="28.8">
      <c r="A5" s="8"/>
      <c r="B5" s="250" t="s">
        <v>43</v>
      </c>
      <c r="C5" s="250" t="s">
        <v>27</v>
      </c>
      <c r="D5" s="250" t="s">
        <v>2</v>
      </c>
      <c r="E5" s="250" t="s">
        <v>9</v>
      </c>
      <c r="F5" s="250" t="s">
        <v>28</v>
      </c>
      <c r="G5" s="250" t="s">
        <v>5</v>
      </c>
      <c r="H5" s="250" t="s">
        <v>29</v>
      </c>
      <c r="I5" s="250" t="s">
        <v>30</v>
      </c>
      <c r="J5" s="251" t="s">
        <v>44</v>
      </c>
      <c r="K5" s="250" t="s">
        <v>32</v>
      </c>
      <c r="L5" s="76" t="s">
        <v>33</v>
      </c>
      <c r="M5" s="75" t="s">
        <v>45</v>
      </c>
      <c r="N5" s="77" t="s">
        <v>33</v>
      </c>
      <c r="O5" s="77" t="s">
        <v>29</v>
      </c>
      <c r="P5" s="77" t="s">
        <v>30</v>
      </c>
      <c r="Q5" s="75" t="s">
        <v>44</v>
      </c>
      <c r="R5" s="10"/>
      <c r="S5" s="10"/>
    </row>
    <row r="6" spans="1:19" ht="15" customHeight="1">
      <c r="A6" s="8"/>
      <c r="B6" s="684" t="s">
        <v>34</v>
      </c>
      <c r="C6" s="684" t="s">
        <v>35</v>
      </c>
      <c r="D6" s="252" t="s">
        <v>11</v>
      </c>
      <c r="E6" s="253">
        <v>536</v>
      </c>
      <c r="F6" s="183"/>
      <c r="G6" s="182">
        <f>E6</f>
        <v>536</v>
      </c>
      <c r="H6" s="90"/>
      <c r="I6" s="182">
        <f>G6-H6</f>
        <v>536</v>
      </c>
      <c r="J6" s="184">
        <f>H6/G6</f>
        <v>0</v>
      </c>
      <c r="K6" s="14" t="s">
        <v>46</v>
      </c>
      <c r="L6" s="686">
        <f>E6+E7</f>
        <v>714</v>
      </c>
      <c r="M6" s="687">
        <f>F6+F7</f>
        <v>0</v>
      </c>
      <c r="N6" s="681">
        <f>L6+M6</f>
        <v>714</v>
      </c>
      <c r="O6" s="682">
        <f>H6+H7</f>
        <v>0</v>
      </c>
      <c r="P6" s="681">
        <f>N6-O6</f>
        <v>714</v>
      </c>
      <c r="Q6" s="683">
        <f>O6/N6</f>
        <v>0</v>
      </c>
      <c r="R6" s="10"/>
      <c r="S6" s="10"/>
    </row>
    <row r="7" spans="1:19">
      <c r="A7" s="8"/>
      <c r="B7" s="685"/>
      <c r="C7" s="685"/>
      <c r="D7" s="252" t="s">
        <v>12</v>
      </c>
      <c r="E7" s="253">
        <v>178</v>
      </c>
      <c r="F7" s="185"/>
      <c r="G7" s="186">
        <f>+E7+I6+F7</f>
        <v>714</v>
      </c>
      <c r="H7" s="91"/>
      <c r="I7" s="186">
        <f>G7-H7</f>
        <v>714</v>
      </c>
      <c r="J7" s="184">
        <f>H7/G7</f>
        <v>0</v>
      </c>
      <c r="K7" s="14" t="s">
        <v>46</v>
      </c>
      <c r="L7" s="686"/>
      <c r="M7" s="687"/>
      <c r="N7" s="682"/>
      <c r="O7" s="682"/>
      <c r="P7" s="682"/>
      <c r="Q7" s="683"/>
      <c r="R7" s="10"/>
      <c r="S7" s="10"/>
    </row>
    <row r="8" spans="1:19" s="89" customFormat="1" ht="14.4" hidden="1" customHeight="1">
      <c r="A8" s="82"/>
      <c r="B8" s="254"/>
      <c r="C8" s="254"/>
      <c r="D8" s="254"/>
      <c r="E8" s="254"/>
      <c r="F8" s="92">
        <f>SUM(F6:F7)</f>
        <v>0</v>
      </c>
      <c r="G8" s="187">
        <f t="shared" ref="G8:I8" si="0">SUM(G6:G7)</f>
        <v>1250</v>
      </c>
      <c r="H8" s="92">
        <f t="shared" si="0"/>
        <v>0</v>
      </c>
      <c r="I8" s="187">
        <f t="shared" si="0"/>
        <v>1250</v>
      </c>
      <c r="J8" s="188"/>
      <c r="K8" s="84"/>
      <c r="L8" s="85"/>
      <c r="M8" s="86"/>
      <c r="N8" s="83"/>
      <c r="O8" s="83"/>
      <c r="P8" s="83"/>
      <c r="Q8" s="87"/>
      <c r="R8" s="88"/>
      <c r="S8" s="88"/>
    </row>
    <row r="9" spans="1:19" ht="15" customHeight="1">
      <c r="A9" s="8"/>
      <c r="B9" s="684" t="s">
        <v>36</v>
      </c>
      <c r="C9" s="684" t="s">
        <v>37</v>
      </c>
      <c r="D9" s="252" t="s">
        <v>11</v>
      </c>
      <c r="E9" s="253">
        <v>2026</v>
      </c>
      <c r="F9" s="182"/>
      <c r="G9" s="182">
        <f>E9+F9</f>
        <v>2026</v>
      </c>
      <c r="H9" s="196">
        <f>+C36</f>
        <v>403.30599999999998</v>
      </c>
      <c r="I9" s="190">
        <f>G9-H9</f>
        <v>1622.694</v>
      </c>
      <c r="J9" s="184">
        <f>H9/G9</f>
        <v>0.19906515301085884</v>
      </c>
      <c r="K9" s="13" t="s">
        <v>46</v>
      </c>
      <c r="L9" s="686">
        <f>E9+E10</f>
        <v>2701</v>
      </c>
      <c r="M9" s="687">
        <f>F9+F10</f>
        <v>0</v>
      </c>
      <c r="N9" s="681">
        <f>L9+M9</f>
        <v>2701</v>
      </c>
      <c r="O9" s="682">
        <f>H9+H10</f>
        <v>403.30599999999998</v>
      </c>
      <c r="P9" s="681">
        <f>N9-O9</f>
        <v>2297.694</v>
      </c>
      <c r="Q9" s="683">
        <f>O9/N9</f>
        <v>0.14931728989263235</v>
      </c>
      <c r="R9" s="10"/>
      <c r="S9" s="10"/>
    </row>
    <row r="10" spans="1:19" ht="14.4" customHeight="1">
      <c r="A10" s="8"/>
      <c r="B10" s="685"/>
      <c r="C10" s="685"/>
      <c r="D10" s="252" t="s">
        <v>12</v>
      </c>
      <c r="E10" s="253">
        <v>675</v>
      </c>
      <c r="F10" s="182"/>
      <c r="G10" s="186">
        <f>+E10+I9+F10</f>
        <v>2297.694</v>
      </c>
      <c r="H10" s="93"/>
      <c r="I10" s="190">
        <f>G10-H10</f>
        <v>2297.694</v>
      </c>
      <c r="J10" s="184">
        <f>H10/G10</f>
        <v>0</v>
      </c>
      <c r="K10" s="13" t="s">
        <v>46</v>
      </c>
      <c r="L10" s="686"/>
      <c r="M10" s="687"/>
      <c r="N10" s="682"/>
      <c r="O10" s="682"/>
      <c r="P10" s="682"/>
      <c r="Q10" s="683"/>
      <c r="R10" s="10"/>
      <c r="S10" s="10"/>
    </row>
    <row r="11" spans="1:19" ht="15" hidden="1" customHeight="1">
      <c r="A11" s="8"/>
      <c r="B11" s="255"/>
      <c r="C11" s="255"/>
      <c r="D11" s="255"/>
      <c r="E11" s="255"/>
      <c r="F11" s="94">
        <f>SUM(F9:F10)</f>
        <v>0</v>
      </c>
      <c r="G11" s="94">
        <f t="shared" ref="G11:I11" si="1">SUM(G9:G10)</f>
        <v>4323.6939999999995</v>
      </c>
      <c r="H11" s="94">
        <f t="shared" si="1"/>
        <v>403.30599999999998</v>
      </c>
      <c r="I11" s="94">
        <f t="shared" si="1"/>
        <v>3920.3879999999999</v>
      </c>
      <c r="J11" s="188"/>
      <c r="K11" s="16"/>
      <c r="L11" s="18"/>
      <c r="M11" s="19"/>
      <c r="N11" s="15"/>
      <c r="O11" s="15"/>
      <c r="P11" s="15"/>
      <c r="Q11" s="78"/>
      <c r="R11" s="10"/>
      <c r="S11" s="10"/>
    </row>
    <row r="12" spans="1:19" ht="14.4" customHeight="1">
      <c r="A12" s="8"/>
      <c r="B12" s="442" t="s">
        <v>38</v>
      </c>
      <c r="C12" s="256" t="s">
        <v>39</v>
      </c>
      <c r="D12" s="252" t="s">
        <v>47</v>
      </c>
      <c r="E12" s="253">
        <v>218.5</v>
      </c>
      <c r="F12" s="182"/>
      <c r="G12" s="191">
        <f>E12+F12</f>
        <v>218.5</v>
      </c>
      <c r="H12" s="189">
        <f>+C37</f>
        <v>200.76000000000005</v>
      </c>
      <c r="I12" s="190">
        <f>G12-H12</f>
        <v>17.739999999999952</v>
      </c>
      <c r="J12" s="184">
        <f>H12/G12</f>
        <v>0.91881006864988579</v>
      </c>
      <c r="K12" s="14" t="s">
        <v>46</v>
      </c>
      <c r="L12" s="38">
        <f>E12</f>
        <v>218.5</v>
      </c>
      <c r="M12" s="41">
        <f>F12</f>
        <v>0</v>
      </c>
      <c r="N12" s="40">
        <f>L12+M12</f>
        <v>218.5</v>
      </c>
      <c r="O12" s="39">
        <f>H12</f>
        <v>200.76000000000005</v>
      </c>
      <c r="P12" s="40">
        <f>N12-O12</f>
        <v>17.739999999999952</v>
      </c>
      <c r="Q12" s="42">
        <f>O12/N12</f>
        <v>0.91881006864988579</v>
      </c>
      <c r="R12" s="10"/>
      <c r="S12" s="10"/>
    </row>
    <row r="13" spans="1:19" ht="15" hidden="1" customHeight="1">
      <c r="A13" s="8"/>
      <c r="B13" s="255"/>
      <c r="C13" s="255"/>
      <c r="D13" s="255"/>
      <c r="E13" s="255"/>
      <c r="F13" s="94">
        <f>SUM(F12)</f>
        <v>0</v>
      </c>
      <c r="G13" s="94">
        <f>SUM(G12)</f>
        <v>218.5</v>
      </c>
      <c r="H13" s="94">
        <f>SUM(H12)</f>
        <v>200.76000000000005</v>
      </c>
      <c r="I13" s="94">
        <f>SUM(I12)</f>
        <v>17.739999999999952</v>
      </c>
      <c r="J13" s="188"/>
      <c r="K13" s="17"/>
      <c r="L13" s="18"/>
      <c r="M13" s="19"/>
      <c r="N13" s="79"/>
      <c r="O13" s="15"/>
      <c r="P13" s="79"/>
      <c r="Q13" s="78"/>
      <c r="R13" s="10"/>
      <c r="S13" s="10"/>
    </row>
    <row r="14" spans="1:19" ht="13.8" customHeight="1">
      <c r="A14" s="8"/>
      <c r="B14" s="256" t="s">
        <v>48</v>
      </c>
      <c r="C14" s="256" t="s">
        <v>49</v>
      </c>
      <c r="D14" s="252" t="s">
        <v>47</v>
      </c>
      <c r="E14" s="253">
        <v>218.5</v>
      </c>
      <c r="F14" s="182"/>
      <c r="G14" s="191">
        <f>E14+F14</f>
        <v>218.5</v>
      </c>
      <c r="H14" s="212">
        <f>+C38</f>
        <v>201.18800000000002</v>
      </c>
      <c r="I14" s="190">
        <f>G14-H14</f>
        <v>17.311999999999983</v>
      </c>
      <c r="J14" s="184">
        <f>H14/G14</f>
        <v>0.92076887871853552</v>
      </c>
      <c r="K14" s="14" t="s">
        <v>46</v>
      </c>
      <c r="L14" s="38">
        <f>E14</f>
        <v>218.5</v>
      </c>
      <c r="M14" s="41">
        <f>F14</f>
        <v>0</v>
      </c>
      <c r="N14" s="40">
        <f>L14+M14</f>
        <v>218.5</v>
      </c>
      <c r="O14" s="43">
        <f>H14</f>
        <v>201.18800000000002</v>
      </c>
      <c r="P14" s="40">
        <f>N14-O14</f>
        <v>17.311999999999983</v>
      </c>
      <c r="Q14" s="42">
        <f>O14/N14</f>
        <v>0.92076887871853552</v>
      </c>
      <c r="R14" s="10"/>
      <c r="S14" s="10"/>
    </row>
    <row r="15" spans="1:19" ht="14.4" hidden="1" customHeight="1">
      <c r="A15" s="8"/>
      <c r="B15" s="8"/>
      <c r="C15" s="8"/>
      <c r="D15" s="8"/>
      <c r="E15" s="8"/>
      <c r="F15" s="95">
        <f>SUM(F14)</f>
        <v>0</v>
      </c>
      <c r="G15" s="95">
        <f t="shared" ref="G15:I15" si="2">SUM(G14)</f>
        <v>218.5</v>
      </c>
      <c r="H15" s="95">
        <f t="shared" si="2"/>
        <v>201.18800000000002</v>
      </c>
      <c r="I15" s="95">
        <f t="shared" si="2"/>
        <v>17.311999999999983</v>
      </c>
      <c r="J15" s="96"/>
      <c r="K15" s="8"/>
      <c r="L15" s="9"/>
      <c r="M15" s="8"/>
      <c r="N15" s="8"/>
      <c r="O15" s="8"/>
      <c r="P15" s="8"/>
      <c r="Q15" s="8"/>
      <c r="R15" s="8"/>
      <c r="S15" s="8"/>
    </row>
    <row r="16" spans="1:19" ht="15.6" customHeight="1">
      <c r="A16" s="8"/>
      <c r="B16" s="256" t="s">
        <v>50</v>
      </c>
      <c r="C16" s="257" t="s">
        <v>51</v>
      </c>
      <c r="D16" s="252" t="s">
        <v>47</v>
      </c>
      <c r="E16" s="258">
        <v>100</v>
      </c>
      <c r="F16" s="97"/>
      <c r="G16" s="97">
        <f>E16+F16</f>
        <v>100</v>
      </c>
      <c r="H16" s="213">
        <v>0</v>
      </c>
      <c r="I16" s="97">
        <f>G16-H16</f>
        <v>100</v>
      </c>
      <c r="J16" s="192">
        <f>H16/G16</f>
        <v>0</v>
      </c>
      <c r="K16" s="81" t="s">
        <v>46</v>
      </c>
      <c r="L16" s="9"/>
      <c r="M16" s="9"/>
      <c r="N16" s="9"/>
      <c r="O16" s="9"/>
      <c r="P16" s="9"/>
      <c r="Q16" s="9"/>
      <c r="R16" s="9"/>
      <c r="S16" s="9"/>
    </row>
    <row r="17" spans="1:19" ht="15" customHeight="1">
      <c r="A17" s="8"/>
      <c r="B17" s="256" t="s">
        <v>50</v>
      </c>
      <c r="C17" s="257" t="s">
        <v>52</v>
      </c>
      <c r="D17" s="252" t="s">
        <v>47</v>
      </c>
      <c r="E17" s="259">
        <v>438</v>
      </c>
      <c r="F17" s="97"/>
      <c r="G17" s="97">
        <f>E17+F17</f>
        <v>438</v>
      </c>
      <c r="H17" s="501">
        <v>70.992999999999995</v>
      </c>
      <c r="I17" s="97">
        <f>G17-H17</f>
        <v>367.00700000000001</v>
      </c>
      <c r="J17" s="192">
        <f>H17/G17</f>
        <v>0.16208447488584474</v>
      </c>
      <c r="K17" s="81" t="s">
        <v>46</v>
      </c>
      <c r="L17" s="9"/>
      <c r="M17" s="9"/>
      <c r="N17" s="9"/>
      <c r="O17" s="9"/>
      <c r="P17" s="9"/>
      <c r="Q17" s="9"/>
      <c r="R17" s="9"/>
      <c r="S17" s="9"/>
    </row>
    <row r="18" spans="1:19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8"/>
      <c r="N18" s="8"/>
      <c r="O18" s="8"/>
      <c r="P18" s="8"/>
      <c r="Q18" s="8"/>
      <c r="R18" s="8"/>
      <c r="S18" s="8"/>
    </row>
    <row r="19" spans="1:19">
      <c r="A19" s="8"/>
      <c r="B19" s="264" t="s">
        <v>257</v>
      </c>
      <c r="C19" s="265"/>
      <c r="D19" s="266"/>
      <c r="E19" s="263">
        <f>+E6+E7+E9+E10+E12+E14</f>
        <v>3852</v>
      </c>
      <c r="F19" s="263">
        <f t="shared" ref="F19:I19" si="3">+F6+F7+F9+F10+F12+F14</f>
        <v>0</v>
      </c>
      <c r="G19" s="263">
        <f t="shared" si="3"/>
        <v>6010.6939999999995</v>
      </c>
      <c r="H19" s="263">
        <f>+H6+H7+H9+H10+H12+H14</f>
        <v>805.25400000000002</v>
      </c>
      <c r="I19" s="263">
        <f t="shared" si="3"/>
        <v>5205.4399999999996</v>
      </c>
      <c r="J19" s="173">
        <f>H19/G19</f>
        <v>0.13397022041048839</v>
      </c>
      <c r="K19" s="8"/>
      <c r="L19" s="9"/>
      <c r="M19" s="8"/>
      <c r="N19" s="8"/>
      <c r="O19" s="8"/>
      <c r="P19" s="8"/>
      <c r="Q19" s="8"/>
      <c r="R19" s="8"/>
      <c r="S19" s="8"/>
    </row>
    <row r="20" spans="1:19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  <c r="M20" s="8"/>
      <c r="N20" s="8"/>
      <c r="O20" s="8"/>
      <c r="P20" s="8"/>
      <c r="Q20" s="8"/>
      <c r="R20" s="8"/>
      <c r="S20" s="8"/>
    </row>
    <row r="21" spans="1:19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8"/>
      <c r="N21" s="8"/>
      <c r="O21" s="8"/>
      <c r="P21" s="8"/>
      <c r="Q21" s="8"/>
      <c r="R21" s="8"/>
      <c r="S21" s="8"/>
    </row>
    <row r="22" spans="1:19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8"/>
      <c r="N22" s="8"/>
      <c r="O22" s="8"/>
      <c r="P22" s="8"/>
      <c r="Q22" s="8"/>
      <c r="R22" s="8"/>
      <c r="S22" s="8"/>
    </row>
    <row r="23" spans="1:19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8"/>
      <c r="N23" s="8"/>
      <c r="O23" s="8"/>
      <c r="P23" s="8"/>
      <c r="Q23" s="8"/>
      <c r="R23" s="8"/>
      <c r="S23" s="8"/>
    </row>
    <row r="24" spans="1:19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  <c r="M24" s="8"/>
      <c r="N24" s="8"/>
      <c r="O24" s="8"/>
      <c r="P24" s="8"/>
      <c r="Q24" s="8"/>
      <c r="R24" s="8"/>
      <c r="S24" s="8"/>
    </row>
    <row r="25" spans="1:19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  <c r="M25" s="8"/>
      <c r="N25" s="8"/>
      <c r="O25" s="8"/>
      <c r="P25" s="8"/>
      <c r="Q25" s="8"/>
      <c r="R25" s="8"/>
      <c r="S25" s="8"/>
    </row>
    <row r="26" spans="1:19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  <c r="M26" s="8"/>
      <c r="N26" s="8"/>
      <c r="O26" s="8"/>
      <c r="P26" s="8"/>
      <c r="Q26" s="8"/>
      <c r="R26" s="8"/>
      <c r="S26" s="8"/>
    </row>
    <row r="27" spans="1:19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  <c r="M27" s="8"/>
      <c r="N27" s="8"/>
      <c r="O27" s="8"/>
      <c r="P27" s="8"/>
      <c r="Q27" s="8"/>
      <c r="R27" s="8"/>
      <c r="S27" s="8"/>
    </row>
    <row r="28" spans="1:19" hidden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  <c r="M28" s="8"/>
      <c r="N28" s="8"/>
      <c r="O28" s="8"/>
      <c r="P28" s="8"/>
      <c r="Q28" s="8"/>
      <c r="R28" s="8"/>
      <c r="S28" s="8"/>
    </row>
    <row r="29" spans="1:19" hidden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9"/>
      <c r="M29" s="8"/>
      <c r="N29" s="8"/>
      <c r="O29" s="8"/>
      <c r="P29" s="8"/>
      <c r="Q29" s="8"/>
      <c r="R29" s="8"/>
      <c r="S29" s="8"/>
    </row>
    <row r="30" spans="1:19" hidden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  <c r="M30" s="8"/>
      <c r="N30" s="8"/>
      <c r="O30" s="8"/>
      <c r="P30" s="8"/>
      <c r="Q30" s="8"/>
      <c r="R30" s="8"/>
      <c r="S30" s="8"/>
    </row>
    <row r="31" spans="1:19" hidden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  <c r="M31" s="8"/>
      <c r="N31" s="8"/>
      <c r="O31" s="8"/>
      <c r="P31" s="8"/>
      <c r="Q31" s="8"/>
      <c r="R31" s="8"/>
      <c r="S31" s="8"/>
    </row>
    <row r="32" spans="1:19" hidden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  <c r="M32" s="8"/>
      <c r="N32" s="8"/>
      <c r="O32" s="8"/>
      <c r="P32" s="8"/>
      <c r="Q32" s="8"/>
      <c r="R32" s="8"/>
      <c r="S32" s="8"/>
    </row>
    <row r="33" spans="1:19" hidden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  <c r="M33" s="8"/>
      <c r="N33" s="8"/>
      <c r="O33" s="8"/>
      <c r="P33" s="8"/>
      <c r="Q33" s="8"/>
      <c r="R33" s="8"/>
      <c r="S33" s="8"/>
    </row>
    <row r="34" spans="1:19" hidden="1">
      <c r="A34" s="8"/>
      <c r="B34" s="444" t="s">
        <v>111</v>
      </c>
      <c r="C34" s="444" t="s">
        <v>126</v>
      </c>
      <c r="D34" s="8"/>
      <c r="E34" s="8"/>
      <c r="F34" s="8"/>
      <c r="G34" s="8"/>
      <c r="H34" s="8"/>
      <c r="I34" s="8"/>
      <c r="J34" s="8"/>
      <c r="K34" s="8"/>
      <c r="L34" s="9"/>
      <c r="M34" s="8"/>
      <c r="N34" s="8"/>
      <c r="O34" s="8"/>
      <c r="P34" s="8"/>
      <c r="Q34" s="8"/>
      <c r="R34" s="8"/>
      <c r="S34" s="8"/>
    </row>
    <row r="35" spans="1:19" hidden="1">
      <c r="A35" s="8"/>
      <c r="B35" s="215">
        <v>1</v>
      </c>
      <c r="C35" s="213"/>
      <c r="D35" s="8"/>
      <c r="E35" s="8"/>
      <c r="F35" s="8"/>
      <c r="G35" s="8"/>
      <c r="H35" s="8"/>
      <c r="I35" s="8"/>
      <c r="J35" s="8"/>
      <c r="K35" s="8"/>
      <c r="L35" s="9"/>
      <c r="M35" s="8"/>
      <c r="N35" s="8"/>
      <c r="O35" s="8"/>
      <c r="P35" s="8"/>
      <c r="Q35" s="8"/>
      <c r="R35" s="8"/>
      <c r="S35" s="8"/>
    </row>
    <row r="36" spans="1:19" hidden="1">
      <c r="A36" s="8"/>
      <c r="B36" s="215">
        <v>2</v>
      </c>
      <c r="C36" s="213">
        <v>403.30599999999998</v>
      </c>
      <c r="D36" s="8"/>
      <c r="E36" s="8"/>
      <c r="F36" s="8"/>
      <c r="G36" s="8"/>
      <c r="H36" s="8"/>
      <c r="I36" s="8"/>
      <c r="J36" s="8"/>
      <c r="K36" s="8"/>
      <c r="L36" s="9"/>
      <c r="M36" s="8"/>
      <c r="N36" s="8"/>
      <c r="O36" s="8"/>
      <c r="P36" s="8"/>
      <c r="Q36" s="8"/>
      <c r="R36" s="8"/>
      <c r="S36" s="8"/>
    </row>
    <row r="37" spans="1:19" hidden="1">
      <c r="A37" s="8"/>
      <c r="B37" s="215">
        <v>3</v>
      </c>
      <c r="C37" s="213">
        <v>200.76000000000005</v>
      </c>
      <c r="D37" s="8"/>
      <c r="E37" s="8"/>
      <c r="F37" s="8"/>
      <c r="G37" s="8"/>
      <c r="H37" s="8"/>
      <c r="I37" s="8"/>
      <c r="J37" s="8"/>
      <c r="K37" s="8"/>
      <c r="L37" s="9"/>
      <c r="M37" s="8"/>
      <c r="N37" s="8"/>
      <c r="O37" s="8"/>
      <c r="P37" s="8"/>
      <c r="Q37" s="8"/>
      <c r="R37" s="8"/>
      <c r="S37" s="8"/>
    </row>
    <row r="38" spans="1:19" hidden="1">
      <c r="A38" s="8"/>
      <c r="B38" s="215">
        <v>4</v>
      </c>
      <c r="C38" s="213">
        <v>201.18800000000002</v>
      </c>
      <c r="D38" s="8"/>
      <c r="E38" s="8"/>
      <c r="F38" s="8"/>
      <c r="G38" s="8"/>
      <c r="H38" s="8"/>
      <c r="I38" s="8"/>
      <c r="J38" s="8"/>
      <c r="K38" s="8"/>
      <c r="L38" s="9"/>
      <c r="M38" s="8"/>
      <c r="N38" s="8"/>
      <c r="O38" s="8"/>
      <c r="P38" s="8"/>
      <c r="Q38" s="8"/>
      <c r="R38" s="8"/>
      <c r="S38" s="8"/>
    </row>
    <row r="39" spans="1:19" hidden="1">
      <c r="A39" s="8"/>
      <c r="B39" s="215">
        <v>15</v>
      </c>
      <c r="C39" s="213"/>
      <c r="D39" s="8"/>
      <c r="E39" s="8"/>
      <c r="F39" s="8"/>
      <c r="G39" s="8"/>
      <c r="H39" s="8"/>
      <c r="I39" s="8"/>
      <c r="J39" s="8"/>
      <c r="K39" s="8"/>
      <c r="L39" s="9"/>
      <c r="M39" s="8"/>
      <c r="N39" s="8"/>
      <c r="O39" s="8"/>
      <c r="P39" s="8"/>
      <c r="Q39" s="8"/>
      <c r="R39" s="8"/>
      <c r="S39" s="8"/>
    </row>
    <row r="40" spans="1:19" hidden="1">
      <c r="A40" s="8"/>
      <c r="B40" s="216" t="s">
        <v>112</v>
      </c>
      <c r="C40" s="214">
        <f>SUM(C36:C39)</f>
        <v>805.25400000000002</v>
      </c>
      <c r="D40" s="8"/>
      <c r="E40" s="8"/>
      <c r="F40" s="8"/>
      <c r="G40" s="8"/>
      <c r="H40" s="8"/>
      <c r="I40" s="8"/>
      <c r="J40" s="8"/>
      <c r="K40" s="8"/>
      <c r="L40" s="9"/>
      <c r="M40" s="8"/>
      <c r="N40" s="8"/>
      <c r="O40" s="8"/>
      <c r="P40" s="8"/>
      <c r="Q40" s="8"/>
      <c r="R40" s="8"/>
      <c r="S40" s="8"/>
    </row>
    <row r="41" spans="1:19" hidden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  <c r="M41" s="8"/>
      <c r="N41" s="8"/>
      <c r="O41" s="8"/>
      <c r="P41" s="8"/>
      <c r="Q41" s="8"/>
      <c r="R41" s="8"/>
      <c r="S41" s="8"/>
    </row>
    <row r="42" spans="1:19" hidden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  <c r="M42" s="8"/>
      <c r="N42" s="8"/>
      <c r="O42" s="8"/>
      <c r="P42" s="8"/>
      <c r="Q42" s="8"/>
      <c r="R42" s="8"/>
      <c r="S42" s="8"/>
    </row>
    <row r="43" spans="1:19" hidden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9"/>
      <c r="M43" s="8"/>
      <c r="N43" s="8"/>
      <c r="O43" s="8"/>
      <c r="P43" s="8"/>
      <c r="Q43" s="8"/>
      <c r="R43" s="8"/>
      <c r="S43" s="8"/>
    </row>
    <row r="44" spans="1:19" hidden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  <c r="M44" s="8"/>
      <c r="N44" s="8"/>
      <c r="O44" s="8"/>
      <c r="P44" s="8"/>
      <c r="Q44" s="8"/>
      <c r="R44" s="8"/>
      <c r="S44" s="8"/>
    </row>
    <row r="45" spans="1:19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  <c r="M45" s="8"/>
      <c r="N45" s="8"/>
      <c r="O45" s="8"/>
      <c r="P45" s="8"/>
      <c r="Q45" s="8"/>
      <c r="R45" s="8"/>
      <c r="S45" s="8"/>
    </row>
    <row r="46" spans="1:19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  <c r="M46" s="8"/>
      <c r="N46" s="8"/>
      <c r="O46" s="8"/>
      <c r="P46" s="8"/>
      <c r="Q46" s="8"/>
      <c r="R46" s="8"/>
      <c r="S46" s="8"/>
    </row>
  </sheetData>
  <mergeCells count="19">
    <mergeCell ref="B2:Q2"/>
    <mergeCell ref="B6:B7"/>
    <mergeCell ref="C6:C7"/>
    <mergeCell ref="L6:L7"/>
    <mergeCell ref="M6:M7"/>
    <mergeCell ref="N6:N7"/>
    <mergeCell ref="O6:O7"/>
    <mergeCell ref="P6:P7"/>
    <mergeCell ref="Q6:Q7"/>
    <mergeCell ref="B3:N3"/>
    <mergeCell ref="O3:Q3"/>
    <mergeCell ref="P9:P10"/>
    <mergeCell ref="Q9:Q10"/>
    <mergeCell ref="B9:B10"/>
    <mergeCell ref="C9:C10"/>
    <mergeCell ref="L9:L10"/>
    <mergeCell ref="M9:M10"/>
    <mergeCell ref="N9:N10"/>
    <mergeCell ref="O9:O10"/>
  </mergeCells>
  <conditionalFormatting sqref="J6:J11">
    <cfRule type="cellIs" dxfId="2" priority="6" operator="greaterThan">
      <formula>0.95</formula>
    </cfRule>
  </conditionalFormatting>
  <conditionalFormatting sqref="H6:H7 H14 H9:H10 H12">
    <cfRule type="dataBar" priority="49">
      <dataBar>
        <cfvo type="min" val="0"/>
        <cfvo type="max" val="0"/>
        <color rgb="FFFFB628"/>
      </dataBar>
    </cfRule>
  </conditionalFormatting>
  <conditionalFormatting sqref="J19">
    <cfRule type="cellIs" dxfId="1" priority="4" operator="greaterThan">
      <formula>0.85</formula>
    </cfRule>
  </conditionalFormatting>
  <conditionalFormatting sqref="J19">
    <cfRule type="dataBar" priority="3">
      <dataBar>
        <cfvo type="min" val="0"/>
        <cfvo type="max" val="0"/>
        <color rgb="FF63C384"/>
      </dataBar>
    </cfRule>
  </conditionalFormatting>
  <conditionalFormatting sqref="J19">
    <cfRule type="dataBar" priority="2">
      <dataBar>
        <cfvo type="min" val="0"/>
        <cfvo type="max" val="0"/>
        <color rgb="FF63C384"/>
      </dataBar>
    </cfRule>
  </conditionalFormatting>
  <conditionalFormatting sqref="J6:J17">
    <cfRule type="cellIs" dxfId="0" priority="1" operator="greaterThan">
      <formula>0.85</formula>
    </cfRule>
  </conditionalFormatting>
  <hyperlinks>
    <hyperlink ref="B12" location="'Sardina Española'!A1" display="III Región de Atacama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N54"/>
  <sheetViews>
    <sheetView showGridLines="0" tabSelected="1" topLeftCell="A43" zoomScale="71" zoomScaleNormal="71" workbookViewId="0">
      <selection activeCell="E66" sqref="E66"/>
    </sheetView>
  </sheetViews>
  <sheetFormatPr baseColWidth="10" defaultRowHeight="12"/>
  <cols>
    <col min="1" max="1" width="6.33203125" style="26" customWidth="1"/>
    <col min="2" max="2" width="44" style="26" customWidth="1"/>
    <col min="3" max="3" width="17.6640625" style="26" customWidth="1"/>
    <col min="4" max="4" width="14.21875" style="26" customWidth="1"/>
    <col min="5" max="5" width="16.33203125" style="26" customWidth="1"/>
    <col min="6" max="6" width="13.88671875" style="26" customWidth="1"/>
    <col min="7" max="7" width="11.109375" style="26" customWidth="1"/>
    <col min="8" max="8" width="10" style="26" customWidth="1"/>
    <col min="9" max="9" width="11.33203125" style="26" customWidth="1"/>
    <col min="10" max="10" width="10.5546875" style="26" customWidth="1"/>
    <col min="11" max="11" width="10.33203125" style="26" customWidth="1"/>
    <col min="12" max="12" width="9" style="205" customWidth="1"/>
    <col min="13" max="13" width="19.21875" style="26" customWidth="1"/>
    <col min="14" max="16384" width="11.5546875" style="26"/>
  </cols>
  <sheetData>
    <row r="2" spans="1:14" ht="23.4" customHeight="1">
      <c r="B2" s="696" t="s">
        <v>244</v>
      </c>
      <c r="C2" s="697"/>
      <c r="D2" s="697"/>
      <c r="E2" s="697"/>
      <c r="F2" s="697"/>
      <c r="G2" s="697"/>
      <c r="H2" s="697"/>
      <c r="I2" s="697"/>
      <c r="J2" s="697"/>
      <c r="K2" s="698"/>
      <c r="N2" s="205"/>
    </row>
    <row r="3" spans="1:14" s="224" customFormat="1">
      <c r="B3" s="487"/>
      <c r="C3" s="488"/>
      <c r="D3" s="488"/>
      <c r="E3" s="488"/>
      <c r="F3" s="488"/>
      <c r="G3" s="488"/>
      <c r="H3" s="543">
        <f>SUM(H5:H141)</f>
        <v>63107.905000000006</v>
      </c>
      <c r="I3" s="488">
        <f>SUM(I5:I158)</f>
        <v>23570.745999999992</v>
      </c>
      <c r="J3" s="489"/>
      <c r="K3" s="490"/>
    </row>
    <row r="4" spans="1:14">
      <c r="A4" s="224"/>
      <c r="B4" s="486" t="str">
        <f>+'Anchoveta-Sardina Española LTP'!B57</f>
        <v>Tp art_Cesion</v>
      </c>
      <c r="C4" s="486" t="str">
        <f>+'Anchoveta-Sardina Española LTP'!C57</f>
        <v>Res Ex</v>
      </c>
      <c r="D4" s="486" t="str">
        <f>+'Anchoveta-Sardina Española LTP'!D57</f>
        <v>Fecha</v>
      </c>
      <c r="E4" s="486" t="str">
        <f>+'Anchoveta-Sardina Española LTP'!E57</f>
        <v>Descuento (-)</v>
      </c>
      <c r="F4" s="486" t="str">
        <f>+'Anchoveta-Sardina Española LTP'!F57</f>
        <v>Abono (+)</v>
      </c>
      <c r="G4" s="486" t="str">
        <f>+'Anchoveta-Sardina Española LTP'!G57</f>
        <v>Especie</v>
      </c>
      <c r="H4" s="486" t="str">
        <f>+'Anchoveta-Sardina Española LTP'!H57</f>
        <v>Cantidad</v>
      </c>
      <c r="I4" s="486" t="s">
        <v>113</v>
      </c>
      <c r="J4" s="486" t="s">
        <v>30</v>
      </c>
      <c r="K4" s="486" t="s">
        <v>142</v>
      </c>
    </row>
    <row r="5" spans="1:14">
      <c r="A5" s="224"/>
      <c r="B5" s="558" t="str">
        <f>+'Anchoveta-Sardina Española LTP'!B58</f>
        <v>55T</v>
      </c>
      <c r="C5" s="558">
        <f>+'Anchoveta-Sardina Española LTP'!C58</f>
        <v>242</v>
      </c>
      <c r="D5" s="559">
        <f>+'Anchoveta-Sardina Española LTP'!D58</f>
        <v>43494</v>
      </c>
      <c r="E5" s="560" t="str">
        <f>+'Anchoveta-Sardina Española LTP'!E58</f>
        <v>Pesq. Bahia Caldera III-IV</v>
      </c>
      <c r="F5" s="560" t="str">
        <f>+'Anchoveta-Sardina Española LTP'!F58</f>
        <v>Grupo Emb II</v>
      </c>
      <c r="G5" s="560" t="str">
        <f>+'Anchoveta-Sardina Española LTP'!G58</f>
        <v>Anchoveta</v>
      </c>
      <c r="H5" s="561">
        <f>+'Anchoveta-Sardina Española LTP'!H58</f>
        <v>6937.2340000000004</v>
      </c>
      <c r="I5" s="551">
        <f>+C49</f>
        <v>6936.2519999999995</v>
      </c>
      <c r="J5" s="505">
        <f>+H5-I5</f>
        <v>0.98200000000088039</v>
      </c>
      <c r="K5" s="230">
        <f>+I5/H5</f>
        <v>0.99985844502290089</v>
      </c>
      <c r="L5" s="227"/>
    </row>
    <row r="6" spans="1:14">
      <c r="A6" s="224"/>
      <c r="B6" s="558" t="str">
        <f>+'Anchoveta-Sardina Española LTP'!B59</f>
        <v>55T</v>
      </c>
      <c r="C6" s="558">
        <f>+'Anchoveta-Sardina Española LTP'!C59</f>
        <v>651</v>
      </c>
      <c r="D6" s="559">
        <f>+'Anchoveta-Sardina Española LTP'!D59</f>
        <v>43514</v>
      </c>
      <c r="E6" s="560" t="str">
        <f>+'Anchoveta-Sardina Española LTP'!E59</f>
        <v>Soc Com Serv y Trasportes II-IV</v>
      </c>
      <c r="F6" s="560" t="str">
        <f>+'Anchoveta-Sardina Española LTP'!F59</f>
        <v>Grupo Emb IV</v>
      </c>
      <c r="G6" s="560" t="str">
        <f>+'Anchoveta-Sardina Española LTP'!G59</f>
        <v>Anchoveta</v>
      </c>
      <c r="H6" s="561">
        <f>+'Anchoveta-Sardina Española LTP'!H59</f>
        <v>404.10399999999998</v>
      </c>
      <c r="I6" s="551">
        <f>+C50</f>
        <v>403.44500000000005</v>
      </c>
      <c r="J6" s="505">
        <f t="shared" ref="J6:J25" si="0">+H6-I6</f>
        <v>0.65899999999993497</v>
      </c>
      <c r="K6" s="230">
        <f t="shared" ref="K6:K25" si="1">+I6/H6</f>
        <v>0.99836923168293323</v>
      </c>
    </row>
    <row r="7" spans="1:14" hidden="1">
      <c r="A7" s="224"/>
      <c r="B7" s="558" t="str">
        <f>+'Anchoveta-Sardina Española LTP'!B60</f>
        <v>55T</v>
      </c>
      <c r="C7" s="558">
        <f>+'Anchoveta-Sardina Española LTP'!C60</f>
        <v>685</v>
      </c>
      <c r="D7" s="559">
        <f>+'Anchoveta-Sardina Española LTP'!D60</f>
        <v>43516</v>
      </c>
      <c r="E7" s="560" t="str">
        <f>+'Anchoveta-Sardina Española LTP'!E60</f>
        <v>Pesq Litoral III-IV</v>
      </c>
      <c r="F7" s="560" t="str">
        <f>+'Anchoveta-Sardina Española LTP'!F60</f>
        <v>Emb Fortuna V Rpa 955947-IV</v>
      </c>
      <c r="G7" s="560" t="str">
        <f>+'Anchoveta-Sardina Española LTP'!G60</f>
        <v>Anchoveta</v>
      </c>
      <c r="H7" s="561">
        <f>+'Anchoveta-Sardina Española LTP'!H60</f>
        <v>0</v>
      </c>
      <c r="I7" s="562"/>
      <c r="J7" s="505">
        <f>+H7-I7</f>
        <v>0</v>
      </c>
      <c r="K7" s="230">
        <v>0</v>
      </c>
    </row>
    <row r="8" spans="1:14" hidden="1">
      <c r="A8" s="224"/>
      <c r="B8" s="558" t="str">
        <f>+'Anchoveta-Sardina Española LTP'!B61</f>
        <v>55T</v>
      </c>
      <c r="C8" s="558">
        <f>+'Anchoveta-Sardina Española LTP'!C61</f>
        <v>685</v>
      </c>
      <c r="D8" s="559">
        <f>+'Anchoveta-Sardina Española LTP'!D61</f>
        <v>43516</v>
      </c>
      <c r="E8" s="560" t="str">
        <f>+'Anchoveta-Sardina Española LTP'!E61</f>
        <v>Pesq Litoral III-IV</v>
      </c>
      <c r="F8" s="560" t="str">
        <f>+'Anchoveta-Sardina Española LTP'!F61</f>
        <v>Emb Fortuna V Rpa 955947-IV</v>
      </c>
      <c r="G8" s="560" t="str">
        <f>+'Anchoveta-Sardina Española LTP'!G61</f>
        <v>…</v>
      </c>
      <c r="H8" s="561">
        <f>+'Anchoveta-Sardina Española LTP'!H61</f>
        <v>0</v>
      </c>
      <c r="I8" s="562"/>
      <c r="J8" s="505">
        <f>+H8-I8</f>
        <v>0</v>
      </c>
      <c r="K8" s="230">
        <v>0</v>
      </c>
    </row>
    <row r="9" spans="1:14" hidden="1">
      <c r="A9" s="224"/>
      <c r="B9" s="558" t="str">
        <f>+'Anchoveta-Sardina Española LTP'!B62</f>
        <v>55T</v>
      </c>
      <c r="C9" s="558" t="str">
        <f>+'Anchoveta-Sardina Española LTP'!C62</f>
        <v>826  rectifica 685</v>
      </c>
      <c r="D9" s="559">
        <f>+'Anchoveta-Sardina Española LTP'!D62</f>
        <v>43572</v>
      </c>
      <c r="E9" s="560" t="str">
        <f>+'Anchoveta-Sardina Española LTP'!E62</f>
        <v>Pesq Litoral III-IV</v>
      </c>
      <c r="F9" s="560" t="str">
        <f>+'Anchoveta-Sardina Española LTP'!F62</f>
        <v>Emb Fortuna V Rpa 955947-IV</v>
      </c>
      <c r="G9" s="560" t="str">
        <f>+'Anchoveta-Sardina Española LTP'!G62</f>
        <v>…</v>
      </c>
      <c r="H9" s="561">
        <f>+'Anchoveta-Sardina Española LTP'!H62</f>
        <v>0</v>
      </c>
      <c r="I9" s="562"/>
      <c r="J9" s="505"/>
      <c r="K9" s="230">
        <v>0</v>
      </c>
    </row>
    <row r="10" spans="1:14">
      <c r="A10" s="224"/>
      <c r="B10" s="558" t="str">
        <f>+'Anchoveta-Sardina Española LTP'!B63</f>
        <v>55T</v>
      </c>
      <c r="C10" s="558">
        <f>+'Anchoveta-Sardina Española LTP'!C63</f>
        <v>885</v>
      </c>
      <c r="D10" s="559">
        <f>+'Anchoveta-Sardina Española LTP'!D63</f>
        <v>43537</v>
      </c>
      <c r="E10" s="560" t="str">
        <f>+'Anchoveta-Sardina Española LTP'!E63</f>
        <v>Orizon II-IV</v>
      </c>
      <c r="F10" s="560" t="str">
        <f>+'Anchoveta-Sardina Española LTP'!F63</f>
        <v>Grupo Emb IV</v>
      </c>
      <c r="G10" s="560" t="str">
        <f>+'Anchoveta-Sardina Española LTP'!G63</f>
        <v>Anchoveta</v>
      </c>
      <c r="H10" s="561">
        <f>+'Anchoveta-Sardina Española LTP'!H63</f>
        <v>8100</v>
      </c>
      <c r="I10" s="551">
        <f>+C51</f>
        <v>8100</v>
      </c>
      <c r="J10" s="505">
        <f t="shared" si="0"/>
        <v>0</v>
      </c>
      <c r="K10" s="230">
        <f t="shared" si="1"/>
        <v>1</v>
      </c>
    </row>
    <row r="11" spans="1:14">
      <c r="A11" s="224"/>
      <c r="B11" s="558" t="str">
        <f>+'Anchoveta-Sardina Española LTP'!B64</f>
        <v>55T</v>
      </c>
      <c r="C11" s="558">
        <f>+'Anchoveta-Sardina Española LTP'!C64</f>
        <v>885</v>
      </c>
      <c r="D11" s="559">
        <f>+'Anchoveta-Sardina Española LTP'!D64</f>
        <v>43537</v>
      </c>
      <c r="E11" s="560" t="str">
        <f>+'Anchoveta-Sardina Española LTP'!E64</f>
        <v>Orizon II-IV</v>
      </c>
      <c r="F11" s="560" t="str">
        <f>+'Anchoveta-Sardina Española LTP'!F64</f>
        <v>Grupo Emb IV</v>
      </c>
      <c r="G11" s="560" t="str">
        <f>+'Anchoveta-Sardina Española LTP'!G64</f>
        <v>Sardina Española</v>
      </c>
      <c r="H11" s="561">
        <f>+'Anchoveta-Sardina Española LTP'!H64</f>
        <v>100</v>
      </c>
      <c r="I11" s="551">
        <f>+D52</f>
        <v>99.704000000000008</v>
      </c>
      <c r="J11" s="505">
        <f t="shared" si="0"/>
        <v>0.29599999999999227</v>
      </c>
      <c r="K11" s="230">
        <f t="shared" si="1"/>
        <v>0.99704000000000004</v>
      </c>
    </row>
    <row r="12" spans="1:14">
      <c r="A12" s="224"/>
      <c r="B12" s="558" t="str">
        <f>+'Anchoveta-Sardina Española LTP'!B65</f>
        <v>55T</v>
      </c>
      <c r="C12" s="558">
        <f>+'Anchoveta-Sardina Española LTP'!C65</f>
        <v>944</v>
      </c>
      <c r="D12" s="559">
        <f>+'Anchoveta-Sardina Española LTP'!D65</f>
        <v>43542</v>
      </c>
      <c r="E12" s="560" t="str">
        <f>+'Anchoveta-Sardina Española LTP'!E65</f>
        <v>Pesq. Bahia Caldera III-IV</v>
      </c>
      <c r="F12" s="560" t="str">
        <f>+'Anchoveta-Sardina Española LTP'!F65</f>
        <v>Grupo Emb IV</v>
      </c>
      <c r="G12" s="560" t="str">
        <f>+'Anchoveta-Sardina Española LTP'!G65</f>
        <v>Anchoveta</v>
      </c>
      <c r="H12" s="561">
        <f>+'Anchoveta-Sardina Española LTP'!H65</f>
        <v>1500</v>
      </c>
      <c r="I12" s="551">
        <f>+C53</f>
        <v>1499.9999999999998</v>
      </c>
      <c r="J12" s="505">
        <f t="shared" si="0"/>
        <v>0</v>
      </c>
      <c r="K12" s="230">
        <f t="shared" si="1"/>
        <v>0.99999999999999989</v>
      </c>
    </row>
    <row r="13" spans="1:14">
      <c r="A13" s="224"/>
      <c r="B13" s="558" t="str">
        <f>+'Anchoveta-Sardina Española LTP'!B66</f>
        <v>55T</v>
      </c>
      <c r="C13" s="558">
        <f>+'Anchoveta-Sardina Española LTP'!C66</f>
        <v>1199</v>
      </c>
      <c r="D13" s="559">
        <f>+'Anchoveta-Sardina Española LTP'!D66</f>
        <v>43553</v>
      </c>
      <c r="E13" s="560" t="str">
        <f>+'Anchoveta-Sardina Española LTP'!E66</f>
        <v>Serv Ind Lo Rojas Ltda XV-II</v>
      </c>
      <c r="F13" s="560" t="str">
        <f>+'Anchoveta-Sardina Española LTP'!F66</f>
        <v>Emb Valentina Rpa 967544-II</v>
      </c>
      <c r="G13" s="560" t="str">
        <f>+'Anchoveta-Sardina Española LTP'!G66</f>
        <v>Anchoveta</v>
      </c>
      <c r="H13" s="561">
        <f>+'Anchoveta-Sardina Española LTP'!H66</f>
        <v>943.81500000000005</v>
      </c>
      <c r="I13" s="551">
        <f>+C41</f>
        <v>182.655</v>
      </c>
      <c r="J13" s="505">
        <f t="shared" si="0"/>
        <v>761.16000000000008</v>
      </c>
      <c r="K13" s="230">
        <f t="shared" si="1"/>
        <v>0.19352839274645983</v>
      </c>
    </row>
    <row r="14" spans="1:14" hidden="1">
      <c r="A14" s="224"/>
      <c r="B14" s="225" t="str">
        <f>+'Anchoveta-Sardina Española LTP'!B67</f>
        <v>55T</v>
      </c>
      <c r="C14" s="225" t="str">
        <f>+'Anchoveta-Sardina Española LTP'!C67</f>
        <v>1330 sin efecto 685</v>
      </c>
      <c r="D14" s="226">
        <f>+'Anchoveta-Sardina Española LTP'!D67</f>
        <v>43572</v>
      </c>
      <c r="E14" s="229" t="str">
        <f>+'Anchoveta-Sardina Española LTP'!E67</f>
        <v>Pesq Litoral III-IV</v>
      </c>
      <c r="F14" s="485" t="str">
        <f>+'Anchoveta-Sardina Española LTP'!F67</f>
        <v>Emb Fortuna V Rpa 955947-IV</v>
      </c>
      <c r="G14" s="485" t="str">
        <f>+'Anchoveta-Sardina Española LTP'!G67</f>
        <v>Anchoveta</v>
      </c>
      <c r="H14" s="505">
        <f>+'Anchoveta-Sardina Española LTP'!H67</f>
        <v>0</v>
      </c>
      <c r="I14" s="418"/>
      <c r="J14" s="505"/>
      <c r="K14" s="230">
        <v>0</v>
      </c>
    </row>
    <row r="15" spans="1:14">
      <c r="A15" s="224"/>
      <c r="B15" s="225" t="str">
        <f>+'Anchoveta-Sardina Española LTP'!B68</f>
        <v>55T</v>
      </c>
      <c r="C15" s="225" t="str">
        <f>+'Anchoveta-Sardina Española LTP'!C68</f>
        <v>1461 rectificada 2242</v>
      </c>
      <c r="D15" s="226">
        <f>+'Anchoveta-Sardina Española LTP'!D68</f>
        <v>43563</v>
      </c>
      <c r="E15" s="229" t="str">
        <f>+'Anchoveta-Sardina Española LTP'!E68</f>
        <v>Pesq Litoral III-IV</v>
      </c>
      <c r="F15" s="485" t="str">
        <f>+'Anchoveta-Sardina Española LTP'!F68</f>
        <v>Emb Don BAYRON Rpa 966665-III</v>
      </c>
      <c r="G15" s="485" t="str">
        <f>+'Anchoveta-Sardina Española LTP'!G68</f>
        <v>Anchoveta</v>
      </c>
      <c r="H15" s="505">
        <f>+'Anchoveta-Sardina Española LTP'!H68</f>
        <v>184.113</v>
      </c>
      <c r="I15" s="418"/>
      <c r="J15" s="505">
        <f t="shared" si="0"/>
        <v>184.113</v>
      </c>
      <c r="K15" s="230">
        <f t="shared" si="1"/>
        <v>0</v>
      </c>
    </row>
    <row r="16" spans="1:14">
      <c r="A16" s="224"/>
      <c r="B16" s="225" t="str">
        <f>+'Anchoveta-Sardina Española LTP'!B69</f>
        <v>55T</v>
      </c>
      <c r="C16" s="225" t="str">
        <f>+'Anchoveta-Sardina Española LTP'!C69</f>
        <v>1461 rectificada 2242</v>
      </c>
      <c r="D16" s="226">
        <f>+'Anchoveta-Sardina Española LTP'!D69</f>
        <v>43563</v>
      </c>
      <c r="E16" s="229" t="str">
        <f>+'Anchoveta-Sardina Española LTP'!E69</f>
        <v>Pesq Litoral III-IV</v>
      </c>
      <c r="F16" s="485" t="str">
        <f>+'Anchoveta-Sardina Española LTP'!F69</f>
        <v>Emb Don BAYRON Rpa 966665-III</v>
      </c>
      <c r="G16" s="485" t="str">
        <f>+'Anchoveta-Sardina Española LTP'!G69</f>
        <v>Sardina Española</v>
      </c>
      <c r="H16" s="505">
        <f>+'Anchoveta-Sardina Española LTP'!H69</f>
        <v>1.663</v>
      </c>
      <c r="I16" s="418"/>
      <c r="J16" s="505">
        <f t="shared" si="0"/>
        <v>1.663</v>
      </c>
      <c r="K16" s="230">
        <f t="shared" si="1"/>
        <v>0</v>
      </c>
    </row>
    <row r="17" spans="1:12">
      <c r="A17" s="224"/>
      <c r="B17" s="553" t="str">
        <f>+'Anchoveta-Sardina Española LTP'!B70</f>
        <v>55T</v>
      </c>
      <c r="C17" s="553">
        <f>+'Anchoveta-Sardina Española LTP'!C70</f>
        <v>1550</v>
      </c>
      <c r="D17" s="554">
        <f>+'Anchoveta-Sardina Española LTP'!D70</f>
        <v>43580</v>
      </c>
      <c r="E17" s="555" t="str">
        <f>+'Anchoveta-Sardina Española LTP'!E70</f>
        <v>Camanchaca III-IV</v>
      </c>
      <c r="F17" s="555" t="str">
        <f>+'Anchoveta-Sardina Española LTP'!F70</f>
        <v>Emb Fortuna V_III y Maimaui_III</v>
      </c>
      <c r="G17" s="555" t="str">
        <f>+'Anchoveta-Sardina Española LTP'!G70</f>
        <v>Anchoveta</v>
      </c>
      <c r="H17" s="556">
        <f>+'Anchoveta-Sardina Española LTP'!H70</f>
        <v>421.49799999999999</v>
      </c>
      <c r="I17" s="557">
        <f>+C42</f>
        <v>421.2</v>
      </c>
      <c r="J17" s="506">
        <f t="shared" si="0"/>
        <v>0.29800000000000182</v>
      </c>
      <c r="K17" s="491">
        <f t="shared" si="1"/>
        <v>0.99929299783154368</v>
      </c>
    </row>
    <row r="18" spans="1:12">
      <c r="A18" s="224"/>
      <c r="B18" s="558" t="str">
        <f>+'Anchoveta-Sardina Española LTP'!B71</f>
        <v>55T</v>
      </c>
      <c r="C18" s="558">
        <f>+'Anchoveta-Sardina Española LTP'!C71</f>
        <v>1636</v>
      </c>
      <c r="D18" s="559">
        <f>+'Anchoveta-Sardina Española LTP'!D71</f>
        <v>43585</v>
      </c>
      <c r="E18" s="560" t="str">
        <f>+'Anchoveta-Sardina Española LTP'!E71</f>
        <v>Corpesca XV-II</v>
      </c>
      <c r="F18" s="560" t="str">
        <f>+'Anchoveta-Sardina Española LTP'!F71</f>
        <v>Grupo Emb II region</v>
      </c>
      <c r="G18" s="560" t="str">
        <f>+'Anchoveta-Sardina Española LTP'!G71</f>
        <v>Anchoveta</v>
      </c>
      <c r="H18" s="561">
        <f>+'Anchoveta-Sardina Española LTP'!H71</f>
        <v>12000</v>
      </c>
      <c r="I18" s="551">
        <f>+C43</f>
        <v>1855.4459999999999</v>
      </c>
      <c r="J18" s="505">
        <f t="shared" si="0"/>
        <v>10144.554</v>
      </c>
      <c r="K18" s="230">
        <f t="shared" si="1"/>
        <v>0.15462049999999999</v>
      </c>
    </row>
    <row r="19" spans="1:12">
      <c r="A19" s="224"/>
      <c r="B19" s="558" t="str">
        <f>+'Anchoveta-Sardina Española LTP'!B72</f>
        <v>55T</v>
      </c>
      <c r="C19" s="558">
        <f>+'Anchoveta-Sardina Española LTP'!C72</f>
        <v>1637</v>
      </c>
      <c r="D19" s="559">
        <f>+'Anchoveta-Sardina Española LTP'!D72</f>
        <v>43585</v>
      </c>
      <c r="E19" s="560" t="str">
        <f>+'Anchoveta-Sardina Española LTP'!E72</f>
        <v>Corpesca XV-II</v>
      </c>
      <c r="F19" s="560" t="str">
        <f>+'Anchoveta-Sardina Española LTP'!F72</f>
        <v>Grupo Emb II region</v>
      </c>
      <c r="G19" s="560" t="str">
        <f>+'Anchoveta-Sardina Española LTP'!G72</f>
        <v>Anchoveta</v>
      </c>
      <c r="H19" s="561">
        <f>+'Anchoveta-Sardina Española LTP'!H72</f>
        <v>15000</v>
      </c>
      <c r="I19" s="551">
        <f>+C44</f>
        <v>1424.64</v>
      </c>
      <c r="J19" s="505">
        <f t="shared" si="0"/>
        <v>13575.36</v>
      </c>
      <c r="K19" s="230">
        <f t="shared" si="1"/>
        <v>9.4976000000000005E-2</v>
      </c>
    </row>
    <row r="20" spans="1:12" hidden="1">
      <c r="A20" s="224"/>
      <c r="B20" s="502" t="str">
        <f>+'Anchoveta-Sardina Española LTP'!B73</f>
        <v>55T</v>
      </c>
      <c r="C20" s="502" t="str">
        <f>+'Anchoveta-Sardina Española LTP'!C73</f>
        <v>1718 rectifica 1550</v>
      </c>
      <c r="D20" s="503">
        <f>+'Anchoveta-Sardina Española LTP'!D73</f>
        <v>43592</v>
      </c>
      <c r="E20" s="504" t="str">
        <f>+'Anchoveta-Sardina Española LTP'!E73</f>
        <v>Camanchaca III-IV</v>
      </c>
      <c r="F20" s="485" t="str">
        <f>+'Anchoveta-Sardina Española LTP'!F73</f>
        <v>Emb Fortuna V_III y Maimaui_III</v>
      </c>
      <c r="G20" s="485" t="str">
        <f>+'Anchoveta-Sardina Española LTP'!G73</f>
        <v>…</v>
      </c>
      <c r="H20" s="505">
        <f>+'Anchoveta-Sardina Española LTP'!H73</f>
        <v>0</v>
      </c>
      <c r="I20" s="418"/>
      <c r="J20" s="505">
        <f t="shared" si="0"/>
        <v>0</v>
      </c>
      <c r="K20" s="230">
        <v>0</v>
      </c>
    </row>
    <row r="21" spans="1:12">
      <c r="A21" s="224"/>
      <c r="B21" s="225" t="str">
        <f>+'Anchoveta-Sardina Española LTP'!B74</f>
        <v>55T</v>
      </c>
      <c r="C21" s="225">
        <f>+'Anchoveta-Sardina Española LTP'!C74</f>
        <v>1956</v>
      </c>
      <c r="D21" s="226">
        <f>+'Anchoveta-Sardina Española LTP'!D74</f>
        <v>43609</v>
      </c>
      <c r="E21" s="229" t="str">
        <f>+'Anchoveta-Sardina Española LTP'!E74</f>
        <v>Alimar III-IV</v>
      </c>
      <c r="F21" s="485" t="str">
        <f>+'Anchoveta-Sardina Española LTP'!F74</f>
        <v>Grupo Emb IV</v>
      </c>
      <c r="G21" s="485" t="str">
        <f>+'Anchoveta-Sardina Española LTP'!G74</f>
        <v>Anchoveta</v>
      </c>
      <c r="H21" s="505">
        <f>+'Anchoveta-Sardina Española LTP'!H74</f>
        <v>1100</v>
      </c>
      <c r="I21" s="418"/>
      <c r="J21" s="505">
        <f t="shared" si="0"/>
        <v>1100</v>
      </c>
      <c r="K21" s="230">
        <f t="shared" si="1"/>
        <v>0</v>
      </c>
    </row>
    <row r="22" spans="1:12">
      <c r="A22" s="224"/>
      <c r="B22" s="558" t="str">
        <f>+'Anchoveta-Sardina Española LTP'!B75</f>
        <v>55T</v>
      </c>
      <c r="C22" s="558">
        <f>+'Anchoveta-Sardina Española LTP'!C75</f>
        <v>2101</v>
      </c>
      <c r="D22" s="559">
        <f>+'Anchoveta-Sardina Española LTP'!D75</f>
        <v>43623</v>
      </c>
      <c r="E22" s="560" t="str">
        <f>+'Anchoveta-Sardina Española LTP'!E75</f>
        <v>Abastecimientos de Pacifico, 76.542.970-6</v>
      </c>
      <c r="F22" s="560" t="str">
        <f>+'Anchoveta-Sardina Española LTP'!F75</f>
        <v>Grupo Emb III region</v>
      </c>
      <c r="G22" s="560" t="str">
        <f>+'Anchoveta-Sardina Española LTP'!G75</f>
        <v>Anchoveta</v>
      </c>
      <c r="H22" s="561">
        <f>+'Anchoveta-Sardina Española LTP'!H75</f>
        <v>209.48</v>
      </c>
      <c r="I22" s="551">
        <f>+C45</f>
        <v>17.815000000000001</v>
      </c>
      <c r="J22" s="505">
        <f t="shared" si="0"/>
        <v>191.66499999999999</v>
      </c>
      <c r="K22" s="230">
        <f t="shared" si="1"/>
        <v>8.5043918273820907E-2</v>
      </c>
    </row>
    <row r="23" spans="1:12">
      <c r="A23" s="224"/>
      <c r="B23" s="558" t="str">
        <f>+'Anchoveta-Sardina Española LTP'!B76</f>
        <v>55T</v>
      </c>
      <c r="C23" s="563">
        <f>+'Anchoveta-Sardina Española LTP'!C76</f>
        <v>2142</v>
      </c>
      <c r="D23" s="559">
        <f>+'Anchoveta-Sardina Española LTP'!D76</f>
        <v>43627</v>
      </c>
      <c r="E23" s="560" t="str">
        <f>+'Anchoveta-Sardina Española LTP'!E76</f>
        <v>Orizon II-IV</v>
      </c>
      <c r="F23" s="560" t="str">
        <f>+'Anchoveta-Sardina Española LTP'!F76</f>
        <v>Grupo Emb IV region</v>
      </c>
      <c r="G23" s="560" t="str">
        <f>+'Anchoveta-Sardina Española LTP'!G76</f>
        <v>Anchoveta</v>
      </c>
      <c r="H23" s="561">
        <f>+'Anchoveta-Sardina Española LTP'!H76</f>
        <v>7400</v>
      </c>
      <c r="I23" s="551">
        <f>+C46</f>
        <v>1831.4390000000001</v>
      </c>
      <c r="J23" s="505">
        <f t="shared" si="0"/>
        <v>5568.5609999999997</v>
      </c>
      <c r="K23" s="230">
        <f t="shared" si="1"/>
        <v>0.24749175675675678</v>
      </c>
    </row>
    <row r="24" spans="1:12">
      <c r="A24" s="224"/>
      <c r="B24" s="558" t="str">
        <f>+'Anchoveta-Sardina Española LTP'!B77</f>
        <v>55T</v>
      </c>
      <c r="C24" s="558">
        <f>+'Anchoveta-Sardina Española LTP'!C77</f>
        <v>2169</v>
      </c>
      <c r="D24" s="559">
        <f>+'Anchoveta-Sardina Española LTP'!D77</f>
        <v>43627</v>
      </c>
      <c r="E24" s="560" t="str">
        <f>+'Anchoveta-Sardina Española LTP'!E77</f>
        <v>Soc Com Serv y Trasportes II-IV</v>
      </c>
      <c r="F24" s="560" t="str">
        <f>+'Anchoveta-Sardina Española LTP'!F77</f>
        <v>Grupo Emb III region</v>
      </c>
      <c r="G24" s="560" t="str">
        <f>+'Anchoveta-Sardina Española LTP'!G77</f>
        <v>Anchoveta</v>
      </c>
      <c r="H24" s="561">
        <f>+'Anchoveta-Sardina Española LTP'!H77</f>
        <v>354.714</v>
      </c>
      <c r="I24" s="551">
        <f>+C47</f>
        <v>97.67</v>
      </c>
      <c r="J24" s="505">
        <f t="shared" si="0"/>
        <v>257.04399999999998</v>
      </c>
      <c r="K24" s="230">
        <f t="shared" si="1"/>
        <v>0.27534859069560264</v>
      </c>
    </row>
    <row r="25" spans="1:12">
      <c r="A25" s="224"/>
      <c r="B25" s="558" t="str">
        <f>+'Anchoveta-Sardina Española LTP'!B78</f>
        <v>55T</v>
      </c>
      <c r="C25" s="558">
        <f>+'Anchoveta-Sardina Española LTP'!C78</f>
        <v>2178</v>
      </c>
      <c r="D25" s="559">
        <f>+'Anchoveta-Sardina Española LTP'!D78</f>
        <v>43627</v>
      </c>
      <c r="E25" s="560" t="str">
        <f>+'Anchoveta-Sardina Española LTP'!E78</f>
        <v>Pesq. Bahia Caldera III-IV</v>
      </c>
      <c r="F25" s="560" t="str">
        <f>+'Anchoveta-Sardina Española LTP'!F78</f>
        <v>Grupo Emb III region</v>
      </c>
      <c r="G25" s="560" t="str">
        <f>+'Anchoveta-Sardina Española LTP'!G78</f>
        <v>Anchoveta</v>
      </c>
      <c r="H25" s="561">
        <f>+'Anchoveta-Sardina Española LTP'!H78</f>
        <v>7402</v>
      </c>
      <c r="I25" s="551">
        <f>+C48</f>
        <v>700.48000000000013</v>
      </c>
      <c r="J25" s="505">
        <f t="shared" si="0"/>
        <v>6701.5199999999995</v>
      </c>
      <c r="K25" s="230">
        <f t="shared" si="1"/>
        <v>9.463388273439613E-2</v>
      </c>
    </row>
    <row r="26" spans="1:12">
      <c r="A26" s="224"/>
      <c r="B26" s="225" t="str">
        <f>+'Anchoveta-Sardina Española LTP'!B79</f>
        <v>55T</v>
      </c>
      <c r="C26" s="225">
        <f>+'Anchoveta-Sardina Española LTP'!C79</f>
        <v>2274</v>
      </c>
      <c r="D26" s="226">
        <f>+'Anchoveta-Sardina Española LTP'!D79</f>
        <v>43637</v>
      </c>
      <c r="E26" s="229" t="str">
        <f>+'Anchoveta-Sardina Española LTP'!E79</f>
        <v>ERIC ARACENA REYNUABA III-IV</v>
      </c>
      <c r="F26" s="485" t="str">
        <f>+'Anchoveta-Sardina Española LTP'!F79</f>
        <v>Emb EL CID Rpa 950657-III</v>
      </c>
      <c r="G26" s="485" t="str">
        <f>+'Anchoveta-Sardina Española LTP'!G79</f>
        <v>Anchoveta</v>
      </c>
      <c r="H26" s="505">
        <f>+'Anchoveta-Sardina Española LTP'!H79</f>
        <v>151.76400000000001</v>
      </c>
      <c r="I26" s="418"/>
      <c r="J26" s="505">
        <f t="shared" ref="J26:J32" si="2">+H26-I26</f>
        <v>151.76400000000001</v>
      </c>
      <c r="K26" s="230">
        <f t="shared" ref="K26:K32" si="3">+I26/H26</f>
        <v>0</v>
      </c>
      <c r="L26" s="461"/>
    </row>
    <row r="27" spans="1:12">
      <c r="A27" s="224"/>
      <c r="B27" s="225" t="str">
        <f>+'Anchoveta-Sardina Española LTP'!B80</f>
        <v>55T</v>
      </c>
      <c r="C27" s="225">
        <f>+'Anchoveta-Sardina Española LTP'!C80</f>
        <v>2275</v>
      </c>
      <c r="D27" s="226">
        <f>+'Anchoveta-Sardina Española LTP'!D80</f>
        <v>43637</v>
      </c>
      <c r="E27" s="229" t="str">
        <f>+'Anchoveta-Sardina Española LTP'!E80</f>
        <v>GIULLIANO REYNUABA SALAS III-IV</v>
      </c>
      <c r="F27" s="485" t="str">
        <f>+'Anchoveta-Sardina Española LTP'!F80</f>
        <v>Emb KALI Rpa 951110-III</v>
      </c>
      <c r="G27" s="485" t="str">
        <f>+'Anchoveta-Sardina Española LTP'!G80</f>
        <v>Anchoveta</v>
      </c>
      <c r="H27" s="505">
        <f>+'Anchoveta-Sardina Española LTP'!H80</f>
        <v>151.76400000000001</v>
      </c>
      <c r="I27" s="418"/>
      <c r="J27" s="505">
        <f t="shared" si="2"/>
        <v>151.76400000000001</v>
      </c>
      <c r="K27" s="230">
        <f t="shared" si="3"/>
        <v>0</v>
      </c>
      <c r="L27" s="461"/>
    </row>
    <row r="28" spans="1:12" s="205" customFormat="1">
      <c r="A28" s="224"/>
      <c r="B28" s="225" t="str">
        <f>+'Anchoveta-Sardina Española LTP'!B81</f>
        <v>55T</v>
      </c>
      <c r="C28" s="225">
        <f>+'Anchoveta-Sardina Española LTP'!C81</f>
        <v>2276</v>
      </c>
      <c r="D28" s="226">
        <f>+'Anchoveta-Sardina Española LTP'!D81</f>
        <v>43637</v>
      </c>
      <c r="E28" s="229" t="str">
        <f>+'Anchoveta-Sardina Española LTP'!E81</f>
        <v>Pesq Litoral III-IV</v>
      </c>
      <c r="F28" s="485" t="str">
        <f>+'Anchoveta-Sardina Española LTP'!F81</f>
        <v>Emb SANDY III Rpa 967785-III</v>
      </c>
      <c r="G28" s="485" t="str">
        <f>+'Anchoveta-Sardina Española LTP'!G81</f>
        <v>Anchoveta</v>
      </c>
      <c r="H28" s="505">
        <f>+'Anchoveta-Sardina Española LTP'!H81</f>
        <v>173.011</v>
      </c>
      <c r="I28" s="418"/>
      <c r="J28" s="505">
        <f t="shared" si="2"/>
        <v>173.011</v>
      </c>
      <c r="K28" s="230">
        <f t="shared" si="3"/>
        <v>0</v>
      </c>
      <c r="L28" s="461"/>
    </row>
    <row r="29" spans="1:12" s="205" customFormat="1">
      <c r="A29" s="224"/>
      <c r="B29" s="225" t="str">
        <f>+'Anchoveta-Sardina Española LTP'!B82</f>
        <v>55T</v>
      </c>
      <c r="C29" s="225">
        <f>+'Anchoveta-Sardina Española LTP'!C82</f>
        <v>2310</v>
      </c>
      <c r="D29" s="226">
        <f>+'Anchoveta-Sardina Española LTP'!D82</f>
        <v>43642</v>
      </c>
      <c r="E29" s="229" t="str">
        <f>+'Anchoveta-Sardina Española LTP'!E82</f>
        <v>Orizon II-IV</v>
      </c>
      <c r="F29" s="485" t="str">
        <f>+'Anchoveta-Sardina Española LTP'!F82</f>
        <v>Grupo Emb IV region</v>
      </c>
      <c r="G29" s="485" t="str">
        <f>+'Anchoveta-Sardina Española LTP'!G82</f>
        <v>Sardina Española</v>
      </c>
      <c r="H29" s="505">
        <f>+'Anchoveta-Sardina Española LTP'!H82</f>
        <v>100</v>
      </c>
      <c r="I29" s="418"/>
      <c r="J29" s="505">
        <f t="shared" si="2"/>
        <v>100</v>
      </c>
      <c r="K29" s="230">
        <f t="shared" si="3"/>
        <v>0</v>
      </c>
      <c r="L29" s="461"/>
    </row>
    <row r="30" spans="1:12" s="205" customFormat="1">
      <c r="A30" s="224"/>
      <c r="B30" s="225" t="str">
        <f>+'Anchoveta-Sardina Española LTP'!B83</f>
        <v>55T</v>
      </c>
      <c r="C30" s="225">
        <f>+'Anchoveta-Sardina Española LTP'!C83</f>
        <v>2402</v>
      </c>
      <c r="D30" s="226">
        <f>+'Anchoveta-Sardina Española LTP'!D83</f>
        <v>43649</v>
      </c>
      <c r="E30" s="229" t="str">
        <f>+'Anchoveta-Sardina Española LTP'!E83</f>
        <v>ABASTECIMIENTO DEL PACIFICO S.A.</v>
      </c>
      <c r="F30" s="485" t="str">
        <f>+'Anchoveta-Sardina Española LTP'!F83</f>
        <v>Emb KALI Rpa 951110-III</v>
      </c>
      <c r="G30" s="485" t="str">
        <f>+'Anchoveta-Sardina Española LTP'!G83</f>
        <v>Anchoveta</v>
      </c>
      <c r="H30" s="505">
        <f>+'Anchoveta-Sardina Española LTP'!H83</f>
        <v>188.18600000000001</v>
      </c>
      <c r="I30" s="418"/>
      <c r="J30" s="505">
        <f t="shared" si="2"/>
        <v>188.18600000000001</v>
      </c>
      <c r="K30" s="230">
        <f t="shared" si="3"/>
        <v>0</v>
      </c>
      <c r="L30" s="461"/>
    </row>
    <row r="31" spans="1:12" s="205" customFormat="1">
      <c r="A31" s="224"/>
      <c r="B31" s="225" t="str">
        <f>+'Anchoveta-Sardina Española LTP'!B84</f>
        <v>55T</v>
      </c>
      <c r="C31" s="225">
        <f>+'Anchoveta-Sardina Española LTP'!C84</f>
        <v>2416</v>
      </c>
      <c r="D31" s="226">
        <f>+'Anchoveta-Sardina Española LTP'!D84</f>
        <v>43649</v>
      </c>
      <c r="E31" s="229" t="str">
        <f>+'Anchoveta-Sardina Española LTP'!E84</f>
        <v>ATILIO BARRERA</v>
      </c>
      <c r="F31" s="485" t="str">
        <f>+'Anchoveta-Sardina Española LTP'!F84</f>
        <v>Emb DON ATILIO Rpa 960355-III</v>
      </c>
      <c r="G31" s="485" t="str">
        <f>+'Anchoveta-Sardina Española LTP'!G84</f>
        <v>Anchoveta</v>
      </c>
      <c r="H31" s="505">
        <f>+'Anchoveta-Sardina Española LTP'!H84</f>
        <v>284.55900000000003</v>
      </c>
      <c r="I31" s="418"/>
      <c r="J31" s="505">
        <f t="shared" si="2"/>
        <v>284.55900000000003</v>
      </c>
      <c r="K31" s="230">
        <f t="shared" si="3"/>
        <v>0</v>
      </c>
      <c r="L31" s="461"/>
    </row>
    <row r="32" spans="1:12" s="205" customFormat="1">
      <c r="A32" s="224"/>
      <c r="B32" s="225">
        <f>+'Anchoveta-Sardina Española LTP'!B85</f>
        <v>0</v>
      </c>
      <c r="C32" s="225">
        <f>+'Anchoveta-Sardina Española LTP'!C85</f>
        <v>0</v>
      </c>
      <c r="D32" s="226">
        <f>+'Anchoveta-Sardina Española LTP'!D85</f>
        <v>0</v>
      </c>
      <c r="E32" s="229">
        <f>+'Anchoveta-Sardina Española LTP'!E85</f>
        <v>0</v>
      </c>
      <c r="F32" s="485">
        <f>+'Anchoveta-Sardina Española LTP'!F85</f>
        <v>0</v>
      </c>
      <c r="G32" s="485">
        <f>+'Anchoveta-Sardina Española LTP'!G85</f>
        <v>0</v>
      </c>
      <c r="H32" s="505">
        <f>+'Anchoveta-Sardina Española LTP'!H85</f>
        <v>0</v>
      </c>
      <c r="I32" s="418"/>
      <c r="J32" s="505">
        <f t="shared" si="2"/>
        <v>0</v>
      </c>
      <c r="K32" s="230">
        <v>0</v>
      </c>
      <c r="L32" s="461"/>
    </row>
    <row r="33" spans="1:12" s="205" customFormat="1">
      <c r="A33" s="224"/>
      <c r="B33" s="225">
        <f>+'Anchoveta-Sardina Española LTP'!B86</f>
        <v>0</v>
      </c>
      <c r="C33" s="225">
        <f>+'Anchoveta-Sardina Española LTP'!C86</f>
        <v>0</v>
      </c>
      <c r="D33" s="507"/>
      <c r="E33" s="228"/>
      <c r="F33" s="228"/>
      <c r="G33" s="224"/>
      <c r="H33" s="508"/>
      <c r="I33" s="461"/>
      <c r="J33" s="508"/>
      <c r="K33" s="461"/>
      <c r="L33" s="461"/>
    </row>
    <row r="34" spans="1:12" s="205" customFormat="1">
      <c r="A34" s="224"/>
      <c r="B34" s="580"/>
      <c r="C34" s="580"/>
      <c r="D34" s="507"/>
      <c r="E34" s="228"/>
      <c r="F34" s="228"/>
      <c r="G34" s="224"/>
      <c r="H34" s="508"/>
      <c r="I34" s="461"/>
      <c r="J34" s="508"/>
      <c r="K34" s="461"/>
      <c r="L34" s="461"/>
    </row>
    <row r="35" spans="1:12" s="205" customFormat="1">
      <c r="A35" s="224"/>
      <c r="B35" s="580"/>
      <c r="C35" s="580"/>
      <c r="D35" s="507"/>
      <c r="E35" s="228"/>
      <c r="F35" s="228"/>
      <c r="G35" s="224"/>
      <c r="H35" s="508"/>
      <c r="I35" s="461"/>
      <c r="J35" s="508"/>
      <c r="K35" s="461"/>
      <c r="L35" s="461"/>
    </row>
    <row r="36" spans="1:12" s="205" customFormat="1">
      <c r="A36" s="224"/>
      <c r="B36" s="580"/>
      <c r="C36" s="580"/>
      <c r="D36" s="507"/>
      <c r="E36" s="228"/>
      <c r="F36" s="228"/>
      <c r="G36" s="224"/>
      <c r="H36" s="508"/>
      <c r="I36" s="461"/>
      <c r="J36" s="508"/>
      <c r="K36" s="461"/>
      <c r="L36" s="461"/>
    </row>
    <row r="37" spans="1:12" s="205" customFormat="1">
      <c r="A37" s="224"/>
      <c r="B37" s="580"/>
      <c r="C37" s="580"/>
      <c r="D37" s="507"/>
      <c r="E37" s="228"/>
      <c r="F37" s="228"/>
      <c r="G37" s="224"/>
      <c r="H37" s="508"/>
      <c r="I37" s="461"/>
      <c r="J37" s="508"/>
      <c r="K37" s="461"/>
      <c r="L37" s="461"/>
    </row>
    <row r="38" spans="1:12" ht="12.6" customHeight="1">
      <c r="A38" s="224"/>
      <c r="B38" s="228"/>
      <c r="I38" s="461"/>
      <c r="J38" s="461"/>
      <c r="K38" s="461"/>
      <c r="L38" s="461"/>
    </row>
    <row r="39" spans="1:12" ht="14.4">
      <c r="B39"/>
      <c r="C39" s="699" t="s">
        <v>227</v>
      </c>
      <c r="D39" s="700"/>
      <c r="E39" s="701"/>
      <c r="I39" s="461"/>
      <c r="J39" s="461"/>
      <c r="K39" s="461"/>
      <c r="L39" s="461"/>
    </row>
    <row r="40" spans="1:12">
      <c r="B40" s="499" t="s">
        <v>226</v>
      </c>
      <c r="C40" s="498" t="s">
        <v>63</v>
      </c>
      <c r="D40" s="225" t="s">
        <v>126</v>
      </c>
      <c r="E40" s="484" t="s">
        <v>112</v>
      </c>
    </row>
    <row r="41" spans="1:12" ht="14.4">
      <c r="B41" s="550" t="s">
        <v>239</v>
      </c>
      <c r="C41" s="721">
        <v>182.655</v>
      </c>
      <c r="D41" s="552"/>
      <c r="E41" s="549">
        <f>SUM(C41:D41)</f>
        <v>182.655</v>
      </c>
    </row>
    <row r="42" spans="1:12" ht="14.4">
      <c r="B42" s="550" t="s">
        <v>222</v>
      </c>
      <c r="C42" s="721">
        <v>421.2</v>
      </c>
      <c r="D42" s="552"/>
      <c r="E42" s="549">
        <f t="shared" ref="E42:E53" si="4">SUM(C42:D42)</f>
        <v>421.2</v>
      </c>
    </row>
    <row r="43" spans="1:12" ht="14.4">
      <c r="B43" s="550" t="s">
        <v>151</v>
      </c>
      <c r="C43" s="721">
        <v>1855.4459999999999</v>
      </c>
      <c r="D43" s="552"/>
      <c r="E43" s="549">
        <f t="shared" si="4"/>
        <v>1855.4459999999999</v>
      </c>
    </row>
    <row r="44" spans="1:12" ht="14.4">
      <c r="B44" s="550" t="s">
        <v>143</v>
      </c>
      <c r="C44" s="721">
        <v>1424.64</v>
      </c>
      <c r="D44" s="552"/>
      <c r="E44" s="549">
        <f t="shared" si="4"/>
        <v>1424.64</v>
      </c>
    </row>
    <row r="45" spans="1:12" ht="14.4">
      <c r="B45" s="550" t="s">
        <v>240</v>
      </c>
      <c r="C45" s="721">
        <v>17.815000000000001</v>
      </c>
      <c r="D45" s="552"/>
      <c r="E45" s="549">
        <f t="shared" si="4"/>
        <v>17.815000000000001</v>
      </c>
    </row>
    <row r="46" spans="1:12" ht="14.4">
      <c r="B46" s="550" t="s">
        <v>241</v>
      </c>
      <c r="C46" s="721">
        <v>1831.4390000000001</v>
      </c>
      <c r="D46" s="552"/>
      <c r="E46" s="549">
        <f t="shared" si="4"/>
        <v>1831.4390000000001</v>
      </c>
    </row>
    <row r="47" spans="1:12" ht="14.4">
      <c r="B47" s="550" t="s">
        <v>242</v>
      </c>
      <c r="C47" s="721">
        <v>97.67</v>
      </c>
      <c r="D47" s="552"/>
      <c r="E47" s="549">
        <f t="shared" si="4"/>
        <v>97.67</v>
      </c>
    </row>
    <row r="48" spans="1:12" ht="14.4">
      <c r="B48" s="550" t="s">
        <v>238</v>
      </c>
      <c r="C48" s="721">
        <v>700.48000000000013</v>
      </c>
      <c r="D48" s="552"/>
      <c r="E48" s="549">
        <f t="shared" si="4"/>
        <v>700.48000000000013</v>
      </c>
    </row>
    <row r="49" spans="2:5" ht="14.4">
      <c r="B49" s="550" t="s">
        <v>114</v>
      </c>
      <c r="C49" s="721">
        <v>6936.2519999999995</v>
      </c>
      <c r="D49" s="552"/>
      <c r="E49" s="549">
        <f t="shared" si="4"/>
        <v>6936.2519999999995</v>
      </c>
    </row>
    <row r="50" spans="2:5" ht="14.4">
      <c r="B50" s="550" t="s">
        <v>115</v>
      </c>
      <c r="C50" s="721">
        <v>403.44500000000005</v>
      </c>
      <c r="D50" s="552"/>
      <c r="E50" s="549">
        <f t="shared" si="4"/>
        <v>403.44500000000005</v>
      </c>
    </row>
    <row r="51" spans="2:5" ht="14.4">
      <c r="B51" s="550" t="s">
        <v>116</v>
      </c>
      <c r="C51" s="721">
        <v>8100</v>
      </c>
      <c r="D51" s="552"/>
      <c r="E51" s="549">
        <f t="shared" si="4"/>
        <v>8100</v>
      </c>
    </row>
    <row r="52" spans="2:5" ht="14.4">
      <c r="B52" s="550" t="s">
        <v>243</v>
      </c>
      <c r="C52" s="721"/>
      <c r="D52" s="552">
        <v>99.704000000000008</v>
      </c>
      <c r="E52" s="549">
        <f t="shared" si="4"/>
        <v>99.704000000000008</v>
      </c>
    </row>
    <row r="53" spans="2:5" ht="14.4">
      <c r="B53" s="550" t="s">
        <v>144</v>
      </c>
      <c r="C53" s="721">
        <v>1499.9999999999998</v>
      </c>
      <c r="D53" s="552"/>
      <c r="E53" s="549">
        <f t="shared" si="4"/>
        <v>1499.9999999999998</v>
      </c>
    </row>
    <row r="54" spans="2:5" ht="14.4">
      <c r="B54" s="499" t="s">
        <v>112</v>
      </c>
      <c r="C54" s="483">
        <f t="shared" ref="C54:D54" si="5">SUM(C41:C53)</f>
        <v>23471.042000000001</v>
      </c>
      <c r="D54" s="483">
        <f t="shared" si="5"/>
        <v>99.704000000000008</v>
      </c>
      <c r="E54" s="483">
        <f>SUM(E41:E53)</f>
        <v>23570.746000000003</v>
      </c>
    </row>
  </sheetData>
  <sortState ref="B31:D43">
    <sortCondition ref="B31:B43"/>
  </sortState>
  <mergeCells count="2">
    <mergeCell ref="B2:K2"/>
    <mergeCell ref="C39:E3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C1:G40"/>
  <sheetViews>
    <sheetView showGridLines="0" workbookViewId="0">
      <selection activeCell="G49" sqref="G47:G49"/>
    </sheetView>
  </sheetViews>
  <sheetFormatPr baseColWidth="10" defaultRowHeight="14.4"/>
  <cols>
    <col min="1" max="1" width="6.109375" customWidth="1"/>
    <col min="2" max="2" width="8.6640625" customWidth="1"/>
    <col min="3" max="3" width="70.6640625" customWidth="1"/>
    <col min="4" max="4" width="12.77734375" customWidth="1"/>
  </cols>
  <sheetData>
    <row r="1" spans="3:7" ht="25.8" customHeight="1">
      <c r="C1" s="707" t="s">
        <v>117</v>
      </c>
      <c r="D1" s="707"/>
      <c r="E1" s="707"/>
      <c r="F1" s="707"/>
      <c r="G1" s="707"/>
    </row>
    <row r="3" spans="3:7">
      <c r="D3" s="704" t="s">
        <v>235</v>
      </c>
      <c r="E3" s="705"/>
      <c r="F3" s="705"/>
      <c r="G3" s="706"/>
    </row>
    <row r="4" spans="3:7">
      <c r="C4" s="477" t="s">
        <v>233</v>
      </c>
      <c r="D4" s="473">
        <v>2</v>
      </c>
      <c r="E4" s="473">
        <v>3</v>
      </c>
      <c r="F4" s="473">
        <v>4</v>
      </c>
      <c r="G4" s="477" t="s">
        <v>236</v>
      </c>
    </row>
    <row r="5" spans="3:7">
      <c r="C5" s="474" t="s">
        <v>146</v>
      </c>
      <c r="D5" s="212">
        <v>0.02</v>
      </c>
      <c r="E5" s="212"/>
      <c r="F5" s="475"/>
      <c r="G5" s="476">
        <v>0.02</v>
      </c>
    </row>
    <row r="6" spans="3:7">
      <c r="C6" s="474" t="s">
        <v>234</v>
      </c>
      <c r="D6" s="212"/>
      <c r="E6" s="212">
        <v>6.2E-2</v>
      </c>
      <c r="F6" s="475">
        <v>0.13300000000000001</v>
      </c>
      <c r="G6" s="476">
        <v>0.19500000000000001</v>
      </c>
    </row>
    <row r="7" spans="3:7">
      <c r="G7" s="28">
        <f>SUM(G5:G6)</f>
        <v>0.215</v>
      </c>
    </row>
    <row r="8" spans="3:7" hidden="1">
      <c r="C8" s="708" t="s">
        <v>88</v>
      </c>
      <c r="D8" s="709"/>
      <c r="E8" s="709"/>
      <c r="F8" s="709"/>
      <c r="G8" s="709"/>
    </row>
    <row r="9" spans="3:7" hidden="1">
      <c r="C9" s="710" t="s">
        <v>89</v>
      </c>
      <c r="D9" s="711"/>
      <c r="E9" s="711"/>
      <c r="F9" s="711"/>
      <c r="G9" s="711"/>
    </row>
    <row r="10" spans="3:7" ht="14.4" hidden="1" customHeight="1">
      <c r="C10" s="712" t="s">
        <v>90</v>
      </c>
      <c r="D10" s="29" t="s">
        <v>91</v>
      </c>
      <c r="E10" s="29" t="s">
        <v>53</v>
      </c>
      <c r="F10" s="29" t="s">
        <v>92</v>
      </c>
      <c r="G10" s="29" t="s">
        <v>93</v>
      </c>
    </row>
    <row r="11" spans="3:7" ht="14.4" hidden="1" customHeight="1">
      <c r="C11" s="713"/>
      <c r="D11" s="28" t="s">
        <v>94</v>
      </c>
      <c r="E11" s="28">
        <v>35115</v>
      </c>
      <c r="F11" s="28">
        <v>10</v>
      </c>
      <c r="G11" s="28"/>
    </row>
    <row r="12" spans="3:7" ht="14.4" hidden="1" customHeight="1">
      <c r="C12" s="713"/>
      <c r="D12" s="28" t="s">
        <v>95</v>
      </c>
      <c r="E12" s="28">
        <v>961584</v>
      </c>
      <c r="F12" s="28">
        <v>10</v>
      </c>
      <c r="G12" s="28">
        <v>0.02</v>
      </c>
    </row>
    <row r="13" spans="3:7" ht="15" hidden="1" customHeight="1" thickBot="1">
      <c r="C13" s="714"/>
      <c r="D13" s="30" t="s">
        <v>96</v>
      </c>
      <c r="E13" s="30">
        <v>966432</v>
      </c>
      <c r="F13" s="30">
        <v>10</v>
      </c>
      <c r="G13" s="30"/>
    </row>
    <row r="14" spans="3:7" hidden="1"/>
    <row r="15" spans="3:7" hidden="1"/>
    <row r="16" spans="3:7" hidden="1"/>
    <row r="17" spans="3:7" hidden="1">
      <c r="C17" s="708" t="s">
        <v>102</v>
      </c>
      <c r="D17" s="709"/>
      <c r="E17" s="709"/>
      <c r="F17" s="709"/>
      <c r="G17" s="709"/>
    </row>
    <row r="18" spans="3:7" hidden="1">
      <c r="C18" s="710" t="s">
        <v>89</v>
      </c>
      <c r="D18" s="711"/>
      <c r="E18" s="711"/>
      <c r="F18" s="711"/>
      <c r="G18" s="711"/>
    </row>
    <row r="19" spans="3:7" ht="14.4" hidden="1" customHeight="1">
      <c r="C19" s="702" t="s">
        <v>97</v>
      </c>
      <c r="D19" s="33" t="s">
        <v>91</v>
      </c>
      <c r="E19" s="33" t="s">
        <v>53</v>
      </c>
      <c r="F19" s="33" t="s">
        <v>92</v>
      </c>
      <c r="G19" s="33" t="s">
        <v>93</v>
      </c>
    </row>
    <row r="20" spans="3:7" ht="14.4" hidden="1" customHeight="1">
      <c r="C20" s="715"/>
      <c r="D20" s="33" t="s">
        <v>98</v>
      </c>
      <c r="E20" s="33"/>
      <c r="F20" s="716">
        <v>40</v>
      </c>
      <c r="G20" s="716">
        <v>0</v>
      </c>
    </row>
    <row r="21" spans="3:7" ht="14.4" hidden="1" customHeight="1">
      <c r="C21" s="715"/>
      <c r="D21" s="33" t="s">
        <v>85</v>
      </c>
      <c r="E21" s="33">
        <v>951110</v>
      </c>
      <c r="F21" s="716"/>
      <c r="G21" s="716"/>
    </row>
    <row r="22" spans="3:7" ht="14.4" hidden="1" customHeight="1">
      <c r="C22" s="715"/>
      <c r="D22" s="20" t="s">
        <v>86</v>
      </c>
      <c r="E22" s="33">
        <v>966665</v>
      </c>
      <c r="F22" s="716"/>
      <c r="G22" s="716"/>
    </row>
    <row r="23" spans="3:7" ht="14.4" hidden="1" customHeight="1">
      <c r="C23" s="715"/>
      <c r="D23" s="20" t="s">
        <v>103</v>
      </c>
      <c r="E23" s="33">
        <v>960563</v>
      </c>
      <c r="F23" s="716"/>
      <c r="G23" s="716"/>
    </row>
    <row r="24" spans="3:7" ht="14.4" hidden="1" customHeight="1">
      <c r="C24" s="703"/>
      <c r="D24" s="20" t="s">
        <v>104</v>
      </c>
      <c r="E24" s="20">
        <v>923266</v>
      </c>
      <c r="F24" s="716"/>
      <c r="G24" s="716"/>
    </row>
    <row r="25" spans="3:7" hidden="1">
      <c r="C25" s="31"/>
      <c r="D25" s="32"/>
      <c r="E25" s="32"/>
      <c r="F25" s="32"/>
      <c r="G25" s="32"/>
    </row>
    <row r="26" spans="3:7" hidden="1"/>
    <row r="27" spans="3:7" hidden="1"/>
    <row r="28" spans="3:7" hidden="1">
      <c r="C28" s="708" t="s">
        <v>99</v>
      </c>
      <c r="D28" s="709"/>
      <c r="E28" s="709"/>
      <c r="F28" s="709"/>
      <c r="G28" s="709"/>
    </row>
    <row r="29" spans="3:7" hidden="1">
      <c r="C29" s="710" t="s">
        <v>89</v>
      </c>
      <c r="D29" s="711"/>
      <c r="E29" s="711"/>
      <c r="F29" s="711"/>
      <c r="G29" s="711"/>
    </row>
    <row r="30" spans="3:7" ht="14.4" hidden="1" customHeight="1">
      <c r="C30" s="702" t="s">
        <v>100</v>
      </c>
      <c r="D30" s="29" t="s">
        <v>91</v>
      </c>
      <c r="E30" s="29" t="s">
        <v>53</v>
      </c>
      <c r="F30" s="29" t="s">
        <v>92</v>
      </c>
      <c r="G30" s="29" t="s">
        <v>93</v>
      </c>
    </row>
    <row r="31" spans="3:7" ht="14.4" hidden="1" customHeight="1">
      <c r="C31" s="715"/>
      <c r="D31" s="28" t="s">
        <v>87</v>
      </c>
      <c r="E31" s="28">
        <v>961267</v>
      </c>
      <c r="F31" s="28">
        <v>7.5</v>
      </c>
      <c r="G31" s="195">
        <v>6.2E-2</v>
      </c>
    </row>
    <row r="32" spans="3:7" ht="14.4" hidden="1" customHeight="1">
      <c r="C32" s="715"/>
      <c r="D32" s="28" t="s">
        <v>101</v>
      </c>
      <c r="E32" s="28">
        <v>901588</v>
      </c>
      <c r="F32" s="28">
        <v>7.5</v>
      </c>
      <c r="G32" s="195">
        <v>0.13300000000000001</v>
      </c>
    </row>
    <row r="33" spans="3:7" ht="14.4" hidden="1" customHeight="1">
      <c r="C33" s="703"/>
      <c r="D33" s="28" t="s">
        <v>95</v>
      </c>
      <c r="E33" s="28"/>
      <c r="F33" s="28"/>
      <c r="G33" s="28">
        <v>0.02</v>
      </c>
    </row>
    <row r="34" spans="3:7" hidden="1">
      <c r="G34">
        <f>SUM(G31:G33)</f>
        <v>0.215</v>
      </c>
    </row>
    <row r="35" spans="3:7" hidden="1"/>
    <row r="36" spans="3:7" hidden="1">
      <c r="C36" s="708" t="s">
        <v>145</v>
      </c>
      <c r="D36" s="709"/>
      <c r="E36" s="709"/>
      <c r="F36" s="709"/>
      <c r="G36" s="709"/>
    </row>
    <row r="37" spans="3:7" hidden="1">
      <c r="C37" s="710" t="s">
        <v>146</v>
      </c>
      <c r="D37" s="711"/>
      <c r="E37" s="711"/>
      <c r="F37" s="711"/>
      <c r="G37" s="711"/>
    </row>
    <row r="38" spans="3:7" ht="14.4" hidden="1" customHeight="1">
      <c r="C38" s="702" t="s">
        <v>100</v>
      </c>
      <c r="D38" s="29" t="s">
        <v>91</v>
      </c>
      <c r="E38" s="29" t="s">
        <v>53</v>
      </c>
      <c r="F38" s="29" t="s">
        <v>92</v>
      </c>
      <c r="G38" s="29" t="s">
        <v>93</v>
      </c>
    </row>
    <row r="39" spans="3:7" ht="14.4" hidden="1" customHeight="1">
      <c r="C39" s="703"/>
      <c r="D39" s="28" t="s">
        <v>95</v>
      </c>
      <c r="E39" s="28"/>
      <c r="F39" s="28"/>
      <c r="G39" s="28">
        <v>0.02</v>
      </c>
    </row>
    <row r="40" spans="3:7" hidden="1">
      <c r="G40">
        <f>SUM(G39:G39)</f>
        <v>0.02</v>
      </c>
    </row>
  </sheetData>
  <mergeCells count="16">
    <mergeCell ref="C38:C39"/>
    <mergeCell ref="D3:G3"/>
    <mergeCell ref="C1:G1"/>
    <mergeCell ref="C8:G8"/>
    <mergeCell ref="C9:G9"/>
    <mergeCell ref="C10:C13"/>
    <mergeCell ref="C17:G17"/>
    <mergeCell ref="C36:G36"/>
    <mergeCell ref="C37:G37"/>
    <mergeCell ref="C30:C33"/>
    <mergeCell ref="C18:G18"/>
    <mergeCell ref="C28:G28"/>
    <mergeCell ref="C29:G29"/>
    <mergeCell ref="C19:C24"/>
    <mergeCell ref="F20:F24"/>
    <mergeCell ref="G20:G2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P62"/>
  <sheetViews>
    <sheetView showGridLines="0" zoomScale="88" zoomScaleNormal="88" workbookViewId="0">
      <selection activeCell="J28" sqref="J28"/>
    </sheetView>
  </sheetViews>
  <sheetFormatPr baseColWidth="10" defaultRowHeight="14.4"/>
  <cols>
    <col min="1" max="1" width="2" style="299" customWidth="1"/>
    <col min="2" max="2" width="8.6640625" style="299" customWidth="1"/>
    <col min="3" max="3" width="19.5546875" style="305" customWidth="1"/>
    <col min="4" max="4" width="9" style="299" customWidth="1"/>
    <col min="5" max="5" width="13.33203125" style="299" customWidth="1"/>
    <col min="6" max="6" width="9.5546875" style="299" customWidth="1"/>
    <col min="7" max="7" width="4.88671875" style="299" customWidth="1"/>
    <col min="8" max="8" width="4" style="299" customWidth="1"/>
    <col min="9" max="9" width="3.5546875" style="299" customWidth="1"/>
    <col min="10" max="10" width="29.5546875" style="299" customWidth="1"/>
    <col min="11" max="11" width="12.21875" style="299" customWidth="1"/>
    <col min="12" max="12" width="9.109375" style="310" customWidth="1"/>
    <col min="13" max="13" width="10.6640625" style="311" customWidth="1"/>
    <col min="14" max="16384" width="11.5546875" style="299"/>
  </cols>
  <sheetData>
    <row r="1" spans="2:13">
      <c r="B1" s="300" t="s">
        <v>152</v>
      </c>
      <c r="C1" s="306"/>
      <c r="J1" s="334" t="s">
        <v>92</v>
      </c>
      <c r="K1" s="345">
        <v>37941</v>
      </c>
      <c r="L1" s="312"/>
      <c r="M1" s="335"/>
    </row>
    <row r="2" spans="2:13" ht="12" customHeight="1">
      <c r="B2" s="303"/>
      <c r="C2" s="327" t="s">
        <v>153</v>
      </c>
      <c r="D2" s="333" t="s">
        <v>154</v>
      </c>
      <c r="E2" s="329" t="s">
        <v>155</v>
      </c>
      <c r="F2" s="329" t="s">
        <v>156</v>
      </c>
      <c r="J2" s="353" t="s">
        <v>153</v>
      </c>
      <c r="K2" s="354" t="s">
        <v>154</v>
      </c>
      <c r="L2" s="355" t="s">
        <v>154</v>
      </c>
      <c r="M2" s="356" t="s">
        <v>155</v>
      </c>
    </row>
    <row r="3" spans="2:13" ht="12" customHeight="1">
      <c r="B3" s="309">
        <v>1</v>
      </c>
      <c r="C3" s="328" t="s">
        <v>157</v>
      </c>
      <c r="D3" s="330">
        <v>5.5997199999999997E-2</v>
      </c>
      <c r="E3" s="330">
        <v>2124.59</v>
      </c>
      <c r="F3" s="330">
        <v>2124.59</v>
      </c>
      <c r="I3" s="717" t="s">
        <v>13</v>
      </c>
      <c r="J3" s="347" t="s">
        <v>70</v>
      </c>
      <c r="K3" s="348">
        <v>5.5997199999999997E-2</v>
      </c>
      <c r="L3" s="349"/>
      <c r="M3" s="350">
        <f>+(K3+L3)*$K$1</f>
        <v>2124.5897651999999</v>
      </c>
    </row>
    <row r="4" spans="2:13" ht="12" customHeight="1">
      <c r="B4" s="309">
        <v>2</v>
      </c>
      <c r="C4" s="328" t="s">
        <v>158</v>
      </c>
      <c r="D4" s="330">
        <v>0.41747820000000002</v>
      </c>
      <c r="E4" s="330">
        <v>15839.54</v>
      </c>
      <c r="F4" s="331">
        <v>15839.54</v>
      </c>
      <c r="I4" s="717"/>
      <c r="J4" s="347" t="s">
        <v>71</v>
      </c>
      <c r="K4" s="348">
        <v>0.41747820000000002</v>
      </c>
      <c r="L4" s="351"/>
      <c r="M4" s="350">
        <f t="shared" ref="M4:M18" si="0">+(K4+L4)*$K$1</f>
        <v>15839.5403862</v>
      </c>
    </row>
    <row r="5" spans="2:13" ht="12" customHeight="1">
      <c r="B5" s="309">
        <v>3</v>
      </c>
      <c r="C5" s="328" t="s">
        <v>20</v>
      </c>
      <c r="D5" s="330">
        <v>3.2301999999999999E-3</v>
      </c>
      <c r="E5" s="330" t="s">
        <v>159</v>
      </c>
      <c r="F5" s="330">
        <v>122.557</v>
      </c>
      <c r="I5" s="717"/>
      <c r="J5" s="347" t="s">
        <v>72</v>
      </c>
      <c r="K5" s="348">
        <v>3.2301999999999999E-3</v>
      </c>
      <c r="L5" s="351"/>
      <c r="M5" s="350">
        <f t="shared" si="0"/>
        <v>122.5570182</v>
      </c>
    </row>
    <row r="6" spans="2:13" ht="12" customHeight="1">
      <c r="B6" s="309">
        <v>4</v>
      </c>
      <c r="C6" s="328" t="s">
        <v>21</v>
      </c>
      <c r="D6" s="330">
        <v>7.7349999999999999E-4</v>
      </c>
      <c r="E6" s="330">
        <v>29.347000000000001</v>
      </c>
      <c r="F6" s="330">
        <v>29.347000000000001</v>
      </c>
      <c r="I6" s="717"/>
      <c r="J6" s="347" t="s">
        <v>73</v>
      </c>
      <c r="K6" s="348">
        <v>7.7349999999999999E-4</v>
      </c>
      <c r="L6" s="351"/>
      <c r="M6" s="350">
        <f t="shared" si="0"/>
        <v>29.3473635</v>
      </c>
    </row>
    <row r="7" spans="2:13" ht="12" customHeight="1">
      <c r="B7" s="309">
        <v>5</v>
      </c>
      <c r="C7" s="328" t="s">
        <v>160</v>
      </c>
      <c r="D7" s="330">
        <v>9.7119000000000007E-3</v>
      </c>
      <c r="E7" s="330">
        <v>368.47899999999998</v>
      </c>
      <c r="F7" s="330">
        <v>368.47899999999998</v>
      </c>
      <c r="I7" s="717"/>
      <c r="J7" s="347" t="s">
        <v>15</v>
      </c>
      <c r="K7" s="348">
        <v>9.7119000000000007E-3</v>
      </c>
      <c r="L7" s="351"/>
      <c r="M7" s="350">
        <f t="shared" si="0"/>
        <v>368.47919790000003</v>
      </c>
    </row>
    <row r="8" spans="2:13" ht="12" customHeight="1">
      <c r="B8" s="309">
        <v>6</v>
      </c>
      <c r="C8" s="328" t="s">
        <v>23</v>
      </c>
      <c r="D8" s="330">
        <v>0.360149</v>
      </c>
      <c r="E8" s="330">
        <v>13664.413</v>
      </c>
      <c r="F8" s="331">
        <v>13664.413</v>
      </c>
      <c r="I8" s="717"/>
      <c r="J8" s="347" t="s">
        <v>74</v>
      </c>
      <c r="K8" s="348">
        <v>0.360149</v>
      </c>
      <c r="L8" s="351">
        <f>SUM(D37:D39)+SUM(D53:D54)+SUM(D56:D59)</f>
        <v>4.9500000000000002E-2</v>
      </c>
      <c r="M8" s="350">
        <f t="shared" si="0"/>
        <v>15542.492709</v>
      </c>
    </row>
    <row r="9" spans="2:13" ht="12" customHeight="1">
      <c r="B9" s="309">
        <v>7</v>
      </c>
      <c r="C9" s="328" t="s">
        <v>24</v>
      </c>
      <c r="D9" s="330">
        <v>2.5666E-3</v>
      </c>
      <c r="E9" s="330">
        <v>97.379000000000005</v>
      </c>
      <c r="F9" s="330">
        <v>97.379000000000005</v>
      </c>
      <c r="I9" s="717"/>
      <c r="J9" s="347" t="s">
        <v>75</v>
      </c>
      <c r="K9" s="348">
        <v>2.5666E-3</v>
      </c>
      <c r="L9" s="351">
        <f>SUM(D31:D36)</f>
        <v>1.8499999999999999E-2</v>
      </c>
      <c r="M9" s="350">
        <f t="shared" si="0"/>
        <v>799.28787059999991</v>
      </c>
    </row>
    <row r="10" spans="2:13" ht="12" customHeight="1">
      <c r="B10" s="309">
        <v>8</v>
      </c>
      <c r="C10" s="328" t="s">
        <v>161</v>
      </c>
      <c r="D10" s="330">
        <v>9.3399999999999993E-5</v>
      </c>
      <c r="E10" s="330">
        <v>3.544</v>
      </c>
      <c r="F10" s="330">
        <v>3.544</v>
      </c>
      <c r="I10" s="717"/>
      <c r="J10" s="347" t="s">
        <v>76</v>
      </c>
      <c r="K10" s="348">
        <v>9.3399999999999993E-5</v>
      </c>
      <c r="L10" s="351"/>
      <c r="M10" s="350">
        <f t="shared" si="0"/>
        <v>3.5436893999999999</v>
      </c>
    </row>
    <row r="11" spans="2:13" ht="12" customHeight="1">
      <c r="B11" s="307"/>
      <c r="C11" s="308"/>
      <c r="D11" s="332">
        <f>SUM(D3:D10)</f>
        <v>0.85</v>
      </c>
      <c r="E11" s="332">
        <f t="shared" ref="E11:F11" si="1">SUM(E3:E10)</f>
        <v>32127.292000000005</v>
      </c>
      <c r="F11" s="332">
        <f t="shared" si="1"/>
        <v>32249.849000000006</v>
      </c>
      <c r="I11" s="717"/>
      <c r="J11" s="347" t="s">
        <v>130</v>
      </c>
      <c r="K11" s="352"/>
      <c r="L11" s="351">
        <f>SUM(D18:D30)</f>
        <v>2.0000000000000004E-2</v>
      </c>
      <c r="M11" s="350">
        <f t="shared" si="0"/>
        <v>758.82000000000016</v>
      </c>
    </row>
    <row r="12" spans="2:13" ht="12" customHeight="1">
      <c r="I12" s="717"/>
      <c r="J12" s="347" t="s">
        <v>16</v>
      </c>
      <c r="K12" s="352"/>
      <c r="L12" s="352">
        <f>+D55</f>
        <v>6.0000000000000001E-3</v>
      </c>
      <c r="M12" s="350">
        <f t="shared" si="0"/>
        <v>227.64600000000002</v>
      </c>
    </row>
    <row r="13" spans="2:13" ht="12" customHeight="1">
      <c r="I13" s="717"/>
      <c r="J13" s="347" t="s">
        <v>17</v>
      </c>
      <c r="K13" s="352"/>
      <c r="L13" s="352">
        <f>+D60+D61</f>
        <v>1.6E-2</v>
      </c>
      <c r="M13" s="350">
        <f t="shared" si="0"/>
        <v>607.05600000000004</v>
      </c>
    </row>
    <row r="14" spans="2:13" ht="12" customHeight="1">
      <c r="B14" s="300" t="s">
        <v>162</v>
      </c>
      <c r="C14" s="306"/>
      <c r="D14"/>
      <c r="E14"/>
      <c r="F14"/>
      <c r="I14" s="718"/>
      <c r="J14" s="347" t="str">
        <f>+C40</f>
        <v>ALIMENTOS DEL SUR SPA.</v>
      </c>
      <c r="K14" s="352"/>
      <c r="L14" s="352">
        <f>+D40+D46+D47+D50</f>
        <v>1.15E-2</v>
      </c>
      <c r="M14" s="350">
        <f t="shared" si="0"/>
        <v>436.32150000000001</v>
      </c>
    </row>
    <row r="15" spans="2:13" ht="12" customHeight="1">
      <c r="B15" s="301"/>
      <c r="C15" s="306"/>
      <c r="D15"/>
      <c r="E15"/>
      <c r="F15"/>
      <c r="J15" s="338" t="str">
        <f>+C41</f>
        <v>ATILIO REYES BARRERA</v>
      </c>
      <c r="K15" s="338"/>
      <c r="L15" s="339">
        <f>+D41+D42+D43</f>
        <v>7.4999999999999997E-3</v>
      </c>
      <c r="M15" s="350">
        <f t="shared" si="0"/>
        <v>284.5575</v>
      </c>
    </row>
    <row r="16" spans="2:13" ht="12" customHeight="1">
      <c r="B16" s="314"/>
      <c r="C16" s="314"/>
      <c r="D16" s="314" t="s">
        <v>165</v>
      </c>
      <c r="E16" s="314"/>
      <c r="F16" s="314"/>
      <c r="J16" s="338" t="str">
        <f>+C44</f>
        <v>PEDRO IRIGOYEN LTOA. INV</v>
      </c>
      <c r="K16" s="338"/>
      <c r="L16" s="339">
        <f>+D44</f>
        <v>2.5000000000000001E-3</v>
      </c>
      <c r="M16" s="350">
        <f t="shared" si="0"/>
        <v>94.852500000000006</v>
      </c>
    </row>
    <row r="17" spans="2:16" ht="12" customHeight="1">
      <c r="B17" s="314" t="s">
        <v>163</v>
      </c>
      <c r="C17" s="314" t="s">
        <v>164</v>
      </c>
      <c r="D17" s="314" t="s">
        <v>166</v>
      </c>
      <c r="E17" s="314" t="s">
        <v>155</v>
      </c>
      <c r="F17" s="314" t="s">
        <v>156</v>
      </c>
      <c r="J17" s="338" t="str">
        <f>+C45</f>
        <v>ABASTECIMIENTO DEL PACIFICO S.A.</v>
      </c>
      <c r="K17" s="338"/>
      <c r="L17" s="339">
        <f>+D45+D49+D51</f>
        <v>1.0500000000000001E-2</v>
      </c>
      <c r="M17" s="350">
        <f t="shared" si="0"/>
        <v>398.38050000000004</v>
      </c>
    </row>
    <row r="18" spans="2:16" ht="12" customHeight="1">
      <c r="B18" s="315">
        <v>1</v>
      </c>
      <c r="C18" s="315" t="s">
        <v>167</v>
      </c>
      <c r="D18" s="315">
        <v>1.25E-3</v>
      </c>
      <c r="E18" s="314">
        <v>47.426000000000002</v>
      </c>
      <c r="F18" s="314">
        <v>47.426000000000002</v>
      </c>
      <c r="J18" s="338" t="str">
        <f>+C48</f>
        <v>ERIC ARACENA REYNUABA</v>
      </c>
      <c r="K18" s="338"/>
      <c r="L18" s="339">
        <f>+D48</f>
        <v>4.0000000000000001E-3</v>
      </c>
      <c r="M18" s="350">
        <f t="shared" si="0"/>
        <v>151.76400000000001</v>
      </c>
    </row>
    <row r="19" spans="2:16" ht="12" customHeight="1">
      <c r="B19" s="315">
        <v>2</v>
      </c>
      <c r="C19" s="315" t="s">
        <v>168</v>
      </c>
      <c r="D19" s="315">
        <v>1.25E-3</v>
      </c>
      <c r="E19" s="314">
        <v>47.426000000000002</v>
      </c>
      <c r="F19" s="314">
        <v>47.426000000000002</v>
      </c>
      <c r="J19" s="304" t="str">
        <f>+C52</f>
        <v>GIULLIANO REYNUABA SALAS</v>
      </c>
      <c r="K19" s="304"/>
      <c r="L19" s="312">
        <f>+D52</f>
        <v>4.0000000000000001E-3</v>
      </c>
      <c r="M19" s="350">
        <f>+(K19+L19)*$K$1</f>
        <v>151.76400000000001</v>
      </c>
    </row>
    <row r="20" spans="2:16" ht="12" customHeight="1">
      <c r="B20" s="315">
        <v>3</v>
      </c>
      <c r="C20" s="315" t="s">
        <v>168</v>
      </c>
      <c r="D20" s="315">
        <v>1.25E-3</v>
      </c>
      <c r="E20" s="314">
        <v>47.426000000000002</v>
      </c>
      <c r="F20" s="314">
        <v>47.426000000000002</v>
      </c>
      <c r="J20" s="357" t="s">
        <v>13</v>
      </c>
      <c r="K20" s="357">
        <f>SUM(K3:K19)</f>
        <v>0.85</v>
      </c>
      <c r="L20" s="357">
        <f t="shared" ref="L20:M20" si="2">SUM(L3:L19)</f>
        <v>0.15000000000000002</v>
      </c>
      <c r="M20" s="357">
        <f t="shared" si="2"/>
        <v>37941.000000000007</v>
      </c>
    </row>
    <row r="21" spans="2:16" ht="12" customHeight="1">
      <c r="B21" s="315">
        <v>4</v>
      </c>
      <c r="C21" s="315" t="s">
        <v>167</v>
      </c>
      <c r="D21" s="315">
        <v>1.25E-3</v>
      </c>
      <c r="E21" s="314">
        <v>47.426000000000002</v>
      </c>
      <c r="F21" s="314">
        <v>47.426000000000002</v>
      </c>
      <c r="I21" s="340"/>
      <c r="J21" s="341"/>
      <c r="K21" s="341"/>
      <c r="L21" s="342"/>
      <c r="M21" s="343"/>
      <c r="N21" s="340"/>
      <c r="O21" s="340"/>
      <c r="P21" s="340"/>
    </row>
    <row r="22" spans="2:16" ht="12" customHeight="1">
      <c r="B22" s="315">
        <v>5</v>
      </c>
      <c r="C22" s="315" t="s">
        <v>168</v>
      </c>
      <c r="D22" s="315">
        <v>1.25E-3</v>
      </c>
      <c r="E22" s="314">
        <v>47.426000000000002</v>
      </c>
      <c r="F22" s="314">
        <v>47.426000000000002</v>
      </c>
      <c r="I22" s="719"/>
      <c r="J22" s="719"/>
      <c r="K22" s="719"/>
      <c r="L22" s="344"/>
      <c r="M22" s="343"/>
      <c r="N22" s="340"/>
      <c r="O22" s="340"/>
      <c r="P22" s="340"/>
    </row>
    <row r="23" spans="2:16" ht="12" customHeight="1">
      <c r="B23" s="315">
        <v>6</v>
      </c>
      <c r="C23" s="315" t="s">
        <v>169</v>
      </c>
      <c r="D23" s="315">
        <v>1.25E-3</v>
      </c>
      <c r="E23" s="314">
        <v>47.426000000000002</v>
      </c>
      <c r="F23" s="314">
        <v>47.426000000000002</v>
      </c>
      <c r="I23" s="340"/>
      <c r="J23" s="340"/>
      <c r="K23" s="340"/>
      <c r="L23" s="344"/>
      <c r="M23" s="343"/>
      <c r="N23" s="340"/>
      <c r="O23" s="340"/>
      <c r="P23" s="340"/>
    </row>
    <row r="24" spans="2:16" ht="12" customHeight="1">
      <c r="B24" s="315">
        <v>7</v>
      </c>
      <c r="C24" s="315" t="s">
        <v>168</v>
      </c>
      <c r="D24" s="315">
        <v>1.25E-3</v>
      </c>
      <c r="E24" s="314">
        <v>47.426000000000002</v>
      </c>
      <c r="F24" s="314">
        <v>47.426000000000002</v>
      </c>
      <c r="I24" s="340"/>
      <c r="J24" s="340"/>
      <c r="K24" s="340"/>
      <c r="L24" s="344"/>
      <c r="M24" s="343"/>
      <c r="N24" s="340"/>
      <c r="O24" s="340"/>
      <c r="P24" s="340"/>
    </row>
    <row r="25" spans="2:16" ht="12" customHeight="1">
      <c r="B25" s="315">
        <v>8</v>
      </c>
      <c r="C25" s="315" t="s">
        <v>167</v>
      </c>
      <c r="D25" s="315">
        <v>1.25E-3</v>
      </c>
      <c r="E25" s="314">
        <v>47.426000000000002</v>
      </c>
      <c r="F25" s="314">
        <v>47.426000000000002</v>
      </c>
    </row>
    <row r="26" spans="2:16" ht="12" customHeight="1">
      <c r="B26" s="315">
        <v>9</v>
      </c>
      <c r="C26" s="315" t="s">
        <v>167</v>
      </c>
      <c r="D26" s="315">
        <v>2E-3</v>
      </c>
      <c r="E26" s="314">
        <v>75.882000000000005</v>
      </c>
      <c r="F26" s="314">
        <v>75.882000000000005</v>
      </c>
      <c r="L26" s="313"/>
    </row>
    <row r="27" spans="2:16" ht="12" customHeight="1">
      <c r="B27" s="315">
        <v>10</v>
      </c>
      <c r="C27" s="315" t="s">
        <v>167</v>
      </c>
      <c r="D27" s="315">
        <v>2E-3</v>
      </c>
      <c r="E27" s="314">
        <v>75.882000000000005</v>
      </c>
      <c r="F27" s="314">
        <v>75.882000000000005</v>
      </c>
      <c r="L27" s="337"/>
    </row>
    <row r="28" spans="2:16" ht="12" customHeight="1">
      <c r="B28" s="315">
        <v>11</v>
      </c>
      <c r="C28" s="315" t="s">
        <v>167</v>
      </c>
      <c r="D28" s="315">
        <v>2E-3</v>
      </c>
      <c r="E28" s="314">
        <v>75.882000000000005</v>
      </c>
      <c r="F28" s="314">
        <v>75.882000000000005</v>
      </c>
      <c r="L28" s="313"/>
    </row>
    <row r="29" spans="2:16" ht="12" customHeight="1">
      <c r="B29" s="315">
        <v>12</v>
      </c>
      <c r="C29" s="315" t="s">
        <v>168</v>
      </c>
      <c r="D29" s="315">
        <v>2E-3</v>
      </c>
      <c r="E29" s="314">
        <v>75.882000000000005</v>
      </c>
      <c r="F29" s="314">
        <v>75.882000000000005</v>
      </c>
      <c r="L29" s="313"/>
    </row>
    <row r="30" spans="2:16" ht="12" customHeight="1">
      <c r="B30" s="315">
        <v>13</v>
      </c>
      <c r="C30" s="315" t="s">
        <v>168</v>
      </c>
      <c r="D30" s="315">
        <v>2E-3</v>
      </c>
      <c r="E30" s="314">
        <v>75.882000000000005</v>
      </c>
      <c r="F30" s="314">
        <v>75.882000000000005</v>
      </c>
      <c r="L30" s="313"/>
    </row>
    <row r="31" spans="2:16" ht="12" customHeight="1">
      <c r="B31" s="316">
        <v>14</v>
      </c>
      <c r="C31" s="316" t="s">
        <v>24</v>
      </c>
      <c r="D31" s="316">
        <v>3.0000000000000001E-3</v>
      </c>
      <c r="E31" s="314">
        <v>113.82299999999999</v>
      </c>
      <c r="F31" s="314">
        <v>113.82299999999999</v>
      </c>
    </row>
    <row r="32" spans="2:16" ht="12" customHeight="1">
      <c r="B32" s="316">
        <v>15</v>
      </c>
      <c r="C32" s="316" t="s">
        <v>24</v>
      </c>
      <c r="D32" s="316">
        <v>3.0000000000000001E-3</v>
      </c>
      <c r="E32" s="314">
        <v>113.82299999999999</v>
      </c>
      <c r="F32" s="314">
        <v>113.82299999999999</v>
      </c>
    </row>
    <row r="33" spans="2:6" ht="12" customHeight="1">
      <c r="B33" s="316">
        <v>16</v>
      </c>
      <c r="C33" s="316" t="s">
        <v>24</v>
      </c>
      <c r="D33" s="316">
        <v>3.0000000000000001E-3</v>
      </c>
      <c r="E33" s="314">
        <v>113.82299999999999</v>
      </c>
      <c r="F33" s="314">
        <v>113.82299999999999</v>
      </c>
    </row>
    <row r="34" spans="2:6" ht="12" customHeight="1">
      <c r="B34" s="316">
        <v>17</v>
      </c>
      <c r="C34" s="316" t="s">
        <v>24</v>
      </c>
      <c r="D34" s="316">
        <v>3.0000000000000001E-3</v>
      </c>
      <c r="E34" s="314">
        <v>113.82299999999999</v>
      </c>
      <c r="F34" s="314">
        <v>113.82299999999999</v>
      </c>
    </row>
    <row r="35" spans="2:6" ht="12" customHeight="1">
      <c r="B35" s="316">
        <v>18</v>
      </c>
      <c r="C35" s="316" t="s">
        <v>24</v>
      </c>
      <c r="D35" s="316">
        <v>3.0000000000000001E-3</v>
      </c>
      <c r="E35" s="314">
        <v>113.82299999999999</v>
      </c>
      <c r="F35" s="314">
        <v>113.82299999999999</v>
      </c>
    </row>
    <row r="36" spans="2:6" ht="12" customHeight="1">
      <c r="B36" s="316">
        <v>19</v>
      </c>
      <c r="C36" s="316" t="s">
        <v>24</v>
      </c>
      <c r="D36" s="316">
        <v>3.5000000000000001E-3</v>
      </c>
      <c r="E36" s="314">
        <v>132.79400000000001</v>
      </c>
      <c r="F36" s="314">
        <v>132.79400000000001</v>
      </c>
    </row>
    <row r="37" spans="2:6" ht="12" customHeight="1">
      <c r="B37" s="317">
        <v>20</v>
      </c>
      <c r="C37" s="317" t="s">
        <v>23</v>
      </c>
      <c r="D37" s="317">
        <v>3.5000000000000001E-3</v>
      </c>
      <c r="E37" s="314">
        <v>132.79400000000001</v>
      </c>
      <c r="F37" s="314">
        <v>132.79400000000001</v>
      </c>
    </row>
    <row r="38" spans="2:6" ht="12" customHeight="1">
      <c r="B38" s="317">
        <v>21</v>
      </c>
      <c r="C38" s="317" t="s">
        <v>23</v>
      </c>
      <c r="D38" s="317">
        <v>4.0000000000000001E-3</v>
      </c>
      <c r="E38" s="314">
        <v>151.76400000000001</v>
      </c>
      <c r="F38" s="314">
        <v>151.76400000000001</v>
      </c>
    </row>
    <row r="39" spans="2:6" ht="12" customHeight="1">
      <c r="B39" s="317">
        <v>22</v>
      </c>
      <c r="C39" s="317" t="s">
        <v>23</v>
      </c>
      <c r="D39" s="317">
        <v>4.0000000000000001E-3</v>
      </c>
      <c r="E39" s="314">
        <v>151.76400000000001</v>
      </c>
      <c r="F39" s="314">
        <v>151.76400000000001</v>
      </c>
    </row>
    <row r="40" spans="2:6" ht="12" customHeight="1">
      <c r="B40" s="318">
        <v>1</v>
      </c>
      <c r="C40" s="318" t="s">
        <v>170</v>
      </c>
      <c r="D40" s="318">
        <v>2.5000000000000001E-3</v>
      </c>
      <c r="E40" s="314">
        <v>94.852999999999994</v>
      </c>
      <c r="F40" s="314">
        <v>94.852999999999994</v>
      </c>
    </row>
    <row r="41" spans="2:6" ht="12" customHeight="1">
      <c r="B41" s="314">
        <v>2</v>
      </c>
      <c r="C41" s="314" t="s">
        <v>171</v>
      </c>
      <c r="D41" s="314">
        <v>2.5000000000000001E-3</v>
      </c>
      <c r="E41" s="314">
        <v>94.852999999999994</v>
      </c>
      <c r="F41" s="314">
        <v>94.852999999999994</v>
      </c>
    </row>
    <row r="42" spans="2:6" ht="12" customHeight="1">
      <c r="B42" s="314">
        <v>3</v>
      </c>
      <c r="C42" s="314" t="s">
        <v>171</v>
      </c>
      <c r="D42" s="314">
        <v>2.5000000000000001E-3</v>
      </c>
      <c r="E42" s="314">
        <v>94.852999999999994</v>
      </c>
      <c r="F42" s="314">
        <v>94.852999999999994</v>
      </c>
    </row>
    <row r="43" spans="2:6" ht="12" customHeight="1">
      <c r="B43" s="319">
        <v>4</v>
      </c>
      <c r="C43" s="319" t="s">
        <v>171</v>
      </c>
      <c r="D43" s="319">
        <v>2.5000000000000001E-3</v>
      </c>
      <c r="E43" s="314">
        <v>94.852999999999994</v>
      </c>
      <c r="F43" s="314">
        <v>94.852999999999994</v>
      </c>
    </row>
    <row r="44" spans="2:6" ht="12" customHeight="1">
      <c r="B44" s="320">
        <v>5</v>
      </c>
      <c r="C44" s="320" t="s">
        <v>172</v>
      </c>
      <c r="D44" s="320">
        <v>2.5000000000000001E-3</v>
      </c>
      <c r="E44" s="314">
        <v>94.852999999999994</v>
      </c>
      <c r="F44" s="314">
        <v>94.852999999999994</v>
      </c>
    </row>
    <row r="45" spans="2:6" ht="12" customHeight="1">
      <c r="B45" s="321">
        <v>6</v>
      </c>
      <c r="C45" s="321" t="s">
        <v>173</v>
      </c>
      <c r="D45" s="321">
        <v>2.5000000000000001E-3</v>
      </c>
      <c r="E45" s="314">
        <v>94.852999999999994</v>
      </c>
      <c r="F45" s="314">
        <v>94.852999999999994</v>
      </c>
    </row>
    <row r="46" spans="2:6" ht="12" customHeight="1">
      <c r="B46" s="322">
        <v>7</v>
      </c>
      <c r="C46" s="322" t="s">
        <v>170</v>
      </c>
      <c r="D46" s="322">
        <v>2.5000000000000001E-3</v>
      </c>
      <c r="E46" s="314">
        <v>94.852999999999994</v>
      </c>
      <c r="F46" s="314">
        <v>94.852999999999994</v>
      </c>
    </row>
    <row r="47" spans="2:6" ht="12" customHeight="1">
      <c r="B47" s="322">
        <v>8</v>
      </c>
      <c r="C47" s="322" t="s">
        <v>170</v>
      </c>
      <c r="D47" s="322">
        <v>2.5000000000000001E-3</v>
      </c>
      <c r="E47" s="314">
        <v>94.852999999999994</v>
      </c>
      <c r="F47" s="314">
        <v>94.852999999999994</v>
      </c>
    </row>
    <row r="48" spans="2:6" ht="12" customHeight="1">
      <c r="B48" s="323">
        <v>9</v>
      </c>
      <c r="C48" s="323" t="s">
        <v>174</v>
      </c>
      <c r="D48" s="323">
        <v>4.0000000000000001E-3</v>
      </c>
      <c r="E48" s="314">
        <v>151.76400000000001</v>
      </c>
      <c r="F48" s="314">
        <v>151.76400000000001</v>
      </c>
    </row>
    <row r="49" spans="2:6" ht="12" customHeight="1">
      <c r="B49" s="321">
        <v>10</v>
      </c>
      <c r="C49" s="321" t="s">
        <v>173</v>
      </c>
      <c r="D49" s="321">
        <v>4.0000000000000001E-3</v>
      </c>
      <c r="E49" s="314">
        <v>151.76400000000001</v>
      </c>
      <c r="F49" s="314">
        <v>151.76400000000001</v>
      </c>
    </row>
    <row r="50" spans="2:6" ht="12" customHeight="1">
      <c r="B50" s="318">
        <v>11</v>
      </c>
      <c r="C50" s="318" t="s">
        <v>170</v>
      </c>
      <c r="D50" s="318">
        <v>4.0000000000000001E-3</v>
      </c>
      <c r="E50" s="314">
        <v>151.76400000000001</v>
      </c>
      <c r="F50" s="314">
        <v>151.76400000000001</v>
      </c>
    </row>
    <row r="51" spans="2:6" ht="12" customHeight="1">
      <c r="B51" s="321">
        <v>12</v>
      </c>
      <c r="C51" s="321" t="s">
        <v>173</v>
      </c>
      <c r="D51" s="321">
        <v>4.0000000000000001E-3</v>
      </c>
      <c r="E51" s="314">
        <v>151.76400000000001</v>
      </c>
      <c r="F51" s="314">
        <v>151.76400000000001</v>
      </c>
    </row>
    <row r="52" spans="2:6" ht="12" customHeight="1">
      <c r="B52" s="314">
        <v>13</v>
      </c>
      <c r="C52" s="314" t="s">
        <v>175</v>
      </c>
      <c r="D52" s="314">
        <v>4.0000000000000001E-3</v>
      </c>
      <c r="E52" s="314">
        <v>151.76400000000001</v>
      </c>
      <c r="F52" s="314">
        <v>151.76400000000001</v>
      </c>
    </row>
    <row r="53" spans="2:6" ht="12" customHeight="1">
      <c r="B53" s="317">
        <v>14</v>
      </c>
      <c r="C53" s="317" t="s">
        <v>23</v>
      </c>
      <c r="D53" s="317">
        <v>6.0000000000000001E-3</v>
      </c>
      <c r="E53" s="314">
        <v>227.64599999999999</v>
      </c>
      <c r="F53" s="314">
        <v>227.64599999999999</v>
      </c>
    </row>
    <row r="54" spans="2:6" ht="12" customHeight="1">
      <c r="B54" s="317">
        <v>15</v>
      </c>
      <c r="C54" s="317" t="s">
        <v>23</v>
      </c>
      <c r="D54" s="317">
        <v>6.0000000000000001E-3</v>
      </c>
      <c r="E54" s="314">
        <v>227.64599999999999</v>
      </c>
      <c r="F54" s="314">
        <v>227.64599999999999</v>
      </c>
    </row>
    <row r="55" spans="2:6" ht="12" customHeight="1">
      <c r="B55" s="324">
        <v>16</v>
      </c>
      <c r="C55" s="324" t="s">
        <v>176</v>
      </c>
      <c r="D55" s="324">
        <v>6.0000000000000001E-3</v>
      </c>
      <c r="E55" s="314">
        <v>227.64599999999999</v>
      </c>
      <c r="F55" s="314">
        <v>227.64599999999999</v>
      </c>
    </row>
    <row r="56" spans="2:6" ht="12" customHeight="1">
      <c r="B56" s="317">
        <v>17</v>
      </c>
      <c r="C56" s="317" t="s">
        <v>23</v>
      </c>
      <c r="D56" s="317">
        <v>6.0000000000000001E-3</v>
      </c>
      <c r="E56" s="314">
        <v>227.64599999999999</v>
      </c>
      <c r="F56" s="314">
        <v>227.64599999999999</v>
      </c>
    </row>
    <row r="57" spans="2:6" ht="12" customHeight="1">
      <c r="B57" s="317">
        <v>18</v>
      </c>
      <c r="C57" s="317" t="s">
        <v>23</v>
      </c>
      <c r="D57" s="317">
        <v>6.0000000000000001E-3</v>
      </c>
      <c r="E57" s="314">
        <v>227.64599999999999</v>
      </c>
      <c r="F57" s="314">
        <v>227.64599999999999</v>
      </c>
    </row>
    <row r="58" spans="2:6" ht="12" customHeight="1">
      <c r="B58" s="317">
        <v>19</v>
      </c>
      <c r="C58" s="317" t="s">
        <v>23</v>
      </c>
      <c r="D58" s="317">
        <v>7.0000000000000001E-3</v>
      </c>
      <c r="E58" s="314">
        <v>265.58699999999999</v>
      </c>
      <c r="F58" s="314">
        <v>265.58699999999999</v>
      </c>
    </row>
    <row r="59" spans="2:6" ht="12" customHeight="1">
      <c r="B59" s="317">
        <v>20</v>
      </c>
      <c r="C59" s="317" t="s">
        <v>23</v>
      </c>
      <c r="D59" s="317">
        <v>7.0000000000000001E-3</v>
      </c>
      <c r="E59" s="314">
        <v>265.58699999999999</v>
      </c>
      <c r="F59" s="314">
        <v>265.58699999999999</v>
      </c>
    </row>
    <row r="60" spans="2:6" ht="12" customHeight="1">
      <c r="B60" s="325">
        <v>21</v>
      </c>
      <c r="C60" s="325" t="s">
        <v>177</v>
      </c>
      <c r="D60" s="325">
        <v>8.0000000000000002E-3</v>
      </c>
      <c r="E60" s="314">
        <v>303.52800000000002</v>
      </c>
      <c r="F60" s="314">
        <v>303.52800000000002</v>
      </c>
    </row>
    <row r="61" spans="2:6" ht="12" customHeight="1">
      <c r="B61" s="326">
        <v>22</v>
      </c>
      <c r="C61" s="326" t="s">
        <v>177</v>
      </c>
      <c r="D61" s="326">
        <v>8.0000000000000002E-3</v>
      </c>
      <c r="E61" s="314">
        <v>303.52800000000002</v>
      </c>
      <c r="F61" s="314">
        <v>303.52800000000002</v>
      </c>
    </row>
    <row r="62" spans="2:6">
      <c r="D62" s="336">
        <f>SUM(D18:D61)</f>
        <v>0.15000000000000011</v>
      </c>
      <c r="E62" s="304">
        <f>SUM(E18:E61)</f>
        <v>5691.1530000000021</v>
      </c>
    </row>
  </sheetData>
  <mergeCells count="2">
    <mergeCell ref="I3:I14"/>
    <mergeCell ref="I22:K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3"/>
  <sheetViews>
    <sheetView zoomScale="80" zoomScaleNormal="80" workbookViewId="0">
      <selection activeCell="G20" sqref="G20"/>
    </sheetView>
  </sheetViews>
  <sheetFormatPr baseColWidth="10" defaultColWidth="11.44140625" defaultRowHeight="12"/>
  <cols>
    <col min="1" max="1" width="13.44140625" style="26" customWidth="1"/>
    <col min="2" max="2" width="10.21875" style="26" customWidth="1"/>
    <col min="3" max="3" width="5" style="26" bestFit="1" customWidth="1"/>
    <col min="4" max="4" width="8.77734375" style="26" customWidth="1"/>
    <col min="5" max="5" width="18.33203125" style="26" customWidth="1"/>
    <col min="6" max="6" width="10.88671875" style="26" bestFit="1" customWidth="1"/>
    <col min="7" max="7" width="10.33203125" style="26" bestFit="1" customWidth="1"/>
    <col min="8" max="8" width="10.109375" style="26" bestFit="1" customWidth="1"/>
    <col min="9" max="10" width="10.6640625" style="26" customWidth="1"/>
    <col min="11" max="11" width="10.5546875" style="26" bestFit="1" customWidth="1"/>
    <col min="12" max="12" width="9.5546875" style="26" bestFit="1" customWidth="1"/>
    <col min="13" max="13" width="8.6640625" style="26" customWidth="1"/>
    <col min="14" max="14" width="6.77734375" style="387" customWidth="1"/>
    <col min="15" max="15" width="10.21875" style="387" customWidth="1"/>
    <col min="16" max="16384" width="11.44140625" style="26"/>
  </cols>
  <sheetData>
    <row r="1" spans="1:15" s="370" customFormat="1">
      <c r="A1" s="363" t="s">
        <v>178</v>
      </c>
      <c r="B1" s="363" t="s">
        <v>179</v>
      </c>
      <c r="C1" s="363" t="s">
        <v>180</v>
      </c>
      <c r="D1" s="363" t="s">
        <v>181</v>
      </c>
      <c r="E1" s="364" t="s">
        <v>182</v>
      </c>
      <c r="F1" s="363" t="s">
        <v>183</v>
      </c>
      <c r="G1" s="363" t="s">
        <v>184</v>
      </c>
      <c r="H1" s="365" t="s">
        <v>185</v>
      </c>
      <c r="I1" s="365" t="s">
        <v>186</v>
      </c>
      <c r="J1" s="365" t="s">
        <v>187</v>
      </c>
      <c r="K1" s="365" t="s">
        <v>188</v>
      </c>
      <c r="L1" s="366" t="s">
        <v>189</v>
      </c>
      <c r="M1" s="367" t="s">
        <v>190</v>
      </c>
      <c r="N1" s="368" t="s">
        <v>191</v>
      </c>
      <c r="O1" s="369" t="s">
        <v>192</v>
      </c>
    </row>
    <row r="2" spans="1:15">
      <c r="A2" s="371" t="s">
        <v>193</v>
      </c>
      <c r="B2" s="371" t="s">
        <v>194</v>
      </c>
      <c r="C2" s="371" t="s">
        <v>51</v>
      </c>
      <c r="D2" s="371" t="s">
        <v>153</v>
      </c>
      <c r="E2" s="27" t="str">
        <f>'Anchoveta-Sardina Española LTP'!C6</f>
        <v xml:space="preserve">ARICA SEAFOOD PRODUCER S.A. </v>
      </c>
      <c r="F2" s="27" t="s">
        <v>195</v>
      </c>
      <c r="G2" s="27" t="s">
        <v>196</v>
      </c>
      <c r="H2" s="27">
        <f>'Anchoveta-Sardina Española LTP'!E6</f>
        <v>3897.0630000000001</v>
      </c>
      <c r="I2" s="27">
        <f>'Anchoveta-Sardina Española LTP'!F6</f>
        <v>0</v>
      </c>
      <c r="J2" s="27">
        <f>'Anchoveta-Sardina Española LTP'!G6</f>
        <v>3897.0630000000001</v>
      </c>
      <c r="K2" s="27">
        <f>'Anchoveta-Sardina Española LTP'!H6</f>
        <v>0</v>
      </c>
      <c r="L2" s="27">
        <f>'Anchoveta-Sardina Española LTP'!I6</f>
        <v>3897.0630000000001</v>
      </c>
      <c r="M2" s="372">
        <f>'Anchoveta-Sardina Española LTP'!J6</f>
        <v>0</v>
      </c>
      <c r="N2" s="373" t="s">
        <v>46</v>
      </c>
      <c r="O2" s="373">
        <f>+'Anchoveta-Sardina Española LTP'!$B$3</f>
        <v>43656</v>
      </c>
    </row>
    <row r="3" spans="1:15">
      <c r="A3" s="371" t="s">
        <v>193</v>
      </c>
      <c r="B3" s="371" t="s">
        <v>194</v>
      </c>
      <c r="C3" s="371" t="s">
        <v>51</v>
      </c>
      <c r="D3" s="371" t="s">
        <v>153</v>
      </c>
      <c r="E3" s="27" t="s">
        <v>77</v>
      </c>
      <c r="F3" s="27" t="s">
        <v>197</v>
      </c>
      <c r="G3" s="27" t="s">
        <v>198</v>
      </c>
      <c r="H3" s="27">
        <f>'Anchoveta-Sardina Española LTP'!E7</f>
        <v>1299.0160000000001</v>
      </c>
      <c r="I3" s="27">
        <f>'Anchoveta-Sardina Española LTP'!F7</f>
        <v>0</v>
      </c>
      <c r="J3" s="27">
        <f>'Anchoveta-Sardina Española LTP'!G7</f>
        <v>5196.0789999999997</v>
      </c>
      <c r="K3" s="27">
        <f>'Anchoveta-Sardina Española LTP'!H7</f>
        <v>0</v>
      </c>
      <c r="L3" s="27">
        <f>'Anchoveta-Sardina Española LTP'!I7</f>
        <v>5196.0789999999997</v>
      </c>
      <c r="M3" s="372">
        <f>'Anchoveta-Sardina Española LTP'!J7</f>
        <v>0</v>
      </c>
      <c r="N3" s="373" t="s">
        <v>46</v>
      </c>
      <c r="O3" s="373">
        <f>+'Anchoveta-Sardina Española LTP'!$B$3</f>
        <v>43656</v>
      </c>
    </row>
    <row r="4" spans="1:15">
      <c r="A4" s="371" t="s">
        <v>193</v>
      </c>
      <c r="B4" s="371" t="s">
        <v>194</v>
      </c>
      <c r="C4" s="371" t="s">
        <v>51</v>
      </c>
      <c r="D4" s="371" t="s">
        <v>153</v>
      </c>
      <c r="E4" s="27" t="s">
        <v>77</v>
      </c>
      <c r="F4" s="27" t="s">
        <v>199</v>
      </c>
      <c r="G4" s="27" t="s">
        <v>198</v>
      </c>
      <c r="H4" s="27">
        <f t="shared" ref="H4:M4" si="0">SUM(H2:H3)</f>
        <v>5196.0789999999997</v>
      </c>
      <c r="I4" s="27">
        <f t="shared" si="0"/>
        <v>0</v>
      </c>
      <c r="J4" s="27">
        <f t="shared" si="0"/>
        <v>9093.1419999999998</v>
      </c>
      <c r="K4" s="27">
        <f t="shared" si="0"/>
        <v>0</v>
      </c>
      <c r="L4" s="27">
        <f t="shared" si="0"/>
        <v>9093.1419999999998</v>
      </c>
      <c r="M4" s="372">
        <f t="shared" si="0"/>
        <v>0</v>
      </c>
      <c r="N4" s="373" t="s">
        <v>46</v>
      </c>
      <c r="O4" s="373">
        <f>+'Anchoveta-Sardina Española LTP'!$B$3</f>
        <v>43656</v>
      </c>
    </row>
    <row r="5" spans="1:15">
      <c r="A5" s="371" t="s">
        <v>193</v>
      </c>
      <c r="B5" s="371" t="s">
        <v>194</v>
      </c>
      <c r="C5" s="371" t="s">
        <v>51</v>
      </c>
      <c r="D5" s="371" t="s">
        <v>153</v>
      </c>
      <c r="E5" s="27" t="str">
        <f>'Anchoveta-Sardina Española LTP'!C8</f>
        <v xml:space="preserve">CAMANCHACA S.A. CIA. PESQ    </v>
      </c>
      <c r="F5" s="27" t="s">
        <v>195</v>
      </c>
      <c r="G5" s="27" t="s">
        <v>196</v>
      </c>
      <c r="H5" s="27">
        <f>'Anchoveta-Sardina Española LTP'!E8</f>
        <v>94151.356</v>
      </c>
      <c r="I5" s="27">
        <f>'Anchoveta-Sardina Española LTP'!F8</f>
        <v>0</v>
      </c>
      <c r="J5" s="27">
        <f>'Anchoveta-Sardina Española LTP'!G8</f>
        <v>94151.356</v>
      </c>
      <c r="K5" s="27">
        <f>'Anchoveta-Sardina Española LTP'!H8</f>
        <v>53035.915000000001</v>
      </c>
      <c r="L5" s="27">
        <f>'Anchoveta-Sardina Española LTP'!I8</f>
        <v>41115.440999999999</v>
      </c>
      <c r="M5" s="372">
        <f>'Anchoveta-Sardina Española LTP'!J8</f>
        <v>0.5633048450199698</v>
      </c>
      <c r="N5" s="373" t="s">
        <v>46</v>
      </c>
      <c r="O5" s="373">
        <f>+'Anchoveta-Sardina Española LTP'!$B$3</f>
        <v>43656</v>
      </c>
    </row>
    <row r="6" spans="1:15">
      <c r="A6" s="371" t="s">
        <v>193</v>
      </c>
      <c r="B6" s="371" t="s">
        <v>194</v>
      </c>
      <c r="C6" s="371" t="s">
        <v>51</v>
      </c>
      <c r="D6" s="371" t="s">
        <v>153</v>
      </c>
      <c r="E6" s="27" t="str">
        <f>'Anchoveta-Sardina Española LTP'!C8</f>
        <v xml:space="preserve">CAMANCHACA S.A. CIA. PESQ    </v>
      </c>
      <c r="F6" s="27" t="s">
        <v>197</v>
      </c>
      <c r="G6" s="27" t="s">
        <v>198</v>
      </c>
      <c r="H6" s="27">
        <f>'Anchoveta-Sardina Española LTP'!E9</f>
        <v>31383.651999999998</v>
      </c>
      <c r="I6" s="27">
        <f>'Anchoveta-Sardina Española LTP'!F9</f>
        <v>0</v>
      </c>
      <c r="J6" s="27">
        <f>'Anchoveta-Sardina Española LTP'!G9</f>
        <v>72499.092999999993</v>
      </c>
      <c r="K6" s="27">
        <f>'Anchoveta-Sardina Española LTP'!H9</f>
        <v>0</v>
      </c>
      <c r="L6" s="27">
        <f>'Anchoveta-Sardina Española LTP'!I9</f>
        <v>72499.092999999993</v>
      </c>
      <c r="M6" s="372">
        <f>'Anchoveta-Sardina Española LTP'!J9</f>
        <v>0</v>
      </c>
      <c r="N6" s="373" t="s">
        <v>46</v>
      </c>
      <c r="O6" s="373">
        <f>+'Anchoveta-Sardina Española LTP'!$B$3</f>
        <v>43656</v>
      </c>
    </row>
    <row r="7" spans="1:15">
      <c r="A7" s="371" t="s">
        <v>193</v>
      </c>
      <c r="B7" s="371" t="s">
        <v>194</v>
      </c>
      <c r="C7" s="371" t="s">
        <v>51</v>
      </c>
      <c r="D7" s="371" t="s">
        <v>153</v>
      </c>
      <c r="E7" s="27" t="str">
        <f>'Anchoveta-Sardina Española LTP'!C8</f>
        <v xml:space="preserve">CAMANCHACA S.A. CIA. PESQ    </v>
      </c>
      <c r="F7" s="27" t="s">
        <v>199</v>
      </c>
      <c r="G7" s="27" t="s">
        <v>198</v>
      </c>
      <c r="H7" s="27">
        <f t="shared" ref="H7:M7" si="1">SUM(H5:H6)</f>
        <v>125535.008</v>
      </c>
      <c r="I7" s="27">
        <f t="shared" si="1"/>
        <v>0</v>
      </c>
      <c r="J7" s="27">
        <f t="shared" si="1"/>
        <v>166650.44899999999</v>
      </c>
      <c r="K7" s="27">
        <f t="shared" si="1"/>
        <v>53035.915000000001</v>
      </c>
      <c r="L7" s="27">
        <f t="shared" si="1"/>
        <v>113614.53399999999</v>
      </c>
      <c r="M7" s="372">
        <f t="shared" si="1"/>
        <v>0.5633048450199698</v>
      </c>
      <c r="N7" s="373" t="s">
        <v>46</v>
      </c>
      <c r="O7" s="373">
        <f>+'Anchoveta-Sardina Española LTP'!$B$3</f>
        <v>43656</v>
      </c>
    </row>
    <row r="8" spans="1:15">
      <c r="A8" s="371" t="s">
        <v>193</v>
      </c>
      <c r="B8" s="371" t="s">
        <v>194</v>
      </c>
      <c r="C8" s="371" t="s">
        <v>51</v>
      </c>
      <c r="D8" s="371" t="s">
        <v>153</v>
      </c>
      <c r="E8" s="27" t="s">
        <v>80</v>
      </c>
      <c r="F8" s="27" t="s">
        <v>195</v>
      </c>
      <c r="G8" s="27" t="s">
        <v>196</v>
      </c>
      <c r="H8" s="27">
        <f>'Anchoveta-Sardina Española LTP'!E10</f>
        <v>9438.16</v>
      </c>
      <c r="I8" s="27">
        <f>'Anchoveta-Sardina Española LTP'!F10</f>
        <v>-943.81500000000005</v>
      </c>
      <c r="J8" s="27">
        <f>'Anchoveta-Sardina Española LTP'!G10</f>
        <v>8494.3449999999993</v>
      </c>
      <c r="K8" s="27">
        <f>'Anchoveta-Sardina Española LTP'!H10</f>
        <v>0</v>
      </c>
      <c r="L8" s="27">
        <f>'Anchoveta-Sardina Española LTP'!I10</f>
        <v>8494.3449999999993</v>
      </c>
      <c r="M8" s="372">
        <f>'Anchoveta-Sardina Española LTP'!J10</f>
        <v>0</v>
      </c>
      <c r="N8" s="373" t="s">
        <v>46</v>
      </c>
      <c r="O8" s="373">
        <f>+'Anchoveta-Sardina Española LTP'!$B$3</f>
        <v>43656</v>
      </c>
    </row>
    <row r="9" spans="1:15">
      <c r="A9" s="371" t="s">
        <v>193</v>
      </c>
      <c r="B9" s="371" t="s">
        <v>194</v>
      </c>
      <c r="C9" s="371" t="s">
        <v>51</v>
      </c>
      <c r="D9" s="371" t="s">
        <v>153</v>
      </c>
      <c r="E9" s="27" t="str">
        <f>'Anchoveta-Sardina Española LTP'!C10</f>
        <v>SERVICIOS INDUSTRIALES LO ROJAS LTDA</v>
      </c>
      <c r="F9" s="27" t="s">
        <v>197</v>
      </c>
      <c r="G9" s="27" t="s">
        <v>198</v>
      </c>
      <c r="H9" s="27">
        <f>'Anchoveta-Sardina Española LTP'!E11</f>
        <v>3146.04</v>
      </c>
      <c r="I9" s="27">
        <f>'Anchoveta-Sardina Española LTP'!F11</f>
        <v>0</v>
      </c>
      <c r="J9" s="27">
        <f>'Anchoveta-Sardina Española LTP'!G11</f>
        <v>11640.384999999998</v>
      </c>
      <c r="K9" s="27">
        <f>'Anchoveta-Sardina Española LTP'!H11</f>
        <v>0</v>
      </c>
      <c r="L9" s="27">
        <f>'Anchoveta-Sardina Española LTP'!I11</f>
        <v>11640.384999999998</v>
      </c>
      <c r="M9" s="372">
        <f>'Anchoveta-Sardina Española LTP'!J11</f>
        <v>0</v>
      </c>
      <c r="N9" s="373" t="s">
        <v>46</v>
      </c>
      <c r="O9" s="373">
        <f>+'Anchoveta-Sardina Española LTP'!$B$3</f>
        <v>43656</v>
      </c>
    </row>
    <row r="10" spans="1:15">
      <c r="A10" s="371" t="s">
        <v>193</v>
      </c>
      <c r="B10" s="371" t="s">
        <v>194</v>
      </c>
      <c r="C10" s="371" t="s">
        <v>51</v>
      </c>
      <c r="D10" s="371" t="s">
        <v>153</v>
      </c>
      <c r="E10" s="27" t="str">
        <f>'Anchoveta-Sardina Española LTP'!C10</f>
        <v>SERVICIOS INDUSTRIALES LO ROJAS LTDA</v>
      </c>
      <c r="F10" s="27" t="s">
        <v>199</v>
      </c>
      <c r="G10" s="27" t="s">
        <v>198</v>
      </c>
      <c r="H10" s="27">
        <f t="shared" ref="H10:M10" si="2">SUM(H8:H9)</f>
        <v>12584.2</v>
      </c>
      <c r="I10" s="27">
        <f t="shared" si="2"/>
        <v>-943.81500000000005</v>
      </c>
      <c r="J10" s="27">
        <f t="shared" si="2"/>
        <v>20134.729999999996</v>
      </c>
      <c r="K10" s="27">
        <f t="shared" si="2"/>
        <v>0</v>
      </c>
      <c r="L10" s="27">
        <f t="shared" si="2"/>
        <v>20134.729999999996</v>
      </c>
      <c r="M10" s="372">
        <f t="shared" si="2"/>
        <v>0</v>
      </c>
      <c r="N10" s="373" t="s">
        <v>46</v>
      </c>
      <c r="O10" s="373">
        <f>+'Anchoveta-Sardina Española LTP'!$B$3</f>
        <v>43656</v>
      </c>
    </row>
    <row r="11" spans="1:15">
      <c r="A11" s="371" t="s">
        <v>193</v>
      </c>
      <c r="B11" s="371" t="s">
        <v>194</v>
      </c>
      <c r="C11" s="371" t="s">
        <v>51</v>
      </c>
      <c r="D11" s="371" t="s">
        <v>153</v>
      </c>
      <c r="E11" s="27" t="str">
        <f>'Anchoveta-Sardina Española LTP'!C12</f>
        <v>PROCESOS MTECNOLOGICOS DEL BIO BIO SpA</v>
      </c>
      <c r="F11" s="27" t="s">
        <v>195</v>
      </c>
      <c r="G11" s="27" t="s">
        <v>196</v>
      </c>
      <c r="H11" s="27">
        <f>'Anchoveta-Sardina Española LTP'!E12</f>
        <v>7786.4819999999991</v>
      </c>
      <c r="I11" s="27">
        <f>'Anchoveta-Sardina Española LTP'!F12</f>
        <v>0</v>
      </c>
      <c r="J11" s="27">
        <f>'Anchoveta-Sardina Española LTP'!G12</f>
        <v>7786.4819999999991</v>
      </c>
      <c r="K11" s="27">
        <f>'Anchoveta-Sardina Española LTP'!H12</f>
        <v>0</v>
      </c>
      <c r="L11" s="27">
        <f>'Anchoveta-Sardina Española LTP'!I12</f>
        <v>7786.4819999999991</v>
      </c>
      <c r="M11" s="372">
        <f>'Anchoveta-Sardina Española LTP'!J12</f>
        <v>0</v>
      </c>
      <c r="N11" s="373" t="s">
        <v>46</v>
      </c>
      <c r="O11" s="373">
        <f>+'Anchoveta-Sardina Española LTP'!$B$3</f>
        <v>43656</v>
      </c>
    </row>
    <row r="12" spans="1:15">
      <c r="A12" s="371" t="s">
        <v>193</v>
      </c>
      <c r="B12" s="371" t="s">
        <v>194</v>
      </c>
      <c r="C12" s="371" t="s">
        <v>51</v>
      </c>
      <c r="D12" s="371" t="s">
        <v>153</v>
      </c>
      <c r="E12" s="27" t="str">
        <f>'Anchoveta-Sardina Española LTP'!C12</f>
        <v>PROCESOS MTECNOLOGICOS DEL BIO BIO SpA</v>
      </c>
      <c r="F12" s="27" t="s">
        <v>197</v>
      </c>
      <c r="G12" s="27" t="s">
        <v>198</v>
      </c>
      <c r="H12" s="27">
        <f>'Anchoveta-Sardina Española LTP'!E13</f>
        <v>2595.4830000000002</v>
      </c>
      <c r="I12" s="27">
        <f>'Anchoveta-Sardina Española LTP'!F13</f>
        <v>0</v>
      </c>
      <c r="J12" s="27">
        <f>'Anchoveta-Sardina Española LTP'!G13</f>
        <v>10381.965</v>
      </c>
      <c r="K12" s="27">
        <f>'Anchoveta-Sardina Española LTP'!H13</f>
        <v>0</v>
      </c>
      <c r="L12" s="27">
        <f>'Anchoveta-Sardina Española LTP'!I13</f>
        <v>10381.965</v>
      </c>
      <c r="M12" s="372">
        <f>'Anchoveta-Sardina Española LTP'!J13</f>
        <v>0</v>
      </c>
      <c r="N12" s="373" t="s">
        <v>46</v>
      </c>
      <c r="O12" s="373">
        <f>+'Anchoveta-Sardina Española LTP'!$B$3</f>
        <v>43656</v>
      </c>
    </row>
    <row r="13" spans="1:15">
      <c r="A13" s="371" t="s">
        <v>193</v>
      </c>
      <c r="B13" s="371" t="s">
        <v>194</v>
      </c>
      <c r="C13" s="371" t="s">
        <v>51</v>
      </c>
      <c r="D13" s="371" t="s">
        <v>153</v>
      </c>
      <c r="E13" s="27" t="str">
        <f>'Anchoveta-Sardina Española LTP'!C12</f>
        <v>PROCESOS MTECNOLOGICOS DEL BIO BIO SpA</v>
      </c>
      <c r="F13" s="27" t="s">
        <v>199</v>
      </c>
      <c r="G13" s="27" t="s">
        <v>198</v>
      </c>
      <c r="H13" s="27">
        <f t="shared" ref="H13:M13" si="3">SUM(H11:H12)</f>
        <v>10381.965</v>
      </c>
      <c r="I13" s="27">
        <f t="shared" si="3"/>
        <v>0</v>
      </c>
      <c r="J13" s="27">
        <f t="shared" si="3"/>
        <v>18168.447</v>
      </c>
      <c r="K13" s="27">
        <f t="shared" si="3"/>
        <v>0</v>
      </c>
      <c r="L13" s="27">
        <f t="shared" si="3"/>
        <v>18168.447</v>
      </c>
      <c r="M13" s="372">
        <f t="shared" si="3"/>
        <v>0</v>
      </c>
      <c r="N13" s="373" t="s">
        <v>46</v>
      </c>
      <c r="O13" s="373">
        <f>+'Anchoveta-Sardina Española LTP'!$B$3</f>
        <v>43656</v>
      </c>
    </row>
    <row r="14" spans="1:15">
      <c r="A14" s="371" t="s">
        <v>193</v>
      </c>
      <c r="B14" s="371" t="s">
        <v>194</v>
      </c>
      <c r="C14" s="371" t="s">
        <v>51</v>
      </c>
      <c r="D14" s="371" t="s">
        <v>153</v>
      </c>
      <c r="E14" s="27" t="str">
        <f>'Anchoveta-Sardina Española LTP'!C14</f>
        <v xml:space="preserve">CORPESCA S.A                                           </v>
      </c>
      <c r="F14" s="27" t="s">
        <v>195</v>
      </c>
      <c r="G14" s="27" t="s">
        <v>196</v>
      </c>
      <c r="H14" s="27">
        <f>'Anchoveta-Sardina Española LTP'!E14</f>
        <v>356634.93800000002</v>
      </c>
      <c r="I14" s="27">
        <f>'Anchoveta-Sardina Española LTP'!F14</f>
        <v>-27000</v>
      </c>
      <c r="J14" s="27">
        <f>'Anchoveta-Sardina Española LTP'!G14</f>
        <v>329634.93800000002</v>
      </c>
      <c r="K14" s="27">
        <f>'Anchoveta-Sardina Española LTP'!H14</f>
        <v>225775.37499999997</v>
      </c>
      <c r="L14" s="27">
        <f>'Anchoveta-Sardina Española LTP'!I14</f>
        <v>103859.56300000005</v>
      </c>
      <c r="M14" s="372">
        <f>'Anchoveta-Sardina Española LTP'!J14</f>
        <v>0.68492550082782777</v>
      </c>
      <c r="N14" s="373" t="s">
        <v>46</v>
      </c>
      <c r="O14" s="373">
        <f>+'Anchoveta-Sardina Española LTP'!$B$3</f>
        <v>43656</v>
      </c>
    </row>
    <row r="15" spans="1:15">
      <c r="A15" s="371" t="s">
        <v>193</v>
      </c>
      <c r="B15" s="371" t="s">
        <v>194</v>
      </c>
      <c r="C15" s="371" t="s">
        <v>51</v>
      </c>
      <c r="D15" s="371" t="s">
        <v>153</v>
      </c>
      <c r="E15" s="27" t="str">
        <f>'Anchoveta-Sardina Española LTP'!C14</f>
        <v xml:space="preserve">CORPESCA S.A                                           </v>
      </c>
      <c r="F15" s="27" t="s">
        <v>197</v>
      </c>
      <c r="G15" s="27" t="s">
        <v>198</v>
      </c>
      <c r="H15" s="27">
        <f>'Anchoveta-Sardina Española LTP'!E15</f>
        <v>118877.80899999999</v>
      </c>
      <c r="I15" s="27">
        <f>'Anchoveta-Sardina Española LTP'!F15</f>
        <v>0</v>
      </c>
      <c r="J15" s="27">
        <f>'Anchoveta-Sardina Española LTP'!G15</f>
        <v>222737.37200000003</v>
      </c>
      <c r="K15" s="27">
        <f>'Anchoveta-Sardina Española LTP'!H15</f>
        <v>0</v>
      </c>
      <c r="L15" s="27">
        <f>'Anchoveta-Sardina Española LTP'!I15</f>
        <v>222737.37200000003</v>
      </c>
      <c r="M15" s="372">
        <f>'Anchoveta-Sardina Española LTP'!J15</f>
        <v>0</v>
      </c>
      <c r="N15" s="373" t="s">
        <v>46</v>
      </c>
      <c r="O15" s="373">
        <f>+'Anchoveta-Sardina Española LTP'!$B$3</f>
        <v>43656</v>
      </c>
    </row>
    <row r="16" spans="1:15" ht="12.6" thickBot="1">
      <c r="A16" s="374" t="s">
        <v>193</v>
      </c>
      <c r="B16" s="374" t="s">
        <v>194</v>
      </c>
      <c r="C16" s="374" t="s">
        <v>51</v>
      </c>
      <c r="D16" s="374" t="s">
        <v>153</v>
      </c>
      <c r="E16" s="375" t="str">
        <f>'Anchoveta-Sardina Española LTP'!C14</f>
        <v xml:space="preserve">CORPESCA S.A                                           </v>
      </c>
      <c r="F16" s="375" t="s">
        <v>199</v>
      </c>
      <c r="G16" s="375" t="s">
        <v>198</v>
      </c>
      <c r="H16" s="375">
        <f t="shared" ref="H16:M16" si="4">SUM(H14:H15)</f>
        <v>475512.74700000003</v>
      </c>
      <c r="I16" s="375">
        <f t="shared" si="4"/>
        <v>-27000</v>
      </c>
      <c r="J16" s="375">
        <f t="shared" si="4"/>
        <v>552372.31000000006</v>
      </c>
      <c r="K16" s="375">
        <f t="shared" si="4"/>
        <v>225775.37499999997</v>
      </c>
      <c r="L16" s="375">
        <f t="shared" si="4"/>
        <v>326596.93500000006</v>
      </c>
      <c r="M16" s="376">
        <f t="shared" si="4"/>
        <v>0.68492550082782777</v>
      </c>
      <c r="N16" s="377" t="s">
        <v>46</v>
      </c>
      <c r="O16" s="377">
        <f>+'Anchoveta-Sardina Española LTP'!$B$3</f>
        <v>43656</v>
      </c>
    </row>
    <row r="17" spans="1:15" ht="12.6" thickBot="1">
      <c r="A17" s="396" t="s">
        <v>193</v>
      </c>
      <c r="B17" s="397" t="s">
        <v>194</v>
      </c>
      <c r="C17" s="397" t="s">
        <v>51</v>
      </c>
      <c r="D17" s="397" t="s">
        <v>153</v>
      </c>
      <c r="E17" s="398" t="s">
        <v>200</v>
      </c>
      <c r="F17" s="395" t="s">
        <v>199</v>
      </c>
      <c r="G17" s="392" t="s">
        <v>198</v>
      </c>
      <c r="H17" s="392">
        <f>H4+H7+H10+H13+H16</f>
        <v>629209.99900000007</v>
      </c>
      <c r="I17" s="392">
        <f t="shared" ref="I17:M17" si="5">I4+I7+I10+I13+I16</f>
        <v>-27943.814999999999</v>
      </c>
      <c r="J17" s="392">
        <f t="shared" si="5"/>
        <v>766419.07799999998</v>
      </c>
      <c r="K17" s="392">
        <f t="shared" si="5"/>
        <v>278811.28999999998</v>
      </c>
      <c r="L17" s="392">
        <f t="shared" si="5"/>
        <v>487607.788</v>
      </c>
      <c r="M17" s="393">
        <f t="shared" si="5"/>
        <v>1.2482303458477975</v>
      </c>
      <c r="N17" s="399" t="s">
        <v>46</v>
      </c>
      <c r="O17" s="394">
        <f>+'Anchoveta-Sardina Española LTP'!$B$3</f>
        <v>43656</v>
      </c>
    </row>
    <row r="18" spans="1:15">
      <c r="A18" s="378" t="s">
        <v>201</v>
      </c>
      <c r="B18" s="378" t="s">
        <v>194</v>
      </c>
      <c r="C18" s="378" t="s">
        <v>202</v>
      </c>
      <c r="D18" s="378" t="s">
        <v>153</v>
      </c>
      <c r="E18" s="378" t="str">
        <f>+'Anchoveta-Sardina Española LTP'!C18</f>
        <v xml:space="preserve">ALIMENTOS MARINOS S.A.         </v>
      </c>
      <c r="F18" s="378" t="s">
        <v>199</v>
      </c>
      <c r="G18" s="378" t="s">
        <v>198</v>
      </c>
      <c r="H18" s="378">
        <f>'Anchoveta-Sardina Española LTP'!E18</f>
        <v>2124.5897651999999</v>
      </c>
      <c r="I18" s="378">
        <f>'Anchoveta-Sardina Española LTP'!F18</f>
        <v>-1100</v>
      </c>
      <c r="J18" s="378">
        <f>'Anchoveta-Sardina Española LTP'!G18</f>
        <v>1024.5897651999999</v>
      </c>
      <c r="K18" s="378">
        <f>'Anchoveta-Sardina Española LTP'!H18</f>
        <v>0</v>
      </c>
      <c r="L18" s="378">
        <f>'Anchoveta-Sardina Española LTP'!I18</f>
        <v>1024.5897651999999</v>
      </c>
      <c r="M18" s="379">
        <f>'Anchoveta-Sardina Española LTP'!J18</f>
        <v>0</v>
      </c>
      <c r="N18" s="380" t="s">
        <v>46</v>
      </c>
      <c r="O18" s="380">
        <f>+'Anchoveta-Sardina Española LTP'!$B$3</f>
        <v>43656</v>
      </c>
    </row>
    <row r="19" spans="1:15">
      <c r="A19" s="27" t="s">
        <v>201</v>
      </c>
      <c r="B19" s="27" t="s">
        <v>194</v>
      </c>
      <c r="C19" s="27" t="s">
        <v>202</v>
      </c>
      <c r="D19" s="27" t="s">
        <v>153</v>
      </c>
      <c r="E19" s="378" t="str">
        <f>+'Anchoveta-Sardina Española LTP'!C19</f>
        <v xml:space="preserve">BAHIA CALDERA S.A. PESQ.          </v>
      </c>
      <c r="F19" s="27" t="s">
        <v>199</v>
      </c>
      <c r="G19" s="27" t="s">
        <v>198</v>
      </c>
      <c r="H19" s="378">
        <f>'Anchoveta-Sardina Española LTP'!E19</f>
        <v>15839.5403862</v>
      </c>
      <c r="I19" s="378">
        <f>'Anchoveta-Sardina Española LTP'!F19</f>
        <v>-15839.534</v>
      </c>
      <c r="J19" s="378">
        <f>'Anchoveta-Sardina Española LTP'!G19</f>
        <v>6.3862000006338349E-3</v>
      </c>
      <c r="K19" s="378">
        <f>'Anchoveta-Sardina Española LTP'!H19</f>
        <v>0</v>
      </c>
      <c r="L19" s="378">
        <f>'Anchoveta-Sardina Española LTP'!I19</f>
        <v>6.3862000006338349E-3</v>
      </c>
      <c r="M19" s="372">
        <f>'Anchoveta-Sardina Española LTP'!J19</f>
        <v>0</v>
      </c>
      <c r="N19" s="373" t="s">
        <v>46</v>
      </c>
      <c r="O19" s="373">
        <f>+'Anchoveta-Sardina Española LTP'!$B$3</f>
        <v>43656</v>
      </c>
    </row>
    <row r="20" spans="1:15">
      <c r="A20" s="27" t="s">
        <v>201</v>
      </c>
      <c r="B20" s="27" t="s">
        <v>194</v>
      </c>
      <c r="C20" s="27" t="s">
        <v>202</v>
      </c>
      <c r="D20" s="27" t="s">
        <v>153</v>
      </c>
      <c r="E20" s="378" t="str">
        <f>+'Anchoveta-Sardina Española LTP'!C20</f>
        <v xml:space="preserve">BLUMAR S.A.                                              </v>
      </c>
      <c r="F20" s="27" t="s">
        <v>199</v>
      </c>
      <c r="G20" s="27" t="s">
        <v>198</v>
      </c>
      <c r="H20" s="378">
        <f>'Anchoveta-Sardina Española LTP'!E20</f>
        <v>122.5570182</v>
      </c>
      <c r="I20" s="378">
        <f>'Anchoveta-Sardina Española LTP'!F20</f>
        <v>0</v>
      </c>
      <c r="J20" s="378">
        <f>'Anchoveta-Sardina Española LTP'!G20</f>
        <v>122.5570182</v>
      </c>
      <c r="K20" s="378">
        <f>'Anchoveta-Sardina Española LTP'!H20</f>
        <v>0</v>
      </c>
      <c r="L20" s="378">
        <f>'Anchoveta-Sardina Española LTP'!I20</f>
        <v>122.5570182</v>
      </c>
      <c r="M20" s="372">
        <f>'Anchoveta-Sardina Española LTP'!J20</f>
        <v>0</v>
      </c>
      <c r="N20" s="373" t="s">
        <v>46</v>
      </c>
      <c r="O20" s="373">
        <f>+'Anchoveta-Sardina Española LTP'!$B$3</f>
        <v>43656</v>
      </c>
    </row>
    <row r="21" spans="1:15">
      <c r="A21" s="27" t="s">
        <v>201</v>
      </c>
      <c r="B21" s="27" t="s">
        <v>194</v>
      </c>
      <c r="C21" s="27" t="s">
        <v>202</v>
      </c>
      <c r="D21" s="27" t="s">
        <v>153</v>
      </c>
      <c r="E21" s="378" t="str">
        <f>+'Anchoveta-Sardina Española LTP'!C21</f>
        <v xml:space="preserve">CAMANCHACA S.A. CIA. PESQ    </v>
      </c>
      <c r="F21" s="27" t="s">
        <v>199</v>
      </c>
      <c r="G21" s="27" t="s">
        <v>198</v>
      </c>
      <c r="H21" s="378">
        <f>'Anchoveta-Sardina Española LTP'!E21</f>
        <v>29.3473635</v>
      </c>
      <c r="I21" s="378">
        <f>'Anchoveta-Sardina Española LTP'!F21</f>
        <v>0</v>
      </c>
      <c r="J21" s="378">
        <f>'Anchoveta-Sardina Española LTP'!G21</f>
        <v>29.3473635</v>
      </c>
      <c r="K21" s="378">
        <f>'Anchoveta-Sardina Española LTP'!H21</f>
        <v>0</v>
      </c>
      <c r="L21" s="378">
        <f>'Anchoveta-Sardina Española LTP'!I21</f>
        <v>29.3473635</v>
      </c>
      <c r="M21" s="372">
        <f>'Anchoveta-Sardina Española LTP'!J21</f>
        <v>0</v>
      </c>
      <c r="N21" s="373" t="s">
        <v>46</v>
      </c>
      <c r="O21" s="373">
        <f>+'Anchoveta-Sardina Española LTP'!$B$3</f>
        <v>43656</v>
      </c>
    </row>
    <row r="22" spans="1:15">
      <c r="A22" s="27" t="s">
        <v>201</v>
      </c>
      <c r="B22" s="27" t="s">
        <v>194</v>
      </c>
      <c r="C22" s="27" t="s">
        <v>202</v>
      </c>
      <c r="D22" s="27" t="s">
        <v>153</v>
      </c>
      <c r="E22" s="378" t="str">
        <f>+'Anchoveta-Sardina Española LTP'!C22</f>
        <v>PESQUERA LITORAL SpA</v>
      </c>
      <c r="F22" s="27" t="s">
        <v>199</v>
      </c>
      <c r="G22" s="27" t="s">
        <v>198</v>
      </c>
      <c r="H22" s="378">
        <f>'Anchoveta-Sardina Española LTP'!E22</f>
        <v>368.47919790000003</v>
      </c>
      <c r="I22" s="378">
        <f>'Anchoveta-Sardina Española LTP'!F22</f>
        <v>-357.12400000000002</v>
      </c>
      <c r="J22" s="378">
        <f>'Anchoveta-Sardina Española LTP'!G22</f>
        <v>11.355197900000007</v>
      </c>
      <c r="K22" s="378">
        <f>'Anchoveta-Sardina Española LTP'!H22</f>
        <v>0</v>
      </c>
      <c r="L22" s="378">
        <f>'Anchoveta-Sardina Española LTP'!I22</f>
        <v>11.355197900000007</v>
      </c>
      <c r="M22" s="372">
        <f>'Anchoveta-Sardina Española LTP'!J22</f>
        <v>0</v>
      </c>
      <c r="N22" s="373" t="s">
        <v>46</v>
      </c>
      <c r="O22" s="373">
        <f>+'Anchoveta-Sardina Española LTP'!$B$3</f>
        <v>43656</v>
      </c>
    </row>
    <row r="23" spans="1:15">
      <c r="A23" s="27" t="s">
        <v>201</v>
      </c>
      <c r="B23" s="27" t="s">
        <v>194</v>
      </c>
      <c r="C23" s="27" t="s">
        <v>202</v>
      </c>
      <c r="D23" s="27" t="s">
        <v>153</v>
      </c>
      <c r="E23" s="378" t="str">
        <f>+'Anchoveta-Sardina Española LTP'!C23</f>
        <v xml:space="preserve">ORIZON S.A                                                   </v>
      </c>
      <c r="F23" s="27" t="s">
        <v>199</v>
      </c>
      <c r="G23" s="27" t="s">
        <v>198</v>
      </c>
      <c r="H23" s="378">
        <f>'Anchoveta-Sardina Española LTP'!E23</f>
        <v>15542.492709</v>
      </c>
      <c r="I23" s="378">
        <f>'Anchoveta-Sardina Española LTP'!F23</f>
        <v>-15500</v>
      </c>
      <c r="J23" s="378">
        <f>'Anchoveta-Sardina Española LTP'!G23</f>
        <v>42.492709000000104</v>
      </c>
      <c r="K23" s="378">
        <f>'Anchoveta-Sardina Española LTP'!H23</f>
        <v>0</v>
      </c>
      <c r="L23" s="378">
        <f>'Anchoveta-Sardina Española LTP'!I23</f>
        <v>42.492709000000104</v>
      </c>
      <c r="M23" s="372">
        <f>'Anchoveta-Sardina Española LTP'!J23</f>
        <v>0</v>
      </c>
      <c r="N23" s="373" t="s">
        <v>46</v>
      </c>
      <c r="O23" s="373">
        <f>+'Anchoveta-Sardina Española LTP'!$B$3</f>
        <v>43656</v>
      </c>
    </row>
    <row r="24" spans="1:15">
      <c r="A24" s="27" t="s">
        <v>201</v>
      </c>
      <c r="B24" s="27" t="s">
        <v>194</v>
      </c>
      <c r="C24" s="27" t="s">
        <v>202</v>
      </c>
      <c r="D24" s="27" t="s">
        <v>153</v>
      </c>
      <c r="E24" s="378" t="str">
        <f>+'Anchoveta-Sardina Española LTP'!C24</f>
        <v xml:space="preserve">CAMANCHACA PESCA SUR S.A.  </v>
      </c>
      <c r="F24" s="27" t="s">
        <v>199</v>
      </c>
      <c r="G24" s="27" t="s">
        <v>198</v>
      </c>
      <c r="H24" s="378">
        <f>'Anchoveta-Sardina Española LTP'!E24</f>
        <v>799.28787059999991</v>
      </c>
      <c r="I24" s="378">
        <f>'Anchoveta-Sardina Española LTP'!F24</f>
        <v>-421.49799999999999</v>
      </c>
      <c r="J24" s="378">
        <f>'Anchoveta-Sardina Española LTP'!G24</f>
        <v>377.78987059999992</v>
      </c>
      <c r="K24" s="378">
        <f>'Anchoveta-Sardina Española LTP'!H24</f>
        <v>0</v>
      </c>
      <c r="L24" s="378">
        <f>'Anchoveta-Sardina Española LTP'!I24</f>
        <v>377.78987059999992</v>
      </c>
      <c r="M24" s="372">
        <f>'Anchoveta-Sardina Española LTP'!J24</f>
        <v>0</v>
      </c>
      <c r="N24" s="373" t="s">
        <v>46</v>
      </c>
      <c r="O24" s="373">
        <f>+'Anchoveta-Sardina Española LTP'!$B$3</f>
        <v>43656</v>
      </c>
    </row>
    <row r="25" spans="1:15">
      <c r="A25" s="27" t="s">
        <v>201</v>
      </c>
      <c r="B25" s="27" t="s">
        <v>194</v>
      </c>
      <c r="C25" s="27" t="s">
        <v>202</v>
      </c>
      <c r="D25" s="27" t="s">
        <v>153</v>
      </c>
      <c r="E25" s="378" t="str">
        <f>+'Anchoveta-Sardina Española LTP'!C25</f>
        <v xml:space="preserve">LANDES S.A. SOC. PESQ.                           </v>
      </c>
      <c r="F25" s="27" t="s">
        <v>199</v>
      </c>
      <c r="G25" s="27" t="s">
        <v>198</v>
      </c>
      <c r="H25" s="378">
        <f>'Anchoveta-Sardina Española LTP'!E25</f>
        <v>3.5436893999999999</v>
      </c>
      <c r="I25" s="378">
        <f>'Anchoveta-Sardina Española LTP'!F25</f>
        <v>0</v>
      </c>
      <c r="J25" s="378">
        <f>'Anchoveta-Sardina Española LTP'!G25</f>
        <v>3.5436893999999999</v>
      </c>
      <c r="K25" s="378">
        <f>'Anchoveta-Sardina Española LTP'!H25</f>
        <v>0</v>
      </c>
      <c r="L25" s="378">
        <f>'Anchoveta-Sardina Española LTP'!I25</f>
        <v>3.5436893999999999</v>
      </c>
      <c r="M25" s="372">
        <f>'Anchoveta-Sardina Española LTP'!J25</f>
        <v>0</v>
      </c>
      <c r="N25" s="373" t="s">
        <v>46</v>
      </c>
      <c r="O25" s="373">
        <f>+'Anchoveta-Sardina Española LTP'!$B$3</f>
        <v>43656</v>
      </c>
    </row>
    <row r="26" spans="1:15">
      <c r="A26" s="27" t="s">
        <v>201</v>
      </c>
      <c r="B26" s="27" t="s">
        <v>194</v>
      </c>
      <c r="C26" s="27" t="s">
        <v>202</v>
      </c>
      <c r="D26" s="27" t="s">
        <v>153</v>
      </c>
      <c r="E26" s="378" t="str">
        <f>+'Anchoveta-Sardina Española LTP'!C26</f>
        <v>SOCIEDAD COMERCIAL DE SERVICIOS Y TRANSPORTES STA LIMITADA</v>
      </c>
      <c r="F26" s="27" t="s">
        <v>199</v>
      </c>
      <c r="G26" s="27" t="s">
        <v>198</v>
      </c>
      <c r="H26" s="378">
        <f>'Anchoveta-Sardina Española LTP'!E26</f>
        <v>758.82000000000016</v>
      </c>
      <c r="I26" s="378">
        <f>'Anchoveta-Sardina Española LTP'!F26</f>
        <v>-758.81799999999998</v>
      </c>
      <c r="J26" s="378">
        <f>'Anchoveta-Sardina Española LTP'!G26</f>
        <v>2.00000000018008E-3</v>
      </c>
      <c r="K26" s="378">
        <f>'Anchoveta-Sardina Española LTP'!H26</f>
        <v>0</v>
      </c>
      <c r="L26" s="378">
        <f>'Anchoveta-Sardina Española LTP'!I26</f>
        <v>2.00000000018008E-3</v>
      </c>
      <c r="M26" s="372">
        <f>'Anchoveta-Sardina Española LTP'!J26</f>
        <v>0</v>
      </c>
      <c r="N26" s="373" t="s">
        <v>46</v>
      </c>
      <c r="O26" s="373">
        <f>+'Anchoveta-Sardina Española LTP'!$B$3</f>
        <v>43656</v>
      </c>
    </row>
    <row r="27" spans="1:15">
      <c r="A27" s="27" t="s">
        <v>201</v>
      </c>
      <c r="B27" s="27" t="s">
        <v>194</v>
      </c>
      <c r="C27" s="27" t="s">
        <v>202</v>
      </c>
      <c r="D27" s="27" t="s">
        <v>153</v>
      </c>
      <c r="E27" s="378" t="str">
        <f>+'Anchoveta-Sardina Española LTP'!C27</f>
        <v>FOODCORP CHILE S.A.</v>
      </c>
      <c r="F27" s="27" t="s">
        <v>199</v>
      </c>
      <c r="G27" s="27" t="s">
        <v>198</v>
      </c>
      <c r="H27" s="378">
        <f>'Anchoveta-Sardina Española LTP'!E27</f>
        <v>227.64600000000002</v>
      </c>
      <c r="I27" s="378">
        <f>'Anchoveta-Sardina Española LTP'!F27</f>
        <v>0</v>
      </c>
      <c r="J27" s="378">
        <f>'Anchoveta-Sardina Española LTP'!G27</f>
        <v>227.64600000000002</v>
      </c>
      <c r="K27" s="378">
        <f>'Anchoveta-Sardina Española LTP'!H27</f>
        <v>0</v>
      </c>
      <c r="L27" s="378">
        <f>'Anchoveta-Sardina Española LTP'!I27</f>
        <v>227.64600000000002</v>
      </c>
      <c r="M27" s="372">
        <f>'Anchoveta-Sardina Española LTP'!J27</f>
        <v>0</v>
      </c>
      <c r="N27" s="373" t="s">
        <v>46</v>
      </c>
      <c r="O27" s="373">
        <f>+'Anchoveta-Sardina Española LTP'!$B$3</f>
        <v>43656</v>
      </c>
    </row>
    <row r="28" spans="1:15">
      <c r="A28" s="27" t="s">
        <v>201</v>
      </c>
      <c r="B28" s="27" t="s">
        <v>194</v>
      </c>
      <c r="C28" s="27" t="s">
        <v>202</v>
      </c>
      <c r="D28" s="27" t="s">
        <v>153</v>
      </c>
      <c r="E28" s="378" t="str">
        <f>+'Anchoveta-Sardina Española LTP'!C28</f>
        <v xml:space="preserve">CARLOS SAEZ ALARCON </v>
      </c>
      <c r="F28" s="27" t="s">
        <v>199</v>
      </c>
      <c r="G28" s="27" t="s">
        <v>198</v>
      </c>
      <c r="H28" s="378">
        <f>'Anchoveta-Sardina Española LTP'!E28</f>
        <v>607.05600000000004</v>
      </c>
      <c r="I28" s="378">
        <f>'Anchoveta-Sardina Española LTP'!F28</f>
        <v>0</v>
      </c>
      <c r="J28" s="378">
        <f>'Anchoveta-Sardina Española LTP'!G28</f>
        <v>607.05600000000004</v>
      </c>
      <c r="K28" s="378">
        <f>'Anchoveta-Sardina Española LTP'!H28</f>
        <v>0</v>
      </c>
      <c r="L28" s="378">
        <f>'Anchoveta-Sardina Española LTP'!I28</f>
        <v>607.05600000000004</v>
      </c>
      <c r="M28" s="372">
        <f>'Anchoveta-Sardina Española LTP'!J28</f>
        <v>0</v>
      </c>
      <c r="N28" s="373" t="s">
        <v>46</v>
      </c>
      <c r="O28" s="373">
        <f>+'Anchoveta-Sardina Española LTP'!$B$3</f>
        <v>43656</v>
      </c>
    </row>
    <row r="29" spans="1:15">
      <c r="A29" s="375" t="s">
        <v>201</v>
      </c>
      <c r="B29" s="375" t="s">
        <v>194</v>
      </c>
      <c r="C29" s="375" t="s">
        <v>202</v>
      </c>
      <c r="D29" s="375" t="s">
        <v>153</v>
      </c>
      <c r="E29" s="378" t="str">
        <f>+'Anchoveta-Sardina Española LTP'!C29</f>
        <v>ALIMENTOS DEL SUR SPA.</v>
      </c>
      <c r="F29" s="375" t="s">
        <v>199</v>
      </c>
      <c r="G29" s="375" t="s">
        <v>198</v>
      </c>
      <c r="H29" s="378">
        <f>'Anchoveta-Sardina Española LTP'!E29</f>
        <v>436.32150000000001</v>
      </c>
      <c r="I29" s="378">
        <f>'Anchoveta-Sardina Española LTP'!F29</f>
        <v>0</v>
      </c>
      <c r="J29" s="378">
        <f>'Anchoveta-Sardina Española LTP'!G29</f>
        <v>436.32150000000001</v>
      </c>
      <c r="K29" s="378">
        <f>'Anchoveta-Sardina Española LTP'!H29</f>
        <v>0</v>
      </c>
      <c r="L29" s="378">
        <f>'Anchoveta-Sardina Española LTP'!I29</f>
        <v>436.32150000000001</v>
      </c>
      <c r="M29" s="376">
        <f>'Anchoveta-Sardina Española LTP'!J29</f>
        <v>0</v>
      </c>
      <c r="N29" s="373" t="s">
        <v>46</v>
      </c>
      <c r="O29" s="377">
        <f>+'Anchoveta-Sardina Española LTP'!$B$3</f>
        <v>43656</v>
      </c>
    </row>
    <row r="30" spans="1:15">
      <c r="A30" s="27" t="s">
        <v>201</v>
      </c>
      <c r="B30" s="27" t="s">
        <v>194</v>
      </c>
      <c r="C30" s="27" t="s">
        <v>202</v>
      </c>
      <c r="D30" s="27" t="s">
        <v>153</v>
      </c>
      <c r="E30" s="378" t="str">
        <f>+'Anchoveta-Sardina Española LTP'!C30</f>
        <v>ATILIO REYES BARRERA</v>
      </c>
      <c r="F30" s="27" t="s">
        <v>195</v>
      </c>
      <c r="G30" s="27" t="s">
        <v>198</v>
      </c>
      <c r="H30" s="378">
        <f>'Anchoveta-Sardina Española LTP'!E30</f>
        <v>284.5575</v>
      </c>
      <c r="I30" s="378">
        <f>'Anchoveta-Sardina Española LTP'!F30</f>
        <v>-284.55900000000003</v>
      </c>
      <c r="J30" s="378">
        <f>'Anchoveta-Sardina Española LTP'!G30</f>
        <v>-1.5000000000213731E-3</v>
      </c>
      <c r="K30" s="378">
        <f>'Anchoveta-Sardina Española LTP'!H30</f>
        <v>0</v>
      </c>
      <c r="L30" s="378">
        <f>'Anchoveta-Sardina Española LTP'!I30</f>
        <v>-1.5000000000213731E-3</v>
      </c>
      <c r="M30" s="376">
        <f>'Anchoveta-Sardina Española LTP'!J30</f>
        <v>0</v>
      </c>
      <c r="N30" s="373" t="s">
        <v>46</v>
      </c>
      <c r="O30" s="377">
        <f>+'Anchoveta-Sardina Española LTP'!$B$3</f>
        <v>43656</v>
      </c>
    </row>
    <row r="31" spans="1:15">
      <c r="A31" s="375" t="s">
        <v>201</v>
      </c>
      <c r="B31" s="375" t="s">
        <v>194</v>
      </c>
      <c r="C31" s="375" t="s">
        <v>202</v>
      </c>
      <c r="D31" s="375" t="s">
        <v>153</v>
      </c>
      <c r="E31" s="378" t="str">
        <f>+'Anchoveta-Sardina Española LTP'!C31</f>
        <v>PEDRO IRIGOYEN LTOA. INV</v>
      </c>
      <c r="F31" s="375" t="s">
        <v>195</v>
      </c>
      <c r="G31" s="375" t="s">
        <v>198</v>
      </c>
      <c r="H31" s="378">
        <f>'Anchoveta-Sardina Española LTP'!E31</f>
        <v>94.852500000000006</v>
      </c>
      <c r="I31" s="378">
        <f>'Anchoveta-Sardina Española LTP'!F31</f>
        <v>0</v>
      </c>
      <c r="J31" s="378">
        <f>'Anchoveta-Sardina Española LTP'!G31</f>
        <v>94.852500000000006</v>
      </c>
      <c r="K31" s="378">
        <f>'Anchoveta-Sardina Española LTP'!H31</f>
        <v>0</v>
      </c>
      <c r="L31" s="378">
        <f>'Anchoveta-Sardina Española LTP'!I31</f>
        <v>94.852500000000006</v>
      </c>
      <c r="M31" s="376">
        <f>'Anchoveta-Sardina Española LTP'!J31</f>
        <v>0</v>
      </c>
      <c r="N31" s="373" t="s">
        <v>46</v>
      </c>
      <c r="O31" s="377">
        <f>+'Anchoveta-Sardina Española LTP'!$B$3</f>
        <v>43656</v>
      </c>
    </row>
    <row r="32" spans="1:15">
      <c r="A32" s="27" t="s">
        <v>201</v>
      </c>
      <c r="B32" s="27" t="s">
        <v>194</v>
      </c>
      <c r="C32" s="27" t="s">
        <v>202</v>
      </c>
      <c r="D32" s="27" t="s">
        <v>153</v>
      </c>
      <c r="E32" s="378" t="str">
        <f>+'Anchoveta-Sardina Española LTP'!C32</f>
        <v>ABASTECIMIENTO DEL PACIFICO S.A.</v>
      </c>
      <c r="F32" s="27" t="s">
        <v>195</v>
      </c>
      <c r="G32" s="27" t="s">
        <v>198</v>
      </c>
      <c r="H32" s="378">
        <f>'Anchoveta-Sardina Española LTP'!E32</f>
        <v>398.38050000000004</v>
      </c>
      <c r="I32" s="378">
        <f>'Anchoveta-Sardina Española LTP'!F32</f>
        <v>-397.666</v>
      </c>
      <c r="J32" s="378">
        <f>'Anchoveta-Sardina Española LTP'!G32</f>
        <v>0.71450000000004366</v>
      </c>
      <c r="K32" s="378">
        <f>'Anchoveta-Sardina Española LTP'!H32</f>
        <v>0</v>
      </c>
      <c r="L32" s="378">
        <f>'Anchoveta-Sardina Española LTP'!I32</f>
        <v>0.71450000000004366</v>
      </c>
      <c r="M32" s="376">
        <f>'Anchoveta-Sardina Española LTP'!J32</f>
        <v>0</v>
      </c>
      <c r="N32" s="373" t="s">
        <v>46</v>
      </c>
      <c r="O32" s="377">
        <f>+'Anchoveta-Sardina Española LTP'!$B$3</f>
        <v>43656</v>
      </c>
    </row>
    <row r="33" spans="1:15">
      <c r="A33" s="375" t="s">
        <v>201</v>
      </c>
      <c r="B33" s="375" t="s">
        <v>194</v>
      </c>
      <c r="C33" s="375" t="s">
        <v>202</v>
      </c>
      <c r="D33" s="375" t="s">
        <v>153</v>
      </c>
      <c r="E33" s="378" t="str">
        <f>+'Anchoveta-Sardina Española LTP'!C33</f>
        <v>ERIC ARACENA REYNUABA</v>
      </c>
      <c r="F33" s="375" t="s">
        <v>195</v>
      </c>
      <c r="G33" s="375" t="s">
        <v>198</v>
      </c>
      <c r="H33" s="378">
        <f>'Anchoveta-Sardina Española LTP'!E33</f>
        <v>151.76400000000001</v>
      </c>
      <c r="I33" s="378">
        <f>'Anchoveta-Sardina Española LTP'!F33</f>
        <v>-151.76400000000001</v>
      </c>
      <c r="J33" s="378">
        <f>'Anchoveta-Sardina Española LTP'!G33</f>
        <v>0</v>
      </c>
      <c r="K33" s="378">
        <f>'Anchoveta-Sardina Española LTP'!H33</f>
        <v>0</v>
      </c>
      <c r="L33" s="378">
        <f>'Anchoveta-Sardina Española LTP'!I33</f>
        <v>0</v>
      </c>
      <c r="M33" s="376">
        <f>'Anchoveta-Sardina Española LTP'!J33</f>
        <v>0</v>
      </c>
      <c r="N33" s="373" t="s">
        <v>46</v>
      </c>
      <c r="O33" s="377">
        <f>+'Anchoveta-Sardina Española LTP'!$B$3</f>
        <v>43656</v>
      </c>
    </row>
    <row r="34" spans="1:15" ht="12.6" thickBot="1">
      <c r="A34" s="27" t="s">
        <v>201</v>
      </c>
      <c r="B34" s="27" t="s">
        <v>194</v>
      </c>
      <c r="C34" s="27" t="s">
        <v>202</v>
      </c>
      <c r="D34" s="27" t="s">
        <v>153</v>
      </c>
      <c r="E34" s="378" t="str">
        <f>+'Anchoveta-Sardina Española LTP'!C34</f>
        <v>GIULLIANO REYNUABA SALAS</v>
      </c>
      <c r="F34" s="27" t="s">
        <v>195</v>
      </c>
      <c r="G34" s="27" t="s">
        <v>198</v>
      </c>
      <c r="H34" s="378">
        <f>'Anchoveta-Sardina Española LTP'!E34</f>
        <v>151.76400000000001</v>
      </c>
      <c r="I34" s="378">
        <f>'Anchoveta-Sardina Española LTP'!F34</f>
        <v>-151.76400000000001</v>
      </c>
      <c r="J34" s="378">
        <f>'Anchoveta-Sardina Española LTP'!G34</f>
        <v>0</v>
      </c>
      <c r="K34" s="378">
        <f>'Anchoveta-Sardina Española LTP'!H34</f>
        <v>0</v>
      </c>
      <c r="L34" s="378">
        <f>'Anchoveta-Sardina Española LTP'!I34</f>
        <v>0</v>
      </c>
      <c r="M34" s="376">
        <f>'Anchoveta-Sardina Española LTP'!J34</f>
        <v>0</v>
      </c>
      <c r="N34" s="373" t="s">
        <v>46</v>
      </c>
      <c r="O34" s="377">
        <f>+'Anchoveta-Sardina Española LTP'!$B$3</f>
        <v>43656</v>
      </c>
    </row>
    <row r="35" spans="1:15" ht="12.6" thickBot="1">
      <c r="A35" s="395" t="s">
        <v>201</v>
      </c>
      <c r="B35" s="392" t="s">
        <v>194</v>
      </c>
      <c r="C35" s="392" t="s">
        <v>202</v>
      </c>
      <c r="D35" s="392" t="s">
        <v>153</v>
      </c>
      <c r="E35" s="392" t="s">
        <v>200</v>
      </c>
      <c r="F35" s="392" t="s">
        <v>195</v>
      </c>
      <c r="G35" s="392" t="s">
        <v>198</v>
      </c>
      <c r="H35" s="389">
        <f>'Anchoveta-Sardina Española LTP'!E35</f>
        <v>37941.000000000007</v>
      </c>
      <c r="I35" s="389">
        <f>'Anchoveta-Sardina Española LTP'!F35</f>
        <v>-34962.726999999999</v>
      </c>
      <c r="J35" s="389">
        <f>'Anchoveta-Sardina Española LTP'!G35</f>
        <v>2978.2730000000083</v>
      </c>
      <c r="K35" s="389">
        <f>'Anchoveta-Sardina Española LTP'!H35</f>
        <v>0</v>
      </c>
      <c r="L35" s="389">
        <f>'Anchoveta-Sardina Española LTP'!I35</f>
        <v>2978.2730000000083</v>
      </c>
      <c r="M35" s="390">
        <f>'Anchoveta-Sardina Española LTP'!J35</f>
        <v>0</v>
      </c>
      <c r="N35" s="391" t="s">
        <v>46</v>
      </c>
      <c r="O35" s="394">
        <f>+'Anchoveta-Sardina Española LTP'!$B$3</f>
        <v>43656</v>
      </c>
    </row>
    <row r="36" spans="1:15">
      <c r="A36" s="378" t="s">
        <v>203</v>
      </c>
      <c r="B36" s="378" t="s">
        <v>204</v>
      </c>
      <c r="C36" s="378" t="s">
        <v>51</v>
      </c>
      <c r="D36" s="378" t="s">
        <v>153</v>
      </c>
      <c r="E36" s="378" t="str">
        <f>+'Anchoveta-Sardina Española LTP'!C37</f>
        <v xml:space="preserve">ARICA SEAFOOD PRODUCER S.A.  </v>
      </c>
      <c r="F36" s="378" t="s">
        <v>195</v>
      </c>
      <c r="G36" s="378" t="s">
        <v>196</v>
      </c>
      <c r="H36" s="378">
        <f>'Anchoveta-Sardina Española LTP'!E37</f>
        <v>3.661</v>
      </c>
      <c r="I36" s="378">
        <f>'Anchoveta-Sardina Española LTP'!F32</f>
        <v>-397.666</v>
      </c>
      <c r="J36" s="378">
        <f>'Anchoveta-Sardina Española LTP'!G32</f>
        <v>0.71450000000004366</v>
      </c>
      <c r="K36" s="378">
        <f>'Anchoveta-Sardina Española LTP'!H32</f>
        <v>0</v>
      </c>
      <c r="L36" s="378">
        <f>'Anchoveta-Sardina Española LTP'!I32</f>
        <v>0.71450000000004366</v>
      </c>
      <c r="M36" s="379">
        <f>'Anchoveta-Sardina Española LTP'!J32</f>
        <v>0</v>
      </c>
      <c r="N36" s="373" t="s">
        <v>46</v>
      </c>
      <c r="O36" s="380">
        <f>+'Anchoveta-Sardina Española LTP'!$B$3</f>
        <v>43656</v>
      </c>
    </row>
    <row r="37" spans="1:15">
      <c r="A37" s="27" t="s">
        <v>203</v>
      </c>
      <c r="B37" s="27" t="s">
        <v>204</v>
      </c>
      <c r="C37" s="27" t="s">
        <v>51</v>
      </c>
      <c r="D37" s="27" t="s">
        <v>153</v>
      </c>
      <c r="E37" s="378" t="str">
        <f>+'Anchoveta-Sardina Española LTP'!$C$37</f>
        <v xml:space="preserve">ARICA SEAFOOD PRODUCER S.A.  </v>
      </c>
      <c r="F37" s="27" t="s">
        <v>197</v>
      </c>
      <c r="G37" s="27" t="s">
        <v>198</v>
      </c>
      <c r="H37" s="378">
        <f>'Anchoveta-Sardina Española LTP'!E38</f>
        <v>1.2190000000000001</v>
      </c>
      <c r="I37" s="27">
        <f>'Anchoveta-Sardina Española LTP'!F33</f>
        <v>-151.76400000000001</v>
      </c>
      <c r="J37" s="27">
        <f>'Anchoveta-Sardina Española LTP'!G33</f>
        <v>0</v>
      </c>
      <c r="K37" s="27">
        <f>'Anchoveta-Sardina Española LTP'!H33</f>
        <v>0</v>
      </c>
      <c r="L37" s="27">
        <f>'Anchoveta-Sardina Española LTP'!I33</f>
        <v>0</v>
      </c>
      <c r="M37" s="372">
        <f>'Anchoveta-Sardina Española LTP'!J33</f>
        <v>0</v>
      </c>
      <c r="N37" s="373" t="s">
        <v>46</v>
      </c>
      <c r="O37" s="373">
        <f>+'Anchoveta-Sardina Española LTP'!$B$3</f>
        <v>43656</v>
      </c>
    </row>
    <row r="38" spans="1:15">
      <c r="A38" s="27" t="s">
        <v>203</v>
      </c>
      <c r="B38" s="27" t="s">
        <v>204</v>
      </c>
      <c r="C38" s="27" t="s">
        <v>51</v>
      </c>
      <c r="D38" s="27" t="s">
        <v>153</v>
      </c>
      <c r="E38" s="378" t="str">
        <f>+'Anchoveta-Sardina Española LTP'!$C$37</f>
        <v xml:space="preserve">ARICA SEAFOOD PRODUCER S.A.  </v>
      </c>
      <c r="F38" s="27" t="s">
        <v>199</v>
      </c>
      <c r="G38" s="27" t="s">
        <v>198</v>
      </c>
      <c r="H38" s="27">
        <f>SUM(H36:H37)</f>
        <v>4.88</v>
      </c>
      <c r="I38" s="27">
        <f t="shared" ref="I38:L38" si="6">SUM(I36:I37)</f>
        <v>-549.43000000000006</v>
      </c>
      <c r="J38" s="27">
        <f t="shared" si="6"/>
        <v>0.71450000000004366</v>
      </c>
      <c r="K38" s="27">
        <f t="shared" si="6"/>
        <v>0</v>
      </c>
      <c r="L38" s="27">
        <f t="shared" si="6"/>
        <v>0.71450000000004366</v>
      </c>
      <c r="M38" s="372">
        <f>SUM(M36:M37)</f>
        <v>0</v>
      </c>
      <c r="N38" s="373" t="s">
        <v>46</v>
      </c>
      <c r="O38" s="373">
        <f>+'Anchoveta-Sardina Española LTP'!$B$3</f>
        <v>43656</v>
      </c>
    </row>
    <row r="39" spans="1:15">
      <c r="A39" s="27" t="s">
        <v>203</v>
      </c>
      <c r="B39" s="27" t="s">
        <v>204</v>
      </c>
      <c r="C39" s="27" t="s">
        <v>51</v>
      </c>
      <c r="D39" s="27" t="s">
        <v>153</v>
      </c>
      <c r="E39" s="378" t="str">
        <f>+'Anchoveta-Sardina Española LTP'!$C$39</f>
        <v xml:space="preserve">CAMANCHACA S.A. CIA. PESQ      </v>
      </c>
      <c r="F39" s="27" t="s">
        <v>195</v>
      </c>
      <c r="G39" s="27" t="s">
        <v>196</v>
      </c>
      <c r="H39" s="27">
        <f>'Anchoveta-Sardina Española LTP'!E39</f>
        <v>234.869</v>
      </c>
      <c r="I39" s="27">
        <f>'Anchoveta-Sardina Española LTP'!F34</f>
        <v>-151.76400000000001</v>
      </c>
      <c r="J39" s="27">
        <f>'Anchoveta-Sardina Española LTP'!G34</f>
        <v>0</v>
      </c>
      <c r="K39" s="27">
        <f>'Anchoveta-Sardina Española LTP'!H34</f>
        <v>0</v>
      </c>
      <c r="L39" s="27">
        <f>'Anchoveta-Sardina Española LTP'!I34</f>
        <v>0</v>
      </c>
      <c r="M39" s="372">
        <f>'Anchoveta-Sardina Española LTP'!J34</f>
        <v>0</v>
      </c>
      <c r="N39" s="373" t="s">
        <v>46</v>
      </c>
      <c r="O39" s="373">
        <f>+'Anchoveta-Sardina Española LTP'!$B$3</f>
        <v>43656</v>
      </c>
    </row>
    <row r="40" spans="1:15">
      <c r="A40" s="27" t="s">
        <v>203</v>
      </c>
      <c r="B40" s="27" t="s">
        <v>204</v>
      </c>
      <c r="C40" s="27" t="s">
        <v>51</v>
      </c>
      <c r="D40" s="27" t="s">
        <v>153</v>
      </c>
      <c r="E40" s="378" t="str">
        <f>+'Anchoveta-Sardina Española LTP'!$C$39</f>
        <v xml:space="preserve">CAMANCHACA S.A. CIA. PESQ      </v>
      </c>
      <c r="F40" s="27" t="s">
        <v>197</v>
      </c>
      <c r="G40" s="27" t="s">
        <v>198</v>
      </c>
      <c r="H40" s="27">
        <f>'Anchoveta-Sardina Española LTP'!E40</f>
        <v>78.218999999999994</v>
      </c>
      <c r="I40" s="27">
        <f>'Anchoveta-Sardina Española LTP'!F35</f>
        <v>-34962.726999999999</v>
      </c>
      <c r="J40" s="27">
        <f>'Anchoveta-Sardina Española LTP'!G35</f>
        <v>2978.2730000000083</v>
      </c>
      <c r="K40" s="27">
        <f>'Anchoveta-Sardina Española LTP'!H35</f>
        <v>0</v>
      </c>
      <c r="L40" s="27">
        <f>'Anchoveta-Sardina Española LTP'!I35</f>
        <v>2978.2730000000083</v>
      </c>
      <c r="M40" s="372">
        <f>'Anchoveta-Sardina Española LTP'!J35</f>
        <v>0</v>
      </c>
      <c r="N40" s="373" t="s">
        <v>46</v>
      </c>
      <c r="O40" s="373">
        <f>+'Anchoveta-Sardina Española LTP'!$B$3</f>
        <v>43656</v>
      </c>
    </row>
    <row r="41" spans="1:15">
      <c r="A41" s="27" t="s">
        <v>203</v>
      </c>
      <c r="B41" s="27" t="s">
        <v>204</v>
      </c>
      <c r="C41" s="27" t="s">
        <v>51</v>
      </c>
      <c r="D41" s="27" t="s">
        <v>153</v>
      </c>
      <c r="E41" s="378" t="str">
        <f>+'Anchoveta-Sardina Española LTP'!$C$39</f>
        <v xml:space="preserve">CAMANCHACA S.A. CIA. PESQ      </v>
      </c>
      <c r="F41" s="27" t="s">
        <v>199</v>
      </c>
      <c r="G41" s="27" t="s">
        <v>198</v>
      </c>
      <c r="H41" s="27">
        <f>SUM(H39:H40)</f>
        <v>313.08799999999997</v>
      </c>
      <c r="I41" s="27">
        <f t="shared" ref="I41:L41" si="7">SUM(I39:I40)</f>
        <v>-35114.491000000002</v>
      </c>
      <c r="J41" s="27">
        <f t="shared" si="7"/>
        <v>2978.2730000000083</v>
      </c>
      <c r="K41" s="27">
        <f t="shared" si="7"/>
        <v>0</v>
      </c>
      <c r="L41" s="27">
        <f t="shared" si="7"/>
        <v>2978.2730000000083</v>
      </c>
      <c r="M41" s="372">
        <f>SUM(M39:M40)</f>
        <v>0</v>
      </c>
      <c r="N41" s="373" t="s">
        <v>46</v>
      </c>
      <c r="O41" s="373">
        <f>+'Anchoveta-Sardina Española LTP'!$B$3</f>
        <v>43656</v>
      </c>
    </row>
    <row r="42" spans="1:15">
      <c r="A42" s="27" t="s">
        <v>203</v>
      </c>
      <c r="B42" s="27" t="s">
        <v>204</v>
      </c>
      <c r="C42" s="27" t="s">
        <v>51</v>
      </c>
      <c r="D42" s="27" t="s">
        <v>153</v>
      </c>
      <c r="E42" s="378" t="str">
        <f>+'Anchoveta-Sardina Española LTP'!$C$41</f>
        <v xml:space="preserve">CORPESCA S.A.                             </v>
      </c>
      <c r="F42" s="27" t="s">
        <v>195</v>
      </c>
      <c r="G42" s="27" t="s">
        <v>196</v>
      </c>
      <c r="H42" s="27">
        <f>'Anchoveta-Sardina Española LTP'!E41</f>
        <v>875.47</v>
      </c>
      <c r="I42" s="27">
        <f>'Anchoveta-Sardina Española LTP'!F36</f>
        <v>0</v>
      </c>
      <c r="J42" s="27">
        <f>'Anchoveta-Sardina Española LTP'!G36</f>
        <v>0</v>
      </c>
      <c r="K42" s="27">
        <f>'Anchoveta-Sardina Española LTP'!H36</f>
        <v>0</v>
      </c>
      <c r="L42" s="27">
        <f>'Anchoveta-Sardina Española LTP'!I36</f>
        <v>0</v>
      </c>
      <c r="M42" s="372">
        <f>'Anchoveta-Sardina Española LTP'!J36</f>
        <v>0</v>
      </c>
      <c r="N42" s="373" t="s">
        <v>46</v>
      </c>
      <c r="O42" s="373">
        <f>+'Anchoveta-Sardina Española LTP'!$B$3</f>
        <v>43656</v>
      </c>
    </row>
    <row r="43" spans="1:15">
      <c r="A43" s="27" t="s">
        <v>203</v>
      </c>
      <c r="B43" s="27" t="s">
        <v>204</v>
      </c>
      <c r="C43" s="27" t="s">
        <v>51</v>
      </c>
      <c r="D43" s="27" t="s">
        <v>153</v>
      </c>
      <c r="E43" s="378" t="str">
        <f>+'Anchoveta-Sardina Española LTP'!$C$41</f>
        <v xml:space="preserve">CORPESCA S.A.                             </v>
      </c>
      <c r="F43" s="27" t="s">
        <v>197</v>
      </c>
      <c r="G43" s="27" t="s">
        <v>198</v>
      </c>
      <c r="H43" s="27">
        <f>'Anchoveta-Sardina Española LTP'!E42</f>
        <v>291.56099999999998</v>
      </c>
      <c r="I43" s="27">
        <f>'Anchoveta-Sardina Española LTP'!F37</f>
        <v>0</v>
      </c>
      <c r="J43" s="27">
        <f>'Anchoveta-Sardina Española LTP'!G37</f>
        <v>3.661</v>
      </c>
      <c r="K43" s="27">
        <f>'Anchoveta-Sardina Española LTP'!H37</f>
        <v>0</v>
      </c>
      <c r="L43" s="27">
        <f>'Anchoveta-Sardina Española LTP'!I37</f>
        <v>3.661</v>
      </c>
      <c r="M43" s="372">
        <f>'Anchoveta-Sardina Española LTP'!J37</f>
        <v>0</v>
      </c>
      <c r="N43" s="373" t="s">
        <v>46</v>
      </c>
      <c r="O43" s="373">
        <f>+'Anchoveta-Sardina Española LTP'!$B$3</f>
        <v>43656</v>
      </c>
    </row>
    <row r="44" spans="1:15" ht="12.6" thickBot="1">
      <c r="A44" s="375" t="s">
        <v>203</v>
      </c>
      <c r="B44" s="375" t="s">
        <v>204</v>
      </c>
      <c r="C44" s="375" t="s">
        <v>51</v>
      </c>
      <c r="D44" s="375" t="s">
        <v>153</v>
      </c>
      <c r="E44" s="378" t="str">
        <f>+'Anchoveta-Sardina Española LTP'!$C$41</f>
        <v xml:space="preserve">CORPESCA S.A.                             </v>
      </c>
      <c r="F44" s="375" t="s">
        <v>199</v>
      </c>
      <c r="G44" s="375" t="s">
        <v>198</v>
      </c>
      <c r="H44" s="375">
        <f>SUM(H42:H43)</f>
        <v>1167.0309999999999</v>
      </c>
      <c r="I44" s="375">
        <f t="shared" ref="I44:L44" si="8">SUM(I42:I43)</f>
        <v>0</v>
      </c>
      <c r="J44" s="375">
        <f t="shared" si="8"/>
        <v>3.661</v>
      </c>
      <c r="K44" s="375">
        <f t="shared" si="8"/>
        <v>0</v>
      </c>
      <c r="L44" s="375">
        <f t="shared" si="8"/>
        <v>3.661</v>
      </c>
      <c r="M44" s="376">
        <f>SUM(M42:M43)</f>
        <v>0</v>
      </c>
      <c r="N44" s="373" t="s">
        <v>46</v>
      </c>
      <c r="O44" s="377">
        <f>+'Anchoveta-Sardina Española LTP'!$B$3</f>
        <v>43656</v>
      </c>
    </row>
    <row r="45" spans="1:15" ht="12.6" thickBot="1">
      <c r="A45" s="400" t="s">
        <v>203</v>
      </c>
      <c r="B45" s="401" t="s">
        <v>204</v>
      </c>
      <c r="C45" s="401" t="s">
        <v>51</v>
      </c>
      <c r="D45" s="401" t="s">
        <v>153</v>
      </c>
      <c r="E45" s="401" t="s">
        <v>200</v>
      </c>
      <c r="F45" s="401" t="s">
        <v>199</v>
      </c>
      <c r="G45" s="401" t="s">
        <v>198</v>
      </c>
      <c r="H45" s="401">
        <f>H38+H41+H44</f>
        <v>1484.9989999999998</v>
      </c>
      <c r="I45" s="401">
        <f t="shared" ref="I45:L45" si="9">I38+I41+I44</f>
        <v>-35663.921000000002</v>
      </c>
      <c r="J45" s="401">
        <f t="shared" si="9"/>
        <v>2982.6485000000084</v>
      </c>
      <c r="K45" s="401">
        <f t="shared" si="9"/>
        <v>0</v>
      </c>
      <c r="L45" s="401">
        <f t="shared" si="9"/>
        <v>2982.6485000000084</v>
      </c>
      <c r="M45" s="402">
        <f>M38+M41+M44</f>
        <v>0</v>
      </c>
      <c r="N45" s="403" t="s">
        <v>46</v>
      </c>
      <c r="O45" s="404">
        <f>+'Anchoveta-Sardina Española LTP'!$B$3</f>
        <v>43656</v>
      </c>
    </row>
    <row r="46" spans="1:15">
      <c r="A46" s="381" t="s">
        <v>205</v>
      </c>
      <c r="B46" s="381" t="s">
        <v>204</v>
      </c>
      <c r="C46" s="381" t="s">
        <v>202</v>
      </c>
      <c r="D46" s="381" t="s">
        <v>153</v>
      </c>
      <c r="E46" s="27" t="str">
        <f>'Anchoveta-Sardina Española LTP'!C45</f>
        <v xml:space="preserve">ALIMENTOS MARINOS S.A.          </v>
      </c>
      <c r="F46" s="27" t="s">
        <v>199</v>
      </c>
      <c r="G46" s="27" t="s">
        <v>198</v>
      </c>
      <c r="H46" s="27">
        <f>'Anchoveta-Sardina Española LTP'!E45</f>
        <v>119.553</v>
      </c>
      <c r="I46" s="27">
        <f>'Anchoveta-Sardina Española LTP'!F45</f>
        <v>0</v>
      </c>
      <c r="J46" s="27">
        <f>'Anchoveta-Sardina Española LTP'!G45</f>
        <v>119.553</v>
      </c>
      <c r="K46" s="27">
        <f>'Anchoveta-Sardina Española LTP'!H45</f>
        <v>0</v>
      </c>
      <c r="L46" s="27">
        <f>'Anchoveta-Sardina Española LTP'!I45</f>
        <v>119.553</v>
      </c>
      <c r="M46" s="382">
        <f>'Anchoveta-Sardina Española LTP'!J45</f>
        <v>0</v>
      </c>
      <c r="N46" s="373" t="s">
        <v>46</v>
      </c>
      <c r="O46" s="373">
        <f>+'Anchoveta-Sardina Española LTP'!$B$3</f>
        <v>43656</v>
      </c>
    </row>
    <row r="47" spans="1:15">
      <c r="A47" s="371" t="s">
        <v>205</v>
      </c>
      <c r="B47" s="371" t="s">
        <v>204</v>
      </c>
      <c r="C47" s="371" t="s">
        <v>202</v>
      </c>
      <c r="D47" s="371" t="s">
        <v>153</v>
      </c>
      <c r="E47" s="27" t="str">
        <f>'Anchoveta-Sardina Española LTP'!C46</f>
        <v xml:space="preserve">BAHIA CALDERA S.A. PESQ.          </v>
      </c>
      <c r="F47" s="27" t="s">
        <v>199</v>
      </c>
      <c r="G47" s="27" t="s">
        <v>198</v>
      </c>
      <c r="H47" s="27">
        <f>'Anchoveta-Sardina Española LTP'!E46</f>
        <v>520.51199999999994</v>
      </c>
      <c r="I47" s="27">
        <f>'Anchoveta-Sardina Española LTP'!F46</f>
        <v>0</v>
      </c>
      <c r="J47" s="27">
        <f>'Anchoveta-Sardina Española LTP'!G46</f>
        <v>520.51199999999994</v>
      </c>
      <c r="K47" s="27">
        <f>'Anchoveta-Sardina Española LTP'!H46</f>
        <v>0</v>
      </c>
      <c r="L47" s="27">
        <f>'Anchoveta-Sardina Española LTP'!I46</f>
        <v>520.51199999999994</v>
      </c>
      <c r="M47" s="382">
        <f>'Anchoveta-Sardina Española LTP'!J46</f>
        <v>0</v>
      </c>
      <c r="N47" s="373" t="s">
        <v>46</v>
      </c>
      <c r="O47" s="373">
        <f>+'Anchoveta-Sardina Española LTP'!$B$3</f>
        <v>43656</v>
      </c>
    </row>
    <row r="48" spans="1:15">
      <c r="A48" s="371" t="s">
        <v>205</v>
      </c>
      <c r="B48" s="371" t="s">
        <v>204</v>
      </c>
      <c r="C48" s="371" t="s">
        <v>202</v>
      </c>
      <c r="D48" s="371" t="s">
        <v>153</v>
      </c>
      <c r="E48" s="27" t="str">
        <f>'Anchoveta-Sardina Española LTP'!C47</f>
        <v>FOODCORP CHILE S.A.</v>
      </c>
      <c r="F48" s="27" t="s">
        <v>199</v>
      </c>
      <c r="G48" s="27" t="s">
        <v>198</v>
      </c>
      <c r="H48" s="27">
        <f>'Anchoveta-Sardina Española LTP'!E47</f>
        <v>8.7999999999999995E-2</v>
      </c>
      <c r="I48" s="27">
        <f>'Anchoveta-Sardina Española LTP'!F47</f>
        <v>0</v>
      </c>
      <c r="J48" s="27">
        <f>'Anchoveta-Sardina Española LTP'!G47</f>
        <v>8.7999999999999995E-2</v>
      </c>
      <c r="K48" s="27">
        <f>'Anchoveta-Sardina Española LTP'!H47</f>
        <v>0</v>
      </c>
      <c r="L48" s="27">
        <f>'Anchoveta-Sardina Española LTP'!I47</f>
        <v>8.7999999999999995E-2</v>
      </c>
      <c r="M48" s="382">
        <f>'Anchoveta-Sardina Española LTP'!J47</f>
        <v>0</v>
      </c>
      <c r="N48" s="373" t="s">
        <v>46</v>
      </c>
      <c r="O48" s="373">
        <f>+'Anchoveta-Sardina Española LTP'!$B$3</f>
        <v>43656</v>
      </c>
    </row>
    <row r="49" spans="1:15">
      <c r="A49" s="371" t="s">
        <v>205</v>
      </c>
      <c r="B49" s="371" t="s">
        <v>204</v>
      </c>
      <c r="C49" s="371" t="s">
        <v>202</v>
      </c>
      <c r="D49" s="371" t="s">
        <v>153</v>
      </c>
      <c r="E49" s="27" t="str">
        <f>'Anchoveta-Sardina Española LTP'!C48</f>
        <v>BLUMAR S.A.</v>
      </c>
      <c r="F49" s="27" t="s">
        <v>199</v>
      </c>
      <c r="G49" s="27" t="s">
        <v>198</v>
      </c>
      <c r="H49" s="27">
        <f>'Anchoveta-Sardina Española LTP'!E48</f>
        <v>3.3519999999999999</v>
      </c>
      <c r="I49" s="27">
        <f>'Anchoveta-Sardina Española LTP'!F48</f>
        <v>0</v>
      </c>
      <c r="J49" s="27">
        <f>'Anchoveta-Sardina Española LTP'!G48</f>
        <v>3.3519999999999999</v>
      </c>
      <c r="K49" s="27">
        <f>'Anchoveta-Sardina Española LTP'!H48</f>
        <v>0</v>
      </c>
      <c r="L49" s="27">
        <f>'Anchoveta-Sardina Española LTP'!I48</f>
        <v>3.3519999999999999</v>
      </c>
      <c r="M49" s="382">
        <f>'Anchoveta-Sardina Española LTP'!J48</f>
        <v>0</v>
      </c>
      <c r="N49" s="373" t="s">
        <v>46</v>
      </c>
      <c r="O49" s="373">
        <f>+'Anchoveta-Sardina Española LTP'!$B$3</f>
        <v>43656</v>
      </c>
    </row>
    <row r="50" spans="1:15">
      <c r="A50" s="371" t="s">
        <v>205</v>
      </c>
      <c r="B50" s="371" t="s">
        <v>204</v>
      </c>
      <c r="C50" s="371" t="s">
        <v>202</v>
      </c>
      <c r="D50" s="371" t="s">
        <v>153</v>
      </c>
      <c r="E50" s="27" t="str">
        <f>'Anchoveta-Sardina Española LTP'!C49</f>
        <v>CAMANCHACA S.A. CIA. PESQ.</v>
      </c>
      <c r="F50" s="27" t="s">
        <v>199</v>
      </c>
      <c r="G50" s="27" t="s">
        <v>198</v>
      </c>
      <c r="H50" s="27">
        <f>'Anchoveta-Sardina Española LTP'!E49</f>
        <v>3.7890000000000001</v>
      </c>
      <c r="I50" s="27" t="e">
        <f>'Anchoveta-Sardina Española LTP'!#REF!</f>
        <v>#REF!</v>
      </c>
      <c r="J50" s="27">
        <f>'Anchoveta-Sardina Española LTP'!G49</f>
        <v>3.7890000000000001</v>
      </c>
      <c r="K50" s="27">
        <f>'Anchoveta-Sardina Española LTP'!H49</f>
        <v>0</v>
      </c>
      <c r="L50" s="27">
        <f>'Anchoveta-Sardina Española LTP'!I49</f>
        <v>3.7890000000000001</v>
      </c>
      <c r="M50" s="382">
        <f>'Anchoveta-Sardina Española LTP'!J49</f>
        <v>0</v>
      </c>
      <c r="N50" s="373" t="s">
        <v>46</v>
      </c>
      <c r="O50" s="373">
        <f>+'Anchoveta-Sardina Española LTP'!$B$3</f>
        <v>43656</v>
      </c>
    </row>
    <row r="51" spans="1:15">
      <c r="A51" s="371" t="s">
        <v>205</v>
      </c>
      <c r="B51" s="371" t="s">
        <v>204</v>
      </c>
      <c r="C51" s="371" t="s">
        <v>202</v>
      </c>
      <c r="D51" s="371" t="s">
        <v>153</v>
      </c>
      <c r="E51" s="27" t="str">
        <f>'Anchoveta-Sardina Española LTP'!C50</f>
        <v>LITORAL SpA PESQ</v>
      </c>
      <c r="F51" s="27" t="s">
        <v>195</v>
      </c>
      <c r="G51" s="27" t="s">
        <v>198</v>
      </c>
      <c r="H51" s="27">
        <f>'Anchoveta-Sardina Española LTP'!E50</f>
        <v>1.736</v>
      </c>
      <c r="I51" s="27">
        <f>'Anchoveta-Sardina Española LTP'!F50</f>
        <v>-1.663</v>
      </c>
      <c r="J51" s="27">
        <f>'Anchoveta-Sardina Española LTP'!G50</f>
        <v>7.2999999999999954E-2</v>
      </c>
      <c r="K51" s="27">
        <f>'Anchoveta-Sardina Española LTP'!H50</f>
        <v>0</v>
      </c>
      <c r="L51" s="27">
        <f>'Anchoveta-Sardina Española LTP'!I50</f>
        <v>7.2999999999999954E-2</v>
      </c>
      <c r="M51" s="382">
        <f>'Anchoveta-Sardina Española LTP'!J50</f>
        <v>0</v>
      </c>
      <c r="N51" s="26"/>
      <c r="O51" s="373">
        <f>+'Anchoveta-Sardina Española LTP'!$B$3</f>
        <v>43656</v>
      </c>
    </row>
    <row r="52" spans="1:15">
      <c r="A52" s="371" t="s">
        <v>205</v>
      </c>
      <c r="B52" s="371" t="s">
        <v>204</v>
      </c>
      <c r="C52" s="371" t="s">
        <v>202</v>
      </c>
      <c r="D52" s="371" t="s">
        <v>153</v>
      </c>
      <c r="E52" s="27" t="str">
        <f>'Anchoveta-Sardina Española LTP'!C51</f>
        <v>ORIZON S.A.</v>
      </c>
      <c r="F52" s="27" t="s">
        <v>195</v>
      </c>
      <c r="G52" s="27" t="s">
        <v>198</v>
      </c>
      <c r="H52" s="27">
        <f>'Anchoveta-Sardina Española LTP'!E51</f>
        <v>223.434</v>
      </c>
      <c r="I52" s="27">
        <f>'Anchoveta-Sardina Española LTP'!F51</f>
        <v>-200</v>
      </c>
      <c r="J52" s="27">
        <f>'Anchoveta-Sardina Española LTP'!G51</f>
        <v>23.433999999999997</v>
      </c>
      <c r="K52" s="27">
        <f>'Anchoveta-Sardina Española LTP'!H51</f>
        <v>0</v>
      </c>
      <c r="L52" s="27">
        <f>'Anchoveta-Sardina Española LTP'!I51</f>
        <v>23.433999999999997</v>
      </c>
      <c r="M52" s="382">
        <f>'Anchoveta-Sardina Española LTP'!J51</f>
        <v>0</v>
      </c>
      <c r="N52" s="26"/>
      <c r="O52" s="373">
        <f>+'Anchoveta-Sardina Española LTP'!$B$3</f>
        <v>43656</v>
      </c>
    </row>
    <row r="53" spans="1:15">
      <c r="A53" s="371" t="s">
        <v>205</v>
      </c>
      <c r="B53" s="383" t="s">
        <v>204</v>
      </c>
      <c r="C53" s="371" t="s">
        <v>202</v>
      </c>
      <c r="D53" s="371" t="s">
        <v>153</v>
      </c>
      <c r="E53" s="27" t="str">
        <f>'Anchoveta-Sardina Española LTP'!C52</f>
        <v>CAMANCHACA PESCA SUR S.A.</v>
      </c>
      <c r="F53" s="27" t="s">
        <v>195</v>
      </c>
      <c r="G53" s="27" t="s">
        <v>198</v>
      </c>
      <c r="H53" s="27">
        <f>'Anchoveta-Sardina Española LTP'!E52</f>
        <v>1.5129999999999999</v>
      </c>
      <c r="I53" s="27">
        <f>'Anchoveta-Sardina Española LTP'!F52</f>
        <v>0</v>
      </c>
      <c r="J53" s="27">
        <f>'Anchoveta-Sardina Española LTP'!G52</f>
        <v>1.5129999999999999</v>
      </c>
      <c r="K53" s="27">
        <f>'Anchoveta-Sardina Española LTP'!H52</f>
        <v>0</v>
      </c>
      <c r="L53" s="27">
        <f>'Anchoveta-Sardina Española LTP'!I52</f>
        <v>1.5129999999999999</v>
      </c>
      <c r="M53" s="382">
        <f>'Anchoveta-Sardina Española LTP'!J52</f>
        <v>0</v>
      </c>
      <c r="N53" s="26"/>
      <c r="O53" s="373">
        <f>+'Anchoveta-Sardina Española LTP'!$B$3</f>
        <v>43656</v>
      </c>
    </row>
    <row r="54" spans="1:15" ht="12.6" thickBot="1">
      <c r="A54" s="374" t="s">
        <v>205</v>
      </c>
      <c r="B54" s="384" t="s">
        <v>204</v>
      </c>
      <c r="C54" s="374" t="s">
        <v>202</v>
      </c>
      <c r="D54" s="374" t="s">
        <v>153</v>
      </c>
      <c r="E54" s="375" t="str">
        <f>'Anchoveta-Sardina Española LTP'!C53</f>
        <v>LANDES S.A. SOC.PESQ.</v>
      </c>
      <c r="F54" s="375" t="s">
        <v>195</v>
      </c>
      <c r="G54" s="375" t="s">
        <v>198</v>
      </c>
      <c r="H54" s="375">
        <f>'Anchoveta-Sardina Española LTP'!E53</f>
        <v>1.024</v>
      </c>
      <c r="I54" s="375">
        <f>'Anchoveta-Sardina Española LTP'!F53</f>
        <v>0</v>
      </c>
      <c r="J54" s="375">
        <f>'Anchoveta-Sardina Española LTP'!G53</f>
        <v>1.024</v>
      </c>
      <c r="K54" s="375">
        <f>'Anchoveta-Sardina Española LTP'!H53</f>
        <v>0</v>
      </c>
      <c r="L54" s="375">
        <f>'Anchoveta-Sardina Española LTP'!I53</f>
        <v>1.024</v>
      </c>
      <c r="M54" s="385">
        <f>'Anchoveta-Sardina Española LTP'!J53</f>
        <v>0</v>
      </c>
      <c r="N54" s="26"/>
      <c r="O54" s="377">
        <f>+'Anchoveta-Sardina Española LTP'!$B$3</f>
        <v>43656</v>
      </c>
    </row>
    <row r="55" spans="1:15" ht="12.6" thickBot="1">
      <c r="A55" s="407" t="s">
        <v>205</v>
      </c>
      <c r="B55" s="408" t="s">
        <v>204</v>
      </c>
      <c r="C55" s="408" t="s">
        <v>202</v>
      </c>
      <c r="D55" s="408" t="s">
        <v>153</v>
      </c>
      <c r="E55" s="409" t="s">
        <v>200</v>
      </c>
      <c r="F55" s="409" t="s">
        <v>199</v>
      </c>
      <c r="G55" s="409" t="s">
        <v>198</v>
      </c>
      <c r="H55" s="409">
        <f>SUM(H46:H54)</f>
        <v>875.00099999999986</v>
      </c>
      <c r="I55" s="409" t="e">
        <f t="shared" ref="I55:J55" si="10">SUM(I46:I54)</f>
        <v>#REF!</v>
      </c>
      <c r="J55" s="409">
        <f t="shared" si="10"/>
        <v>673.33799999999985</v>
      </c>
      <c r="K55" s="409">
        <f>SUM(K46:K54)</f>
        <v>0</v>
      </c>
      <c r="L55" s="409">
        <f>SUM(L46:L54)</f>
        <v>673.33799999999985</v>
      </c>
      <c r="M55" s="410">
        <f>SUM(M46:M54)</f>
        <v>0</v>
      </c>
      <c r="N55" s="411" t="s">
        <v>46</v>
      </c>
      <c r="O55" s="412">
        <f>+'Anchoveta-Sardina Española LTP'!$B$3</f>
        <v>43656</v>
      </c>
    </row>
    <row r="56" spans="1:15">
      <c r="A56" s="381" t="s">
        <v>193</v>
      </c>
      <c r="B56" s="381" t="s">
        <v>194</v>
      </c>
      <c r="C56" s="381" t="s">
        <v>66</v>
      </c>
      <c r="D56" s="381" t="s">
        <v>206</v>
      </c>
      <c r="E56" s="378" t="s">
        <v>207</v>
      </c>
      <c r="F56" s="378" t="s">
        <v>195</v>
      </c>
      <c r="G56" s="378" t="s">
        <v>196</v>
      </c>
      <c r="H56" s="405">
        <f>'Anchoveta Artesanal'!E5</f>
        <v>60695</v>
      </c>
      <c r="I56" s="405">
        <f>'Anchoveta Artesanal'!F5</f>
        <v>0</v>
      </c>
      <c r="J56" s="405">
        <f>'Anchoveta Artesanal'!G5</f>
        <v>60695</v>
      </c>
      <c r="K56" s="405">
        <f>'Anchoveta Artesanal'!H5</f>
        <v>57534.64</v>
      </c>
      <c r="L56" s="405">
        <f>'Anchoveta Artesanal'!I5</f>
        <v>3160.3600000000006</v>
      </c>
      <c r="M56" s="406">
        <f>'Anchoveta Artesanal'!J5</f>
        <v>0.94793047203229264</v>
      </c>
      <c r="N56" s="380" t="s">
        <v>46</v>
      </c>
      <c r="O56" s="380">
        <f>+'Anchoveta Artesanal'!$B$2</f>
        <v>43656</v>
      </c>
    </row>
    <row r="57" spans="1:15">
      <c r="A57" s="371" t="s">
        <v>193</v>
      </c>
      <c r="B57" s="371" t="s">
        <v>194</v>
      </c>
      <c r="C57" s="371" t="s">
        <v>66</v>
      </c>
      <c r="D57" s="371" t="s">
        <v>206</v>
      </c>
      <c r="E57" s="27" t="s">
        <v>207</v>
      </c>
      <c r="F57" s="27" t="s">
        <v>197</v>
      </c>
      <c r="G57" s="27" t="s">
        <v>198</v>
      </c>
      <c r="H57" s="386">
        <f>'Anchoveta Artesanal'!E6</f>
        <v>20232</v>
      </c>
      <c r="I57" s="386">
        <f>'Anchoveta Artesanal'!F6</f>
        <v>0</v>
      </c>
      <c r="J57" s="386">
        <f>'Anchoveta Artesanal'!G6</f>
        <v>23392.36</v>
      </c>
      <c r="K57" s="386">
        <f>'Anchoveta Artesanal'!H6</f>
        <v>3890.2919999999995</v>
      </c>
      <c r="L57" s="386">
        <f>'Anchoveta Artesanal'!I6</f>
        <v>19502.067999999999</v>
      </c>
      <c r="M57" s="382">
        <f>'Anchoveta Artesanal'!J6</f>
        <v>0.16630609310048236</v>
      </c>
      <c r="N57" s="373" t="s">
        <v>46</v>
      </c>
      <c r="O57" s="373">
        <f>+'Anchoveta Artesanal'!$B$2</f>
        <v>43656</v>
      </c>
    </row>
    <row r="58" spans="1:15" s="417" customFormat="1">
      <c r="A58" s="363" t="s">
        <v>193</v>
      </c>
      <c r="B58" s="363" t="s">
        <v>194</v>
      </c>
      <c r="C58" s="363" t="s">
        <v>66</v>
      </c>
      <c r="D58" s="363" t="s">
        <v>206</v>
      </c>
      <c r="E58" s="413" t="s">
        <v>207</v>
      </c>
      <c r="F58" s="413" t="s">
        <v>195</v>
      </c>
      <c r="G58" s="413" t="s">
        <v>198</v>
      </c>
      <c r="H58" s="414">
        <f>SUM(H56:H57)</f>
        <v>80927</v>
      </c>
      <c r="I58" s="414">
        <f t="shared" ref="I58:M58" si="11">SUM(I56:I57)</f>
        <v>0</v>
      </c>
      <c r="J58" s="414">
        <f t="shared" si="11"/>
        <v>84087.360000000001</v>
      </c>
      <c r="K58" s="414">
        <f t="shared" si="11"/>
        <v>61424.932000000001</v>
      </c>
      <c r="L58" s="414">
        <f t="shared" si="11"/>
        <v>22662.428</v>
      </c>
      <c r="M58" s="415">
        <f t="shared" si="11"/>
        <v>1.114236565132775</v>
      </c>
      <c r="N58" s="416" t="s">
        <v>46</v>
      </c>
      <c r="O58" s="416">
        <f>+'Anchoveta Artesanal'!$B$2</f>
        <v>43656</v>
      </c>
    </row>
    <row r="59" spans="1:15">
      <c r="A59" s="371" t="s">
        <v>193</v>
      </c>
      <c r="B59" s="371" t="s">
        <v>194</v>
      </c>
      <c r="C59" s="371" t="s">
        <v>208</v>
      </c>
      <c r="D59" s="371" t="s">
        <v>209</v>
      </c>
      <c r="E59" s="27" t="s">
        <v>210</v>
      </c>
      <c r="F59" s="27" t="s">
        <v>195</v>
      </c>
      <c r="G59" s="27" t="s">
        <v>196</v>
      </c>
      <c r="H59" s="386">
        <f>'Anchoveta Artesanal'!E9</f>
        <v>30528</v>
      </c>
      <c r="I59" s="386">
        <f>'Anchoveta Artesanal'!F9</f>
        <v>0</v>
      </c>
      <c r="J59" s="386">
        <f>'Anchoveta Artesanal'!G9</f>
        <v>30528</v>
      </c>
      <c r="K59" s="386">
        <f>'Anchoveta Artesanal'!H9</f>
        <v>24219.015999999981</v>
      </c>
      <c r="L59" s="386">
        <f>'Anchoveta Artesanal'!I9</f>
        <v>6308.9840000000186</v>
      </c>
      <c r="M59" s="382">
        <f>'Anchoveta Artesanal'!J9</f>
        <v>0.79333778825995749</v>
      </c>
      <c r="N59" s="373" t="s">
        <v>46</v>
      </c>
      <c r="O59" s="373">
        <f>+'Anchoveta Artesanal'!$B$2</f>
        <v>43656</v>
      </c>
    </row>
    <row r="60" spans="1:15">
      <c r="A60" s="371" t="s">
        <v>193</v>
      </c>
      <c r="B60" s="371" t="s">
        <v>194</v>
      </c>
      <c r="C60" s="371" t="s">
        <v>208</v>
      </c>
      <c r="D60" s="371" t="s">
        <v>209</v>
      </c>
      <c r="E60" s="27" t="s">
        <v>210</v>
      </c>
      <c r="F60" s="27" t="s">
        <v>197</v>
      </c>
      <c r="G60" s="27" t="s">
        <v>198</v>
      </c>
      <c r="H60" s="386">
        <f>'Anchoveta Artesanal'!E10</f>
        <v>1</v>
      </c>
      <c r="I60" s="386">
        <f>'Anchoveta Artesanal'!F10</f>
        <v>0</v>
      </c>
      <c r="J60" s="386">
        <f>'Anchoveta Artesanal'!G10</f>
        <v>6309.9840000000186</v>
      </c>
      <c r="K60" s="386">
        <f>'Anchoveta Artesanal'!H10</f>
        <v>2460.4500000000003</v>
      </c>
      <c r="L60" s="386">
        <f>'Anchoveta Artesanal'!I10</f>
        <v>3849.5340000000183</v>
      </c>
      <c r="M60" s="382">
        <f>'Anchoveta Artesanal'!J10</f>
        <v>0.38992967335574752</v>
      </c>
      <c r="N60" s="373" t="s">
        <v>46</v>
      </c>
      <c r="O60" s="373">
        <f>+'Anchoveta Artesanal'!$B$2</f>
        <v>43656</v>
      </c>
    </row>
    <row r="61" spans="1:15" s="417" customFormat="1">
      <c r="A61" s="363" t="s">
        <v>193</v>
      </c>
      <c r="B61" s="363" t="s">
        <v>194</v>
      </c>
      <c r="C61" s="363" t="s">
        <v>208</v>
      </c>
      <c r="D61" s="363" t="s">
        <v>209</v>
      </c>
      <c r="E61" s="413" t="s">
        <v>210</v>
      </c>
      <c r="F61" s="413" t="s">
        <v>195</v>
      </c>
      <c r="G61" s="413" t="s">
        <v>198</v>
      </c>
      <c r="H61" s="414">
        <f>SUM(H59:H60)</f>
        <v>30529</v>
      </c>
      <c r="I61" s="414">
        <f t="shared" ref="I61:M61" si="12">SUM(I59:I60)</f>
        <v>0</v>
      </c>
      <c r="J61" s="414">
        <f t="shared" si="12"/>
        <v>36837.984000000019</v>
      </c>
      <c r="K61" s="414">
        <f t="shared" si="12"/>
        <v>26679.465999999982</v>
      </c>
      <c r="L61" s="414">
        <f t="shared" si="12"/>
        <v>10158.518000000036</v>
      </c>
      <c r="M61" s="415">
        <f t="shared" si="12"/>
        <v>1.1832674616157051</v>
      </c>
      <c r="N61" s="416" t="s">
        <v>46</v>
      </c>
      <c r="O61" s="416">
        <f>+'Anchoveta Artesanal'!$B$2</f>
        <v>43656</v>
      </c>
    </row>
    <row r="62" spans="1:15" s="417" customFormat="1">
      <c r="A62" s="363" t="s">
        <v>201</v>
      </c>
      <c r="B62" s="363" t="s">
        <v>194</v>
      </c>
      <c r="C62" s="363" t="s">
        <v>211</v>
      </c>
      <c r="D62" s="363" t="s">
        <v>209</v>
      </c>
      <c r="E62" s="413" t="s">
        <v>212</v>
      </c>
      <c r="F62" s="413" t="s">
        <v>195</v>
      </c>
      <c r="G62" s="413" t="s">
        <v>198</v>
      </c>
      <c r="H62" s="414">
        <f>'Anchoveta Artesanal'!E13</f>
        <v>26209</v>
      </c>
      <c r="I62" s="414">
        <f>'Anchoveta Artesanal'!F13</f>
        <v>0</v>
      </c>
      <c r="J62" s="414">
        <f>'Anchoveta Artesanal'!G13</f>
        <v>26209</v>
      </c>
      <c r="K62" s="414">
        <f>'Anchoveta Artesanal'!H13</f>
        <v>24923.445000000007</v>
      </c>
      <c r="L62" s="414">
        <f>'Anchoveta Artesanal'!I13</f>
        <v>1285.554999999993</v>
      </c>
      <c r="M62" s="415">
        <f>'Anchoveta Artesanal'!J13</f>
        <v>0.95094986455034558</v>
      </c>
      <c r="N62" s="416" t="str">
        <f>'Anchoveta Artesanal'!K13</f>
        <v>-</v>
      </c>
      <c r="O62" s="416">
        <f>+'Anchoveta Artesanal'!$B$2</f>
        <v>43656</v>
      </c>
    </row>
    <row r="63" spans="1:15">
      <c r="A63" s="27" t="s">
        <v>201</v>
      </c>
      <c r="B63" s="27" t="s">
        <v>194</v>
      </c>
      <c r="C63" s="27" t="s">
        <v>69</v>
      </c>
      <c r="D63" s="27" t="s">
        <v>213</v>
      </c>
      <c r="E63" s="27" t="s">
        <v>214</v>
      </c>
      <c r="F63" s="27" t="s">
        <v>195</v>
      </c>
      <c r="G63" s="27" t="s">
        <v>198</v>
      </c>
      <c r="H63" s="386">
        <f>'Anchoveta Artesanal'!E16</f>
        <v>11195.151</v>
      </c>
      <c r="I63" s="386">
        <f>'Anchoveta Artesanal'!F16</f>
        <v>0</v>
      </c>
      <c r="J63" s="386">
        <f>'Anchoveta Artesanal'!G16</f>
        <v>11195.151</v>
      </c>
      <c r="K63" s="386">
        <f>'Anchoveta Artesanal'!H16</f>
        <v>11109.647999999999</v>
      </c>
      <c r="L63" s="386">
        <f>'Anchoveta Artesanal'!I16</f>
        <v>85.503000000000611</v>
      </c>
      <c r="M63" s="382">
        <f>'Anchoveta Artesanal'!J16</f>
        <v>0.99236249694175627</v>
      </c>
      <c r="N63" s="373" t="str">
        <f>'Anchoveta Artesanal'!K16</f>
        <v>-</v>
      </c>
      <c r="O63" s="373">
        <f>+'Anchoveta Artesanal'!$B$2</f>
        <v>43656</v>
      </c>
    </row>
    <row r="64" spans="1:15">
      <c r="A64" s="27" t="s">
        <v>201</v>
      </c>
      <c r="B64" s="27" t="s">
        <v>194</v>
      </c>
      <c r="C64" s="27" t="s">
        <v>69</v>
      </c>
      <c r="D64" s="27" t="s">
        <v>213</v>
      </c>
      <c r="E64" s="27" t="s">
        <v>215</v>
      </c>
      <c r="F64" s="27" t="s">
        <v>195</v>
      </c>
      <c r="G64" s="27" t="s">
        <v>198</v>
      </c>
      <c r="H64" s="386">
        <f>'Anchoveta Artesanal'!E17</f>
        <v>36.848999999999997</v>
      </c>
      <c r="I64" s="386">
        <f>'Anchoveta Artesanal'!F17</f>
        <v>0</v>
      </c>
      <c r="J64" s="386">
        <f>'Anchoveta Artesanal'!G17</f>
        <v>36.848999999999997</v>
      </c>
      <c r="K64" s="386">
        <f>'Anchoveta Artesanal'!H17</f>
        <v>3.2</v>
      </c>
      <c r="L64" s="386">
        <f>'Anchoveta Artesanal'!I17</f>
        <v>33.648999999999994</v>
      </c>
      <c r="M64" s="382">
        <f>'Anchoveta Artesanal'!J17</f>
        <v>8.6840891204645998E-2</v>
      </c>
      <c r="N64" s="373" t="str">
        <f>'Anchoveta Artesanal'!K17</f>
        <v>-</v>
      </c>
      <c r="O64" s="373">
        <f>+'Anchoveta Artesanal'!$B$2</f>
        <v>43656</v>
      </c>
    </row>
    <row r="65" spans="1:15" s="417" customFormat="1">
      <c r="A65" s="413" t="s">
        <v>201</v>
      </c>
      <c r="B65" s="413" t="s">
        <v>194</v>
      </c>
      <c r="C65" s="413" t="s">
        <v>69</v>
      </c>
      <c r="D65" s="413" t="s">
        <v>216</v>
      </c>
      <c r="E65" s="413" t="s">
        <v>217</v>
      </c>
      <c r="F65" s="413" t="s">
        <v>195</v>
      </c>
      <c r="G65" s="413" t="s">
        <v>218</v>
      </c>
      <c r="H65" s="414">
        <f>SUM(H63:H64)</f>
        <v>11232</v>
      </c>
      <c r="I65" s="414">
        <f t="shared" ref="I65:M65" si="13">SUM(I63:I64)</f>
        <v>0</v>
      </c>
      <c r="J65" s="414">
        <f t="shared" si="13"/>
        <v>11232</v>
      </c>
      <c r="K65" s="414">
        <f t="shared" si="13"/>
        <v>11112.848</v>
      </c>
      <c r="L65" s="414">
        <f t="shared" si="13"/>
        <v>119.15200000000061</v>
      </c>
      <c r="M65" s="415">
        <f t="shared" si="13"/>
        <v>1.0792033881464023</v>
      </c>
      <c r="N65" s="416" t="s">
        <v>46</v>
      </c>
      <c r="O65" s="416">
        <f>+'Anchoveta Artesanal'!$B$2</f>
        <v>43656</v>
      </c>
    </row>
    <row r="66" spans="1:15">
      <c r="A66" s="27" t="s">
        <v>203</v>
      </c>
      <c r="B66" s="27" t="s">
        <v>204</v>
      </c>
      <c r="C66" s="27" t="s">
        <v>66</v>
      </c>
      <c r="D66" s="27" t="s">
        <v>219</v>
      </c>
      <c r="E66" s="27" t="s">
        <v>220</v>
      </c>
      <c r="F66" s="27" t="s">
        <v>195</v>
      </c>
      <c r="G66" s="27" t="s">
        <v>196</v>
      </c>
      <c r="H66" s="386">
        <f>'Sardina Española Artesanal'!E6</f>
        <v>536</v>
      </c>
      <c r="I66" s="386">
        <f>'Sardina Española Artesanal'!F6</f>
        <v>0</v>
      </c>
      <c r="J66" s="386">
        <f>'Sardina Española Artesanal'!G6</f>
        <v>536</v>
      </c>
      <c r="K66" s="386">
        <f>'Sardina Española Artesanal'!H6</f>
        <v>0</v>
      </c>
      <c r="L66" s="386">
        <f>'Sardina Española Artesanal'!I6</f>
        <v>536</v>
      </c>
      <c r="M66" s="382">
        <f>'Sardina Española Artesanal'!J6</f>
        <v>0</v>
      </c>
      <c r="N66" s="373" t="str">
        <f>'Sardina Española Artesanal'!K6</f>
        <v>-</v>
      </c>
      <c r="O66" s="373">
        <f>+'Sardina Española Artesanal'!$B$3</f>
        <v>43656</v>
      </c>
    </row>
    <row r="67" spans="1:15">
      <c r="A67" s="27" t="s">
        <v>203</v>
      </c>
      <c r="B67" s="27" t="s">
        <v>204</v>
      </c>
      <c r="C67" s="27" t="s">
        <v>66</v>
      </c>
      <c r="D67" s="27" t="s">
        <v>219</v>
      </c>
      <c r="E67" s="27" t="s">
        <v>220</v>
      </c>
      <c r="F67" s="27" t="s">
        <v>197</v>
      </c>
      <c r="G67" s="27" t="s">
        <v>198</v>
      </c>
      <c r="H67" s="386">
        <f>'Sardina Española Artesanal'!E7</f>
        <v>178</v>
      </c>
      <c r="I67" s="386">
        <f>'Sardina Española Artesanal'!F7</f>
        <v>0</v>
      </c>
      <c r="J67" s="386">
        <f>'Sardina Española Artesanal'!G7</f>
        <v>714</v>
      </c>
      <c r="K67" s="386">
        <f>'Sardina Española Artesanal'!H7</f>
        <v>0</v>
      </c>
      <c r="L67" s="386">
        <f>'Sardina Española Artesanal'!I7</f>
        <v>714</v>
      </c>
      <c r="M67" s="382">
        <f>'Sardina Española Artesanal'!J7</f>
        <v>0</v>
      </c>
      <c r="N67" s="373" t="str">
        <f>'Sardina Española Artesanal'!K7</f>
        <v>-</v>
      </c>
      <c r="O67" s="373">
        <f>+'Sardina Española Artesanal'!$B$3</f>
        <v>43656</v>
      </c>
    </row>
    <row r="68" spans="1:15">
      <c r="A68" s="27" t="s">
        <v>203</v>
      </c>
      <c r="B68" s="27" t="s">
        <v>204</v>
      </c>
      <c r="C68" s="27" t="s">
        <v>66</v>
      </c>
      <c r="D68" s="27" t="s">
        <v>219</v>
      </c>
      <c r="E68" s="27" t="s">
        <v>220</v>
      </c>
      <c r="F68" s="27" t="s">
        <v>195</v>
      </c>
      <c r="G68" s="27" t="s">
        <v>198</v>
      </c>
      <c r="H68" s="386">
        <f>SUM(H66:H67)</f>
        <v>714</v>
      </c>
      <c r="I68" s="386">
        <f t="shared" ref="I68:M68" si="14">SUM(I66:I67)</f>
        <v>0</v>
      </c>
      <c r="J68" s="386">
        <f t="shared" si="14"/>
        <v>1250</v>
      </c>
      <c r="K68" s="386">
        <f t="shared" si="14"/>
        <v>0</v>
      </c>
      <c r="L68" s="386">
        <f t="shared" si="14"/>
        <v>1250</v>
      </c>
      <c r="M68" s="382">
        <f t="shared" si="14"/>
        <v>0</v>
      </c>
      <c r="N68" s="373" t="s">
        <v>46</v>
      </c>
      <c r="O68" s="373">
        <f>+'Sardina Española Artesanal'!$B$3</f>
        <v>43656</v>
      </c>
    </row>
    <row r="69" spans="1:15">
      <c r="A69" s="27" t="s">
        <v>203</v>
      </c>
      <c r="B69" s="27" t="s">
        <v>204</v>
      </c>
      <c r="C69" s="27" t="s">
        <v>67</v>
      </c>
      <c r="D69" s="27" t="s">
        <v>209</v>
      </c>
      <c r="E69" s="27" t="s">
        <v>210</v>
      </c>
      <c r="F69" s="27" t="s">
        <v>195</v>
      </c>
      <c r="G69" s="27" t="s">
        <v>196</v>
      </c>
      <c r="H69" s="386">
        <f>'Sardina Española Artesanal'!E9</f>
        <v>2026</v>
      </c>
      <c r="I69" s="386">
        <f>'Sardina Española Artesanal'!F9</f>
        <v>0</v>
      </c>
      <c r="J69" s="386">
        <f>'Sardina Española Artesanal'!G9</f>
        <v>2026</v>
      </c>
      <c r="K69" s="386">
        <f>'Sardina Española Artesanal'!H9</f>
        <v>403.30599999999998</v>
      </c>
      <c r="L69" s="386">
        <f>'Sardina Española Artesanal'!I9</f>
        <v>1622.694</v>
      </c>
      <c r="M69" s="382">
        <f>'Sardina Española Artesanal'!J9</f>
        <v>0.19906515301085884</v>
      </c>
      <c r="N69" s="373" t="str">
        <f>'Sardina Española Artesanal'!K9</f>
        <v>-</v>
      </c>
      <c r="O69" s="373">
        <f>+'Sardina Española Artesanal'!$B$3</f>
        <v>43656</v>
      </c>
    </row>
    <row r="70" spans="1:15">
      <c r="A70" s="27" t="s">
        <v>203</v>
      </c>
      <c r="B70" s="27" t="s">
        <v>204</v>
      </c>
      <c r="C70" s="27" t="s">
        <v>67</v>
      </c>
      <c r="D70" s="27" t="s">
        <v>209</v>
      </c>
      <c r="E70" s="27" t="s">
        <v>210</v>
      </c>
      <c r="F70" s="27" t="s">
        <v>197</v>
      </c>
      <c r="G70" s="27" t="s">
        <v>198</v>
      </c>
      <c r="H70" s="386">
        <f>'Sardina Española Artesanal'!E10</f>
        <v>675</v>
      </c>
      <c r="I70" s="386">
        <f>'Sardina Española Artesanal'!F10</f>
        <v>0</v>
      </c>
      <c r="J70" s="386">
        <f>'Sardina Española Artesanal'!G10</f>
        <v>2297.694</v>
      </c>
      <c r="K70" s="386">
        <f>'Sardina Española Artesanal'!H10</f>
        <v>0</v>
      </c>
      <c r="L70" s="386">
        <f>'Sardina Española Artesanal'!I10</f>
        <v>2297.694</v>
      </c>
      <c r="M70" s="382">
        <f>'Sardina Española Artesanal'!J10</f>
        <v>0</v>
      </c>
      <c r="N70" s="373" t="str">
        <f>'Sardina Española Artesanal'!K10</f>
        <v>-</v>
      </c>
      <c r="O70" s="373">
        <f>+'Sardina Española Artesanal'!$B$3</f>
        <v>43656</v>
      </c>
    </row>
    <row r="71" spans="1:15">
      <c r="A71" s="27" t="s">
        <v>203</v>
      </c>
      <c r="B71" s="27" t="s">
        <v>204</v>
      </c>
      <c r="C71" s="27" t="s">
        <v>67</v>
      </c>
      <c r="D71" s="27" t="s">
        <v>209</v>
      </c>
      <c r="E71" s="27" t="s">
        <v>210</v>
      </c>
      <c r="F71" s="27" t="s">
        <v>195</v>
      </c>
      <c r="G71" s="27" t="s">
        <v>198</v>
      </c>
      <c r="H71" s="386">
        <f>SUM(H69:H70)</f>
        <v>2701</v>
      </c>
      <c r="I71" s="386">
        <f t="shared" ref="I71:M71" si="15">SUM(I69:I70)</f>
        <v>0</v>
      </c>
      <c r="J71" s="386">
        <f t="shared" si="15"/>
        <v>4323.6939999999995</v>
      </c>
      <c r="K71" s="386">
        <f t="shared" si="15"/>
        <v>403.30599999999998</v>
      </c>
      <c r="L71" s="386">
        <f t="shared" si="15"/>
        <v>3920.3879999999999</v>
      </c>
      <c r="M71" s="382">
        <f t="shared" si="15"/>
        <v>0.19906515301085884</v>
      </c>
      <c r="N71" s="373" t="s">
        <v>46</v>
      </c>
      <c r="O71" s="373">
        <f>+'Sardina Española Artesanal'!$B$3</f>
        <v>43656</v>
      </c>
    </row>
    <row r="72" spans="1:15">
      <c r="A72" s="27" t="s">
        <v>205</v>
      </c>
      <c r="B72" s="27" t="s">
        <v>204</v>
      </c>
      <c r="C72" s="27" t="s">
        <v>68</v>
      </c>
      <c r="D72" s="27" t="s">
        <v>209</v>
      </c>
      <c r="E72" s="27" t="s">
        <v>212</v>
      </c>
      <c r="F72" s="27" t="s">
        <v>195</v>
      </c>
      <c r="G72" s="27" t="s">
        <v>198</v>
      </c>
      <c r="H72" s="386">
        <f>'Sardina Española Artesanal'!E12</f>
        <v>218.5</v>
      </c>
      <c r="I72" s="386">
        <f>'Sardina Española Artesanal'!F12</f>
        <v>0</v>
      </c>
      <c r="J72" s="386">
        <f>'Sardina Española Artesanal'!G12</f>
        <v>218.5</v>
      </c>
      <c r="K72" s="386">
        <f>'Sardina Española Artesanal'!H12</f>
        <v>200.76000000000005</v>
      </c>
      <c r="L72" s="386">
        <f>'Sardina Española Artesanal'!I12</f>
        <v>17.739999999999952</v>
      </c>
      <c r="M72" s="382">
        <f>'Sardina Española Artesanal'!J12</f>
        <v>0.91881006864988579</v>
      </c>
      <c r="N72" s="373" t="str">
        <f>'Sardina Española Artesanal'!K12</f>
        <v>-</v>
      </c>
      <c r="O72" s="373">
        <f>+'Sardina Española Artesanal'!$B$3</f>
        <v>43656</v>
      </c>
    </row>
    <row r="73" spans="1:15">
      <c r="A73" s="27" t="s">
        <v>205</v>
      </c>
      <c r="B73" s="27" t="s">
        <v>204</v>
      </c>
      <c r="C73" s="27" t="s">
        <v>69</v>
      </c>
      <c r="D73" s="27" t="s">
        <v>209</v>
      </c>
      <c r="E73" s="27" t="s">
        <v>221</v>
      </c>
      <c r="F73" s="27" t="s">
        <v>195</v>
      </c>
      <c r="G73" s="27" t="s">
        <v>198</v>
      </c>
      <c r="H73" s="386">
        <f>'Sardina Española Artesanal'!E14</f>
        <v>218.5</v>
      </c>
      <c r="I73" s="386">
        <f>'Sardina Española Artesanal'!F14</f>
        <v>0</v>
      </c>
      <c r="J73" s="386">
        <f>'Sardina Española Artesanal'!G14</f>
        <v>218.5</v>
      </c>
      <c r="K73" s="386">
        <f>'Sardina Española Artesanal'!H14</f>
        <v>201.18800000000002</v>
      </c>
      <c r="L73" s="386">
        <f>'Sardina Española Artesanal'!I14</f>
        <v>17.311999999999983</v>
      </c>
      <c r="M73" s="382">
        <f>'Sardina Española Artesanal'!J14</f>
        <v>0.92076887871853552</v>
      </c>
      <c r="N73" s="373" t="str">
        <f>'Sardina Española Artesanal'!K14</f>
        <v>-</v>
      </c>
      <c r="O73" s="373">
        <f>+'Sardina Española Artesanal'!$B$3</f>
        <v>43656</v>
      </c>
    </row>
  </sheetData>
  <conditionalFormatting sqref="M1">
    <cfRule type="cellIs" dxfId="3" priority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Resumen_Anch_Sard_Esp_XV-IV</vt:lpstr>
      <vt:lpstr>Anchoveta-Sardina Española LTP</vt:lpstr>
      <vt:lpstr>Anchoveta Artesanal</vt:lpstr>
      <vt:lpstr>Sardina Española Artesanal</vt:lpstr>
      <vt:lpstr>Consumo Cesiones</vt:lpstr>
      <vt:lpstr>Investigacion</vt:lpstr>
      <vt:lpstr>Cuota </vt:lpstr>
      <vt:lpstr>Web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ZULETA ESPINOZA, GERALDINE</dc:creator>
  <cp:lastModifiedBy>rgarcia</cp:lastModifiedBy>
  <dcterms:created xsi:type="dcterms:W3CDTF">2019-01-31T16:16:15Z</dcterms:created>
  <dcterms:modified xsi:type="dcterms:W3CDTF">2019-07-09T22:45:07Z</dcterms:modified>
</cp:coreProperties>
</file>