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/>
  <bookViews>
    <workbookView xWindow="612" yWindow="36" windowWidth="22068" windowHeight="6000" tabRatio="1000" firstSheet="1" activeTab="2"/>
  </bookViews>
  <sheets>
    <sheet name="Resumen_Anch_Sard_Esp_XV-IV" sheetId="1" r:id="rId1"/>
    <sheet name="Anchoveta-Sardina Española LTP" sheetId="2" r:id="rId2"/>
    <sheet name="Anchoveta Artesanal" sheetId="3" r:id="rId3"/>
    <sheet name="Sardina Española Artesanal" sheetId="4" r:id="rId4"/>
    <sheet name="Cesiones_a_artesanales" sheetId="8" r:id="rId5"/>
    <sheet name="Investigacion" sheetId="7" r:id="rId6"/>
    <sheet name="Cuota " sheetId="9" state="hidden" r:id="rId7"/>
    <sheet name="Web" sheetId="10" r:id="rId8"/>
  </sheets>
  <definedNames>
    <definedName name="_xlnm._FilterDatabase" localSheetId="1" hidden="1">'Anchoveta-Sardina Española LTP'!$D$57:$L$86</definedName>
    <definedName name="_xlnm._FilterDatabase" localSheetId="4" hidden="1">Cesiones_a_artesanales!$B$14:$K$44</definedName>
    <definedName name="_xlnm._FilterDatabase" localSheetId="7" hidden="1">Web!$A$1:$Q$1</definedName>
  </definedNames>
  <calcPr calcId="125725"/>
</workbook>
</file>

<file path=xl/calcChain.xml><?xml version="1.0" encoding="utf-8"?>
<calcChain xmlns="http://schemas.openxmlformats.org/spreadsheetml/2006/main">
  <c r="H16" i="3"/>
  <c r="M16"/>
  <c r="N16"/>
  <c r="F17"/>
  <c r="G17"/>
  <c r="H17"/>
  <c r="H18"/>
  <c r="J18" s="1"/>
  <c r="Q18" s="1"/>
  <c r="I18"/>
  <c r="I20" s="1"/>
  <c r="M18"/>
  <c r="N18"/>
  <c r="P18"/>
  <c r="H19"/>
  <c r="J19" s="1"/>
  <c r="Q19" s="1"/>
  <c r="K19"/>
  <c r="R19" s="1"/>
  <c r="M19"/>
  <c r="N19"/>
  <c r="O19"/>
  <c r="P19"/>
  <c r="F20"/>
  <c r="H20" s="1"/>
  <c r="J20" s="1"/>
  <c r="G20"/>
  <c r="F21"/>
  <c r="H21" s="1"/>
  <c r="G22"/>
  <c r="H22" s="1"/>
  <c r="I22"/>
  <c r="H23"/>
  <c r="K23" s="1"/>
  <c r="N64" i="10"/>
  <c r="N63"/>
  <c r="N62"/>
  <c r="N56"/>
  <c r="B47" i="8"/>
  <c r="C47"/>
  <c r="D47"/>
  <c r="E47"/>
  <c r="F47"/>
  <c r="G47"/>
  <c r="H47"/>
  <c r="J47" s="1"/>
  <c r="K89" i="2"/>
  <c r="I50" i="10"/>
  <c r="L14" i="2"/>
  <c r="L15"/>
  <c r="M45" i="10"/>
  <c r="K22" i="3" l="1"/>
  <c r="K18"/>
  <c r="R18" s="1"/>
  <c r="K20"/>
  <c r="J23"/>
  <c r="J22"/>
  <c r="O18"/>
  <c r="O16"/>
  <c r="E66" i="8"/>
  <c r="D66"/>
  <c r="G23" i="4"/>
  <c r="F22"/>
  <c r="I55" i="10"/>
  <c r="G11" i="3"/>
  <c r="G10" i="2"/>
  <c r="G41" i="7"/>
  <c r="B44" i="8" l="1"/>
  <c r="C44"/>
  <c r="D44"/>
  <c r="E44"/>
  <c r="F44"/>
  <c r="G44"/>
  <c r="H44"/>
  <c r="J44"/>
  <c r="B45"/>
  <c r="C45"/>
  <c r="D45"/>
  <c r="E45"/>
  <c r="F45"/>
  <c r="G45"/>
  <c r="H45"/>
  <c r="J45"/>
  <c r="B46"/>
  <c r="C46"/>
  <c r="D46"/>
  <c r="E46"/>
  <c r="F46"/>
  <c r="G46"/>
  <c r="H46"/>
  <c r="J46" s="1"/>
  <c r="K88" i="2"/>
  <c r="G15"/>
  <c r="G12" i="1" l="1"/>
  <c r="H16" l="1"/>
  <c r="E16"/>
  <c r="G16" s="1"/>
  <c r="I13" i="4"/>
  <c r="G13"/>
  <c r="H13" s="1"/>
  <c r="J7" i="8"/>
  <c r="J4"/>
  <c r="H13" i="3"/>
  <c r="K13" s="1"/>
  <c r="F24" i="1"/>
  <c r="H21"/>
  <c r="F21"/>
  <c r="F11" i="4"/>
  <c r="F8"/>
  <c r="G35" i="2"/>
  <c r="K58"/>
  <c r="J13" i="4" l="1"/>
  <c r="J13" i="3"/>
  <c r="F12" i="4"/>
  <c r="F54" i="1"/>
  <c r="G54"/>
  <c r="H54"/>
  <c r="I54"/>
  <c r="J54"/>
  <c r="E54"/>
  <c r="F53"/>
  <c r="H53"/>
  <c r="E53"/>
  <c r="H38"/>
  <c r="G38"/>
  <c r="G48"/>
  <c r="I48" s="1"/>
  <c r="G47"/>
  <c r="I47" s="1"/>
  <c r="G46"/>
  <c r="J46" s="1"/>
  <c r="G33"/>
  <c r="G32"/>
  <c r="G31"/>
  <c r="I31" s="1"/>
  <c r="G11"/>
  <c r="I12"/>
  <c r="G10"/>
  <c r="J10" s="1"/>
  <c r="G21"/>
  <c r="I21" s="1"/>
  <c r="E24"/>
  <c r="E23"/>
  <c r="I16"/>
  <c r="H22"/>
  <c r="E22"/>
  <c r="G22" s="1"/>
  <c r="E51"/>
  <c r="E50"/>
  <c r="E49" l="1"/>
  <c r="E45" s="1"/>
  <c r="J22"/>
  <c r="J31"/>
  <c r="I46"/>
  <c r="I33"/>
  <c r="I32"/>
  <c r="I11"/>
  <c r="I10"/>
  <c r="E18"/>
  <c r="K14"/>
  <c r="I6" i="3"/>
  <c r="I5"/>
  <c r="D33"/>
  <c r="E33"/>
  <c r="P5" l="1"/>
  <c r="H14" i="1" s="1"/>
  <c r="B36" i="8"/>
  <c r="D36"/>
  <c r="E36"/>
  <c r="C36"/>
  <c r="F36"/>
  <c r="G36"/>
  <c r="H36"/>
  <c r="K15" i="1"/>
  <c r="K50"/>
  <c r="B43" i="8" l="1"/>
  <c r="I36"/>
  <c r="I10" s="1"/>
  <c r="K86" i="2" l="1"/>
  <c r="K79"/>
  <c r="F52" i="8"/>
  <c r="I18" i="4" l="1"/>
  <c r="B2" i="3" l="1"/>
  <c r="F7"/>
  <c r="G7"/>
  <c r="G10"/>
  <c r="F8"/>
  <c r="F11" s="1"/>
  <c r="F26"/>
  <c r="I9"/>
  <c r="I8"/>
  <c r="E31"/>
  <c r="F27"/>
  <c r="F28"/>
  <c r="I16" s="1"/>
  <c r="F29"/>
  <c r="F30"/>
  <c r="E41" i="8"/>
  <c r="F41"/>
  <c r="G41"/>
  <c r="H41"/>
  <c r="E42"/>
  <c r="F42"/>
  <c r="G42"/>
  <c r="H42"/>
  <c r="E43"/>
  <c r="F43"/>
  <c r="G43"/>
  <c r="H43"/>
  <c r="D41"/>
  <c r="D42"/>
  <c r="D43"/>
  <c r="C41"/>
  <c r="C42"/>
  <c r="C43"/>
  <c r="B42"/>
  <c r="K85" i="2"/>
  <c r="G32"/>
  <c r="K84"/>
  <c r="K16" i="3" l="1"/>
  <c r="R16" s="1"/>
  <c r="P16"/>
  <c r="I21"/>
  <c r="K21" s="1"/>
  <c r="I17"/>
  <c r="K17" s="1"/>
  <c r="J16"/>
  <c r="F10"/>
  <c r="H11" s="1"/>
  <c r="J43" i="8"/>
  <c r="J42"/>
  <c r="K40"/>
  <c r="K41"/>
  <c r="J41"/>
  <c r="H7" i="3"/>
  <c r="I7"/>
  <c r="I10"/>
  <c r="F31"/>
  <c r="D37" i="8"/>
  <c r="E37"/>
  <c r="F37"/>
  <c r="G37"/>
  <c r="H37"/>
  <c r="D38"/>
  <c r="E38"/>
  <c r="F38"/>
  <c r="G38"/>
  <c r="H38"/>
  <c r="D39"/>
  <c r="E39"/>
  <c r="F39"/>
  <c r="G39"/>
  <c r="H39"/>
  <c r="D40"/>
  <c r="E40"/>
  <c r="F40"/>
  <c r="G40"/>
  <c r="H40"/>
  <c r="C35"/>
  <c r="C37"/>
  <c r="C38"/>
  <c r="C39"/>
  <c r="C40"/>
  <c r="B41"/>
  <c r="B37"/>
  <c r="B38"/>
  <c r="B39"/>
  <c r="B40"/>
  <c r="G51" i="2"/>
  <c r="G23"/>
  <c r="K83"/>
  <c r="G22"/>
  <c r="K82"/>
  <c r="K81"/>
  <c r="K80"/>
  <c r="I23" i="8"/>
  <c r="I32"/>
  <c r="I33"/>
  <c r="I34"/>
  <c r="I35"/>
  <c r="I29"/>
  <c r="I28"/>
  <c r="I27"/>
  <c r="I22"/>
  <c r="I21"/>
  <c r="I11" s="1"/>
  <c r="I20"/>
  <c r="I16"/>
  <c r="I15"/>
  <c r="F54"/>
  <c r="F55"/>
  <c r="F56"/>
  <c r="F57"/>
  <c r="F58"/>
  <c r="F59"/>
  <c r="F60"/>
  <c r="F61"/>
  <c r="F62"/>
  <c r="F63"/>
  <c r="F64"/>
  <c r="F65"/>
  <c r="F53"/>
  <c r="C33"/>
  <c r="J17" i="3" l="1"/>
  <c r="Q16"/>
  <c r="F66" i="8"/>
  <c r="I23" i="4"/>
  <c r="H52" i="1"/>
  <c r="H10" i="3"/>
  <c r="K10" s="1"/>
  <c r="K7"/>
  <c r="I11"/>
  <c r="J7"/>
  <c r="I9" i="8"/>
  <c r="I8"/>
  <c r="I5"/>
  <c r="J37"/>
  <c r="K37"/>
  <c r="K38"/>
  <c r="J40"/>
  <c r="J39"/>
  <c r="J38"/>
  <c r="K39"/>
  <c r="K36"/>
  <c r="D31" i="3"/>
  <c r="H16" i="8"/>
  <c r="H17"/>
  <c r="H18"/>
  <c r="H19"/>
  <c r="H20"/>
  <c r="H21"/>
  <c r="H11" s="1"/>
  <c r="K11" s="1"/>
  <c r="H22"/>
  <c r="H23"/>
  <c r="H24"/>
  <c r="H25"/>
  <c r="H26"/>
  <c r="H10" s="1"/>
  <c r="H28"/>
  <c r="H29"/>
  <c r="H30"/>
  <c r="H31"/>
  <c r="H32"/>
  <c r="H33"/>
  <c r="H34"/>
  <c r="H35"/>
  <c r="H49" i="2"/>
  <c r="I22" i="10"/>
  <c r="G50" i="2"/>
  <c r="I51" i="10" s="1"/>
  <c r="G18" i="8"/>
  <c r="G19"/>
  <c r="G16"/>
  <c r="E29"/>
  <c r="F29"/>
  <c r="G29"/>
  <c r="E30"/>
  <c r="F30"/>
  <c r="G30"/>
  <c r="E31"/>
  <c r="F31"/>
  <c r="G31"/>
  <c r="E32"/>
  <c r="F32"/>
  <c r="G32"/>
  <c r="E33"/>
  <c r="F33"/>
  <c r="G33"/>
  <c r="E34"/>
  <c r="F34"/>
  <c r="G34"/>
  <c r="E35"/>
  <c r="F35"/>
  <c r="G35"/>
  <c r="C34"/>
  <c r="D34"/>
  <c r="D35"/>
  <c r="B32"/>
  <c r="B33"/>
  <c r="B34"/>
  <c r="B35"/>
  <c r="D29"/>
  <c r="D30"/>
  <c r="D31"/>
  <c r="D32"/>
  <c r="D33"/>
  <c r="C29"/>
  <c r="C30"/>
  <c r="C31"/>
  <c r="C32"/>
  <c r="B29"/>
  <c r="B30"/>
  <c r="B31"/>
  <c r="G26" i="2"/>
  <c r="G19"/>
  <c r="K75"/>
  <c r="K76"/>
  <c r="K77"/>
  <c r="K78"/>
  <c r="J70"/>
  <c r="I56" s="1"/>
  <c r="G24"/>
  <c r="G34" i="7"/>
  <c r="K74" i="2"/>
  <c r="I46" i="10"/>
  <c r="K46"/>
  <c r="I47"/>
  <c r="K47"/>
  <c r="I48"/>
  <c r="K48"/>
  <c r="I49"/>
  <c r="K49"/>
  <c r="K50"/>
  <c r="K51"/>
  <c r="K52"/>
  <c r="I53"/>
  <c r="K53"/>
  <c r="I54"/>
  <c r="K54"/>
  <c r="M54"/>
  <c r="H50"/>
  <c r="H51"/>
  <c r="H52"/>
  <c r="H53"/>
  <c r="H54"/>
  <c r="E54"/>
  <c r="E52"/>
  <c r="E53"/>
  <c r="E47"/>
  <c r="E48"/>
  <c r="E49"/>
  <c r="E50"/>
  <c r="E51"/>
  <c r="H43"/>
  <c r="H42"/>
  <c r="H40"/>
  <c r="H39"/>
  <c r="H37"/>
  <c r="H36"/>
  <c r="E43"/>
  <c r="E44"/>
  <c r="E42"/>
  <c r="E41"/>
  <c r="E40"/>
  <c r="E39"/>
  <c r="E38"/>
  <c r="E37"/>
  <c r="E36"/>
  <c r="M34"/>
  <c r="K19"/>
  <c r="K20"/>
  <c r="K21"/>
  <c r="K22"/>
  <c r="K23"/>
  <c r="K24"/>
  <c r="K25"/>
  <c r="K26"/>
  <c r="K27"/>
  <c r="K28"/>
  <c r="K29"/>
  <c r="K30"/>
  <c r="K31"/>
  <c r="K32"/>
  <c r="K33"/>
  <c r="K34"/>
  <c r="I18"/>
  <c r="I20"/>
  <c r="I21"/>
  <c r="I24"/>
  <c r="I25"/>
  <c r="I27"/>
  <c r="I28"/>
  <c r="I29"/>
  <c r="I30"/>
  <c r="I31"/>
  <c r="I32"/>
  <c r="I33"/>
  <c r="I34"/>
  <c r="H19"/>
  <c r="H20"/>
  <c r="H21"/>
  <c r="H22"/>
  <c r="H23"/>
  <c r="H24"/>
  <c r="H25"/>
  <c r="H26"/>
  <c r="H27"/>
  <c r="H28"/>
  <c r="H29"/>
  <c r="H30"/>
  <c r="H31"/>
  <c r="H32"/>
  <c r="H33"/>
  <c r="H34"/>
  <c r="E19"/>
  <c r="E20"/>
  <c r="E21"/>
  <c r="E22"/>
  <c r="E23"/>
  <c r="E24"/>
  <c r="E25"/>
  <c r="E26"/>
  <c r="E27"/>
  <c r="E28"/>
  <c r="E29"/>
  <c r="E30"/>
  <c r="E31"/>
  <c r="E32"/>
  <c r="E33"/>
  <c r="E34"/>
  <c r="E18"/>
  <c r="N73"/>
  <c r="I73"/>
  <c r="H73"/>
  <c r="N72"/>
  <c r="I72"/>
  <c r="H72"/>
  <c r="N70"/>
  <c r="K70"/>
  <c r="I70"/>
  <c r="H70"/>
  <c r="N69"/>
  <c r="I69"/>
  <c r="H69"/>
  <c r="N67"/>
  <c r="K67"/>
  <c r="I67"/>
  <c r="H67"/>
  <c r="N66"/>
  <c r="K66"/>
  <c r="I66"/>
  <c r="H66"/>
  <c r="K64"/>
  <c r="I64"/>
  <c r="H64"/>
  <c r="I63"/>
  <c r="H63"/>
  <c r="I62"/>
  <c r="H62"/>
  <c r="K60"/>
  <c r="I60"/>
  <c r="H60"/>
  <c r="I59"/>
  <c r="H59"/>
  <c r="K57"/>
  <c r="I57"/>
  <c r="H57"/>
  <c r="I56"/>
  <c r="H56"/>
  <c r="H49"/>
  <c r="H48"/>
  <c r="H47"/>
  <c r="H46"/>
  <c r="E46"/>
  <c r="K43"/>
  <c r="I43"/>
  <c r="M42"/>
  <c r="L42"/>
  <c r="K42"/>
  <c r="J42"/>
  <c r="I42"/>
  <c r="M39"/>
  <c r="K39"/>
  <c r="I39"/>
  <c r="K37"/>
  <c r="I37"/>
  <c r="K36"/>
  <c r="I36"/>
  <c r="M29"/>
  <c r="M22"/>
  <c r="M19"/>
  <c r="K18"/>
  <c r="H18"/>
  <c r="E16"/>
  <c r="K15"/>
  <c r="I15"/>
  <c r="H15"/>
  <c r="E15"/>
  <c r="K14"/>
  <c r="H14"/>
  <c r="E14"/>
  <c r="E13"/>
  <c r="K12"/>
  <c r="I12"/>
  <c r="E12"/>
  <c r="K11"/>
  <c r="I11"/>
  <c r="E11"/>
  <c r="E10"/>
  <c r="K9"/>
  <c r="I9"/>
  <c r="E9"/>
  <c r="K8"/>
  <c r="I8"/>
  <c r="E7"/>
  <c r="K6"/>
  <c r="I6"/>
  <c r="E6"/>
  <c r="K5"/>
  <c r="I5"/>
  <c r="E5"/>
  <c r="M3"/>
  <c r="K3"/>
  <c r="I3"/>
  <c r="M2"/>
  <c r="K2"/>
  <c r="I2"/>
  <c r="E2"/>
  <c r="H71" l="1"/>
  <c r="H23" i="4"/>
  <c r="J23" s="1"/>
  <c r="I12" i="3"/>
  <c r="H17" i="1"/>
  <c r="H37"/>
  <c r="J11" i="8"/>
  <c r="F52" i="1"/>
  <c r="G52" s="1"/>
  <c r="J10" i="8"/>
  <c r="K10"/>
  <c r="H5"/>
  <c r="F17" i="1" s="1"/>
  <c r="J10" i="3"/>
  <c r="K11"/>
  <c r="J11"/>
  <c r="H9" i="8"/>
  <c r="J9" s="1"/>
  <c r="H68" i="10"/>
  <c r="I71"/>
  <c r="J30" i="8"/>
  <c r="K26"/>
  <c r="K16" i="10"/>
  <c r="I26"/>
  <c r="H58"/>
  <c r="H65"/>
  <c r="I68"/>
  <c r="I65"/>
  <c r="K68"/>
  <c r="I12" i="8"/>
  <c r="J35"/>
  <c r="K35"/>
  <c r="J31"/>
  <c r="K31"/>
  <c r="J33"/>
  <c r="K33"/>
  <c r="J29"/>
  <c r="K29"/>
  <c r="K34"/>
  <c r="J34"/>
  <c r="J32"/>
  <c r="K32"/>
  <c r="H27"/>
  <c r="I23" i="10"/>
  <c r="H38"/>
  <c r="K38"/>
  <c r="K55"/>
  <c r="M55" s="1"/>
  <c r="I38"/>
  <c r="H55"/>
  <c r="K4"/>
  <c r="I10"/>
  <c r="K13"/>
  <c r="H44"/>
  <c r="I58"/>
  <c r="H61"/>
  <c r="I61"/>
  <c r="M4"/>
  <c r="K10"/>
  <c r="I44"/>
  <c r="I4"/>
  <c r="K7"/>
  <c r="I13"/>
  <c r="K44"/>
  <c r="I7"/>
  <c r="H16"/>
  <c r="K23" i="4" l="1"/>
  <c r="G17" i="1"/>
  <c r="J52"/>
  <c r="I52"/>
  <c r="G12" i="3"/>
  <c r="H12" s="1"/>
  <c r="K9" i="8"/>
  <c r="J6"/>
  <c r="K5"/>
  <c r="J5"/>
  <c r="H29" i="2"/>
  <c r="J29" i="10" s="1"/>
  <c r="H28" i="2"/>
  <c r="J28" i="10" s="1"/>
  <c r="H27" i="2"/>
  <c r="J27" i="10" s="1"/>
  <c r="H26" i="2"/>
  <c r="J26" i="10" s="1"/>
  <c r="H25" i="2"/>
  <c r="J25" i="10" s="1"/>
  <c r="L20" i="9"/>
  <c r="M20"/>
  <c r="M19"/>
  <c r="K20"/>
  <c r="M4"/>
  <c r="M5"/>
  <c r="M6"/>
  <c r="M7"/>
  <c r="M8"/>
  <c r="M9"/>
  <c r="M10"/>
  <c r="M11"/>
  <c r="M12"/>
  <c r="M13"/>
  <c r="M14"/>
  <c r="M15"/>
  <c r="M16"/>
  <c r="M17"/>
  <c r="M18"/>
  <c r="M3"/>
  <c r="L17"/>
  <c r="L8"/>
  <c r="L19"/>
  <c r="L14"/>
  <c r="E11"/>
  <c r="F11"/>
  <c r="D11"/>
  <c r="E62"/>
  <c r="D62"/>
  <c r="L13"/>
  <c r="J19"/>
  <c r="L18"/>
  <c r="J18"/>
  <c r="J17"/>
  <c r="L16"/>
  <c r="J16"/>
  <c r="L15"/>
  <c r="J15"/>
  <c r="J14"/>
  <c r="L12"/>
  <c r="L9"/>
  <c r="L11"/>
  <c r="K63" i="10"/>
  <c r="K65" s="1"/>
  <c r="J17" i="1" l="1"/>
  <c r="I17"/>
  <c r="J12" i="3"/>
  <c r="K12"/>
  <c r="K25" i="2"/>
  <c r="K28"/>
  <c r="J27"/>
  <c r="L27" i="10" s="1"/>
  <c r="J29" i="2"/>
  <c r="L29" i="10" s="1"/>
  <c r="J25" i="2"/>
  <c r="L25" i="10" s="1"/>
  <c r="J26" i="2"/>
  <c r="L26" i="10" s="1"/>
  <c r="K26" i="2"/>
  <c r="J28"/>
  <c r="L28" i="10" s="1"/>
  <c r="K27" i="2"/>
  <c r="D33" i="4"/>
  <c r="G22"/>
  <c r="H22" s="1"/>
  <c r="K56" i="10"/>
  <c r="K58" s="1"/>
  <c r="K59" l="1"/>
  <c r="K61" s="1"/>
  <c r="M26"/>
  <c r="M28"/>
  <c r="M27"/>
  <c r="M25"/>
  <c r="K16" i="8"/>
  <c r="J20"/>
  <c r="K21"/>
  <c r="K22"/>
  <c r="K23"/>
  <c r="J25"/>
  <c r="K27"/>
  <c r="J28"/>
  <c r="G17"/>
  <c r="G20"/>
  <c r="G21"/>
  <c r="G22"/>
  <c r="G23"/>
  <c r="G24"/>
  <c r="G25"/>
  <c r="G26"/>
  <c r="G27"/>
  <c r="G28"/>
  <c r="F16"/>
  <c r="F17"/>
  <c r="F18"/>
  <c r="F19"/>
  <c r="F20"/>
  <c r="F21"/>
  <c r="F22"/>
  <c r="F23"/>
  <c r="F24"/>
  <c r="F25"/>
  <c r="F26"/>
  <c r="F27"/>
  <c r="F28"/>
  <c r="E16"/>
  <c r="E17"/>
  <c r="E18"/>
  <c r="E19"/>
  <c r="E20"/>
  <c r="E21"/>
  <c r="E22"/>
  <c r="E23"/>
  <c r="E24"/>
  <c r="E25"/>
  <c r="E26"/>
  <c r="E27"/>
  <c r="E28"/>
  <c r="D16"/>
  <c r="D17"/>
  <c r="D18"/>
  <c r="D19"/>
  <c r="D20"/>
  <c r="D21"/>
  <c r="D22"/>
  <c r="D23"/>
  <c r="D24"/>
  <c r="D25"/>
  <c r="D26"/>
  <c r="D27"/>
  <c r="D28"/>
  <c r="C16"/>
  <c r="C17"/>
  <c r="C18"/>
  <c r="C19"/>
  <c r="C20"/>
  <c r="C21"/>
  <c r="C22"/>
  <c r="C23"/>
  <c r="C24"/>
  <c r="C25"/>
  <c r="C26"/>
  <c r="C27"/>
  <c r="C28"/>
  <c r="B16"/>
  <c r="B17"/>
  <c r="B18"/>
  <c r="B19"/>
  <c r="B20"/>
  <c r="B21"/>
  <c r="B22"/>
  <c r="B23"/>
  <c r="B24"/>
  <c r="B25"/>
  <c r="B26"/>
  <c r="B27"/>
  <c r="B28"/>
  <c r="H15"/>
  <c r="H8" s="1"/>
  <c r="K35" i="1"/>
  <c r="G40" i="7"/>
  <c r="B14" i="8"/>
  <c r="C14"/>
  <c r="D14"/>
  <c r="E14"/>
  <c r="F14"/>
  <c r="G14"/>
  <c r="H14"/>
  <c r="B15"/>
  <c r="C15"/>
  <c r="D15"/>
  <c r="E15"/>
  <c r="F15"/>
  <c r="G15"/>
  <c r="I20" i="4"/>
  <c r="I22" s="1"/>
  <c r="K72" i="10"/>
  <c r="I9" i="4"/>
  <c r="G14" i="2"/>
  <c r="G16" s="1"/>
  <c r="F23" i="1" s="1"/>
  <c r="K72" i="2"/>
  <c r="K70"/>
  <c r="K69"/>
  <c r="K68"/>
  <c r="K67"/>
  <c r="K71"/>
  <c r="K60"/>
  <c r="K61"/>
  <c r="K59"/>
  <c r="K64"/>
  <c r="K65"/>
  <c r="K63"/>
  <c r="K66"/>
  <c r="K22" i="4" l="1"/>
  <c r="J22"/>
  <c r="F37" i="1"/>
  <c r="G37" s="1"/>
  <c r="J37" s="1"/>
  <c r="K15" i="8"/>
  <c r="H12"/>
  <c r="I52" i="10"/>
  <c r="G54" i="2"/>
  <c r="J15" i="8"/>
  <c r="K69" i="10"/>
  <c r="K71" s="1"/>
  <c r="I21" i="4"/>
  <c r="K73" i="10"/>
  <c r="K62"/>
  <c r="I14"/>
  <c r="I16" s="1"/>
  <c r="I17" s="1"/>
  <c r="J17" s="1"/>
  <c r="J26" i="8"/>
  <c r="K25"/>
  <c r="J16"/>
  <c r="J21"/>
  <c r="K20"/>
  <c r="K28"/>
  <c r="J27"/>
  <c r="J22"/>
  <c r="J17"/>
  <c r="J23"/>
  <c r="J18"/>
  <c r="C3" i="4"/>
  <c r="I37" i="1" l="1"/>
  <c r="J12" i="8"/>
  <c r="K12"/>
  <c r="J8"/>
  <c r="K8"/>
  <c r="O60" i="10"/>
  <c r="O64"/>
  <c r="O63"/>
  <c r="O62"/>
  <c r="O61"/>
  <c r="O59"/>
  <c r="O57"/>
  <c r="O65"/>
  <c r="O58"/>
  <c r="O56"/>
  <c r="O73"/>
  <c r="O72"/>
  <c r="O71"/>
  <c r="O67"/>
  <c r="O66"/>
  <c r="O69"/>
  <c r="O68"/>
  <c r="O70"/>
  <c r="C3" i="2"/>
  <c r="O51" i="10" l="1"/>
  <c r="O31"/>
  <c r="O33"/>
  <c r="O53"/>
  <c r="O52"/>
  <c r="O30"/>
  <c r="O32"/>
  <c r="O34"/>
  <c r="O54"/>
  <c r="O55"/>
  <c r="O44"/>
  <c r="O40"/>
  <c r="O39"/>
  <c r="O38"/>
  <c r="O29"/>
  <c r="O28"/>
  <c r="O27"/>
  <c r="O26"/>
  <c r="O25"/>
  <c r="O24"/>
  <c r="O23"/>
  <c r="O22"/>
  <c r="O21"/>
  <c r="O20"/>
  <c r="O19"/>
  <c r="O18"/>
  <c r="O17"/>
  <c r="O6"/>
  <c r="O5"/>
  <c r="O4"/>
  <c r="O13"/>
  <c r="O43"/>
  <c r="O42"/>
  <c r="O41"/>
  <c r="O36"/>
  <c r="O35"/>
  <c r="O7"/>
  <c r="O3"/>
  <c r="O16"/>
  <c r="O12"/>
  <c r="O11"/>
  <c r="O10"/>
  <c r="O2"/>
  <c r="O49"/>
  <c r="O48"/>
  <c r="O47"/>
  <c r="O46"/>
  <c r="O50"/>
  <c r="O45"/>
  <c r="O15"/>
  <c r="O14"/>
  <c r="O9"/>
  <c r="O8"/>
  <c r="O37"/>
  <c r="I19"/>
  <c r="E35" i="1" l="1"/>
  <c r="E15"/>
  <c r="E14"/>
  <c r="E13" l="1"/>
  <c r="P20" i="4"/>
  <c r="N20"/>
  <c r="P18"/>
  <c r="N18"/>
  <c r="H51" i="1" l="1"/>
  <c r="I19" i="4"/>
  <c r="H50" i="1" s="1"/>
  <c r="I11" i="4"/>
  <c r="H20" i="1" s="1"/>
  <c r="I8" i="4"/>
  <c r="G21"/>
  <c r="F51" i="1" s="1"/>
  <c r="G19" i="4"/>
  <c r="F50" i="1" s="1"/>
  <c r="G11" i="4"/>
  <c r="F20" i="1" s="1"/>
  <c r="G8" i="4"/>
  <c r="G35" i="1"/>
  <c r="G12" i="4" l="1"/>
  <c r="H12" s="1"/>
  <c r="F19" i="1"/>
  <c r="F18" s="1"/>
  <c r="H19"/>
  <c r="H18" s="1"/>
  <c r="I12" i="4"/>
  <c r="F49" i="1"/>
  <c r="F45" s="1"/>
  <c r="H49"/>
  <c r="H35"/>
  <c r="F35"/>
  <c r="F9" i="2"/>
  <c r="F8"/>
  <c r="F13"/>
  <c r="F12"/>
  <c r="F11"/>
  <c r="F10"/>
  <c r="Q10"/>
  <c r="S10"/>
  <c r="F7"/>
  <c r="F6"/>
  <c r="Q12"/>
  <c r="S12"/>
  <c r="J12" i="4" l="1"/>
  <c r="K12"/>
  <c r="H45" i="1"/>
  <c r="J35"/>
  <c r="G18"/>
  <c r="J18" s="1"/>
  <c r="H11" i="10"/>
  <c r="H3"/>
  <c r="H9"/>
  <c r="H6"/>
  <c r="H2"/>
  <c r="H8"/>
  <c r="H5"/>
  <c r="H12"/>
  <c r="P12" i="2"/>
  <c r="R12" s="1"/>
  <c r="T12" s="1"/>
  <c r="H10"/>
  <c r="F35"/>
  <c r="H35" i="10" s="1"/>
  <c r="P10" i="2"/>
  <c r="R10" s="1"/>
  <c r="T10" s="1"/>
  <c r="H12"/>
  <c r="H24" i="4"/>
  <c r="G53" i="1" s="1"/>
  <c r="H14" i="4"/>
  <c r="K14" s="1"/>
  <c r="M20"/>
  <c r="O20" s="1"/>
  <c r="Q20" s="1"/>
  <c r="H20"/>
  <c r="J73" i="10" s="1"/>
  <c r="M18" i="4"/>
  <c r="O18" s="1"/>
  <c r="H18"/>
  <c r="J72" i="10" s="1"/>
  <c r="P9" i="4"/>
  <c r="N9"/>
  <c r="M9"/>
  <c r="H9"/>
  <c r="P6"/>
  <c r="N6"/>
  <c r="M6"/>
  <c r="H6"/>
  <c r="J66" i="10" s="1"/>
  <c r="H36" i="1"/>
  <c r="H34" s="1"/>
  <c r="P8" i="3"/>
  <c r="H15" i="1" s="1"/>
  <c r="H13" s="1"/>
  <c r="N8" i="3"/>
  <c r="F15" i="1" s="1"/>
  <c r="M8" i="3"/>
  <c r="H8"/>
  <c r="N5"/>
  <c r="F14" i="1" s="1"/>
  <c r="M5" i="3"/>
  <c r="H5"/>
  <c r="J56" i="10" s="1"/>
  <c r="I54" i="2"/>
  <c r="F54"/>
  <c r="H53"/>
  <c r="J54" i="10" s="1"/>
  <c r="H52" i="2"/>
  <c r="J53" i="10" s="1"/>
  <c r="H51" i="2"/>
  <c r="J52" i="10" s="1"/>
  <c r="H50" i="2"/>
  <c r="J50" i="10"/>
  <c r="H48" i="2"/>
  <c r="J49" i="10" s="1"/>
  <c r="H47" i="2"/>
  <c r="J48" i="10" s="1"/>
  <c r="H46" i="2"/>
  <c r="J47" i="10" s="1"/>
  <c r="H45" i="2"/>
  <c r="J46" i="10" s="1"/>
  <c r="I43" i="2"/>
  <c r="G43"/>
  <c r="F43"/>
  <c r="S41"/>
  <c r="Q41"/>
  <c r="P41"/>
  <c r="H41"/>
  <c r="S39"/>
  <c r="Q39"/>
  <c r="P39"/>
  <c r="H39"/>
  <c r="K39" s="1"/>
  <c r="S37"/>
  <c r="Q37"/>
  <c r="P37"/>
  <c r="H37"/>
  <c r="I35"/>
  <c r="K35" i="10" s="1"/>
  <c r="H34" i="2"/>
  <c r="J34" i="10" s="1"/>
  <c r="H33" i="2"/>
  <c r="J33" i="10" s="1"/>
  <c r="H32" i="2"/>
  <c r="J32" i="10" s="1"/>
  <c r="H31" i="2"/>
  <c r="J31" i="10" s="1"/>
  <c r="H30" i="2"/>
  <c r="J30" i="10" s="1"/>
  <c r="H24" i="2"/>
  <c r="J24" i="10" s="1"/>
  <c r="H23" i="2"/>
  <c r="J23" i="10" s="1"/>
  <c r="H22" i="2"/>
  <c r="J22" i="10" s="1"/>
  <c r="H21" i="2"/>
  <c r="J21" i="10" s="1"/>
  <c r="H20" i="2"/>
  <c r="J20" i="10" s="1"/>
  <c r="H19" i="2"/>
  <c r="J19" i="10" s="1"/>
  <c r="H18" i="2"/>
  <c r="I16"/>
  <c r="F16"/>
  <c r="S14"/>
  <c r="Q14"/>
  <c r="P14"/>
  <c r="H14"/>
  <c r="S8"/>
  <c r="Q8"/>
  <c r="P8"/>
  <c r="H8"/>
  <c r="S6"/>
  <c r="Q6"/>
  <c r="P6"/>
  <c r="H6"/>
  <c r="I4" l="1"/>
  <c r="K17" i="10"/>
  <c r="F13" i="1"/>
  <c r="G13" s="1"/>
  <c r="H30"/>
  <c r="E9"/>
  <c r="E36"/>
  <c r="E34" s="1"/>
  <c r="F36"/>
  <c r="F34" s="1"/>
  <c r="I53"/>
  <c r="J53"/>
  <c r="I18"/>
  <c r="J62" i="10"/>
  <c r="O5" i="3"/>
  <c r="J5"/>
  <c r="K9" i="4"/>
  <c r="M69" i="10" s="1"/>
  <c r="J69"/>
  <c r="K24" i="4"/>
  <c r="J24"/>
  <c r="J63" i="10"/>
  <c r="J64"/>
  <c r="J59"/>
  <c r="K8" i="3"/>
  <c r="M59" i="10" s="1"/>
  <c r="G56" i="2"/>
  <c r="J56" s="1"/>
  <c r="I35" i="10"/>
  <c r="K50" i="2"/>
  <c r="M51" i="10" s="1"/>
  <c r="J51"/>
  <c r="J55" s="1"/>
  <c r="U12" i="2"/>
  <c r="H10" i="10"/>
  <c r="J37"/>
  <c r="J8"/>
  <c r="J2"/>
  <c r="J5"/>
  <c r="J14"/>
  <c r="J36"/>
  <c r="H39" i="1"/>
  <c r="K40" i="10"/>
  <c r="K41" s="1"/>
  <c r="K45" s="1"/>
  <c r="E39" i="1"/>
  <c r="H41" i="10"/>
  <c r="H45" s="1"/>
  <c r="J18"/>
  <c r="I40"/>
  <c r="I41" s="1"/>
  <c r="I45" s="1"/>
  <c r="J39"/>
  <c r="J11"/>
  <c r="H7"/>
  <c r="H4"/>
  <c r="H13"/>
  <c r="J43"/>
  <c r="J44" s="1"/>
  <c r="O6" i="4"/>
  <c r="Q6" s="1"/>
  <c r="H21"/>
  <c r="G51" i="1" s="1"/>
  <c r="J51" s="1"/>
  <c r="H23"/>
  <c r="H24"/>
  <c r="K5" i="3"/>
  <c r="M56" i="10" s="1"/>
  <c r="K37" i="2"/>
  <c r="O8" i="3"/>
  <c r="J8"/>
  <c r="J21" s="1"/>
  <c r="R37" i="2"/>
  <c r="U37" s="1"/>
  <c r="S43"/>
  <c r="K30"/>
  <c r="M30" i="10" s="1"/>
  <c r="J37" i="2"/>
  <c r="H38" s="1"/>
  <c r="J30"/>
  <c r="L30" i="10" s="1"/>
  <c r="J53" i="2"/>
  <c r="L54" i="10" s="1"/>
  <c r="K24" i="2"/>
  <c r="K48"/>
  <c r="M49" i="10" s="1"/>
  <c r="K52" i="2"/>
  <c r="M53" i="10" s="1"/>
  <c r="J34" i="2"/>
  <c r="L34" i="10" s="1"/>
  <c r="J47" i="2"/>
  <c r="L48" i="10" s="1"/>
  <c r="K10" i="2"/>
  <c r="J10"/>
  <c r="M33" i="10"/>
  <c r="K41" i="2"/>
  <c r="J46"/>
  <c r="L47" i="10" s="1"/>
  <c r="J6" i="2"/>
  <c r="K8"/>
  <c r="K14"/>
  <c r="K21"/>
  <c r="J39"/>
  <c r="K45"/>
  <c r="M46" i="10" s="1"/>
  <c r="K49" i="2"/>
  <c r="M50" i="10" s="1"/>
  <c r="R41" i="2"/>
  <c r="T41" s="1"/>
  <c r="H54"/>
  <c r="J54" s="1"/>
  <c r="P16"/>
  <c r="R8"/>
  <c r="U8" s="1"/>
  <c r="R14"/>
  <c r="U14" s="1"/>
  <c r="K18"/>
  <c r="J18"/>
  <c r="P43"/>
  <c r="U10"/>
  <c r="K20"/>
  <c r="R39"/>
  <c r="T39" s="1"/>
  <c r="H16"/>
  <c r="G23" i="1" s="1"/>
  <c r="J51" i="2"/>
  <c r="L52" i="10" s="1"/>
  <c r="K23" i="2"/>
  <c r="S16"/>
  <c r="J50"/>
  <c r="L51" i="10" s="1"/>
  <c r="J22" i="2"/>
  <c r="L22" i="10" s="1"/>
  <c r="K32" i="2"/>
  <c r="M32" i="10" s="1"/>
  <c r="F39" i="1"/>
  <c r="H35" i="2"/>
  <c r="J35" i="10" s="1"/>
  <c r="J31" i="2"/>
  <c r="L31" i="10" s="1"/>
  <c r="J19" i="2"/>
  <c r="L19" i="10" s="1"/>
  <c r="O9" i="4"/>
  <c r="Q9" s="1"/>
  <c r="J18"/>
  <c r="H19"/>
  <c r="G50" i="1" s="1"/>
  <c r="K18" i="4"/>
  <c r="M72" i="10" s="1"/>
  <c r="J6" i="4"/>
  <c r="L66" i="10" s="1"/>
  <c r="Q18" i="4"/>
  <c r="J20"/>
  <c r="L73" i="10" s="1"/>
  <c r="K6" i="4"/>
  <c r="M66" i="10" s="1"/>
  <c r="J9" i="4"/>
  <c r="L69" i="10" s="1"/>
  <c r="K20" i="4"/>
  <c r="M73" i="10" s="1"/>
  <c r="R20" i="4"/>
  <c r="R6" i="2"/>
  <c r="T6" s="1"/>
  <c r="K12"/>
  <c r="J12"/>
  <c r="K31"/>
  <c r="M31" i="10" s="1"/>
  <c r="R18" i="4"/>
  <c r="J14"/>
  <c r="Q16" i="2"/>
  <c r="J21"/>
  <c r="L21" i="10" s="1"/>
  <c r="J24" i="2"/>
  <c r="L24" i="10" s="1"/>
  <c r="J33" i="2"/>
  <c r="L33" i="10" s="1"/>
  <c r="K46" i="2"/>
  <c r="M47" i="10" s="1"/>
  <c r="J49" i="2"/>
  <c r="L50" i="10" s="1"/>
  <c r="J8" i="2"/>
  <c r="J14"/>
  <c r="J20"/>
  <c r="L20" i="10" s="1"/>
  <c r="J23" i="2"/>
  <c r="L23" i="10" s="1"/>
  <c r="J32" i="2"/>
  <c r="L32" i="10" s="1"/>
  <c r="J41" i="2"/>
  <c r="J45"/>
  <c r="L46" i="10" s="1"/>
  <c r="Q43" i="2"/>
  <c r="J48"/>
  <c r="L49" i="10" s="1"/>
  <c r="J52" i="2"/>
  <c r="L53" i="10" s="1"/>
  <c r="K47" i="2"/>
  <c r="M48" i="10" s="1"/>
  <c r="K51" i="2"/>
  <c r="M52" i="10" s="1"/>
  <c r="L17" l="1"/>
  <c r="M17"/>
  <c r="F9" i="1"/>
  <c r="G9" s="1"/>
  <c r="F30"/>
  <c r="E30"/>
  <c r="G34"/>
  <c r="I34" s="1"/>
  <c r="G36"/>
  <c r="J36" s="1"/>
  <c r="F40"/>
  <c r="L72" i="10"/>
  <c r="I22" i="1"/>
  <c r="J50"/>
  <c r="G49"/>
  <c r="H9"/>
  <c r="Q8" i="3"/>
  <c r="I15" i="1" s="1"/>
  <c r="G15"/>
  <c r="J15" s="1"/>
  <c r="R5" i="3"/>
  <c r="G14" i="1"/>
  <c r="J14" s="1"/>
  <c r="M62" i="10"/>
  <c r="I35" i="1"/>
  <c r="M63" i="10"/>
  <c r="M64"/>
  <c r="L64"/>
  <c r="L63"/>
  <c r="L56"/>
  <c r="H6" i="3"/>
  <c r="J57" i="10" s="1"/>
  <c r="J58" s="1"/>
  <c r="M58" s="1"/>
  <c r="Q5" i="3"/>
  <c r="I14" i="1" s="1"/>
  <c r="J65" i="10"/>
  <c r="M65" s="1"/>
  <c r="L59"/>
  <c r="H9" i="3"/>
  <c r="K9" s="1"/>
  <c r="L55" i="10"/>
  <c r="L62"/>
  <c r="H17"/>
  <c r="M5"/>
  <c r="M36"/>
  <c r="L36"/>
  <c r="L5"/>
  <c r="M11"/>
  <c r="M21"/>
  <c r="M8"/>
  <c r="M43"/>
  <c r="M44" s="1"/>
  <c r="L18"/>
  <c r="M37"/>
  <c r="M24"/>
  <c r="M14"/>
  <c r="L43"/>
  <c r="L44" s="1"/>
  <c r="L14"/>
  <c r="L37"/>
  <c r="L11"/>
  <c r="K35" i="2"/>
  <c r="M35" i="10" s="1"/>
  <c r="J40"/>
  <c r="J41" s="1"/>
  <c r="M23"/>
  <c r="M20"/>
  <c r="M18"/>
  <c r="L2"/>
  <c r="L8"/>
  <c r="L39"/>
  <c r="J38"/>
  <c r="I36" i="1"/>
  <c r="R9" i="4"/>
  <c r="R6"/>
  <c r="J38" i="2"/>
  <c r="J23" i="1"/>
  <c r="R8" i="3"/>
  <c r="T14" i="2"/>
  <c r="K54"/>
  <c r="T37"/>
  <c r="R16"/>
  <c r="U16" s="1"/>
  <c r="U39"/>
  <c r="K38"/>
  <c r="R43"/>
  <c r="U43" s="1"/>
  <c r="H42"/>
  <c r="U41"/>
  <c r="T8"/>
  <c r="H13"/>
  <c r="H40"/>
  <c r="H7"/>
  <c r="H11"/>
  <c r="J16"/>
  <c r="I23" i="1" s="1"/>
  <c r="K16" i="2"/>
  <c r="J19" i="4"/>
  <c r="I50" i="1" s="1"/>
  <c r="H15" i="2"/>
  <c r="H9"/>
  <c r="J21" i="4"/>
  <c r="I51" i="1" s="1"/>
  <c r="G39"/>
  <c r="J39" s="1"/>
  <c r="J35" i="2"/>
  <c r="L35" i="10" s="1"/>
  <c r="H7" i="4"/>
  <c r="J67" i="10" s="1"/>
  <c r="J68" s="1"/>
  <c r="H10" i="4"/>
  <c r="G30" i="1" l="1"/>
  <c r="I30" s="1"/>
  <c r="I13"/>
  <c r="J13"/>
  <c r="J34"/>
  <c r="I38"/>
  <c r="J16"/>
  <c r="G45"/>
  <c r="I49"/>
  <c r="I45" s="1"/>
  <c r="J49"/>
  <c r="J45" s="1"/>
  <c r="J9"/>
  <c r="J6" i="3"/>
  <c r="L57" i="10" s="1"/>
  <c r="L58" s="1"/>
  <c r="L65"/>
  <c r="K6" i="3"/>
  <c r="M57" i="10" s="1"/>
  <c r="J70"/>
  <c r="J71" s="1"/>
  <c r="J60"/>
  <c r="J61" s="1"/>
  <c r="M61" s="1"/>
  <c r="L38"/>
  <c r="I39" i="1"/>
  <c r="L40" i="10"/>
  <c r="L41" s="1"/>
  <c r="J15"/>
  <c r="J16" s="1"/>
  <c r="J45"/>
  <c r="M38"/>
  <c r="J9"/>
  <c r="J10" s="1"/>
  <c r="J12"/>
  <c r="J13" s="1"/>
  <c r="J6"/>
  <c r="J7" s="1"/>
  <c r="J3"/>
  <c r="J4" s="1"/>
  <c r="M40"/>
  <c r="M41" s="1"/>
  <c r="J9" i="3"/>
  <c r="M60" i="10"/>
  <c r="T16" i="2"/>
  <c r="T43"/>
  <c r="J13"/>
  <c r="J7"/>
  <c r="K40"/>
  <c r="J40"/>
  <c r="J11"/>
  <c r="K11"/>
  <c r="H43"/>
  <c r="K42"/>
  <c r="J42"/>
  <c r="K13"/>
  <c r="K15"/>
  <c r="J15"/>
  <c r="J9"/>
  <c r="K9"/>
  <c r="H11" i="4"/>
  <c r="G20" i="1" s="1"/>
  <c r="J20" s="1"/>
  <c r="K10" i="4"/>
  <c r="M70" i="10" s="1"/>
  <c r="M71" s="1"/>
  <c r="J10" i="4"/>
  <c r="K7"/>
  <c r="M67" i="10" s="1"/>
  <c r="M68" s="1"/>
  <c r="H8" i="4"/>
  <c r="G19" i="1" s="1"/>
  <c r="J19" s="1"/>
  <c r="J7" i="4"/>
  <c r="L67" i="10" s="1"/>
  <c r="L68" s="1"/>
  <c r="J30" i="1" l="1"/>
  <c r="L70" i="10"/>
  <c r="L71" s="1"/>
  <c r="L60"/>
  <c r="L61" s="1"/>
  <c r="L45"/>
  <c r="M6"/>
  <c r="M7" s="1"/>
  <c r="M9"/>
  <c r="M10" s="1"/>
  <c r="M15"/>
  <c r="M16" s="1"/>
  <c r="L15"/>
  <c r="L16" s="1"/>
  <c r="L6"/>
  <c r="L7" s="1"/>
  <c r="L9"/>
  <c r="L10" s="1"/>
  <c r="L12"/>
  <c r="L13" s="1"/>
  <c r="M12"/>
  <c r="M13" s="1"/>
  <c r="L3"/>
  <c r="L4" s="1"/>
  <c r="G24" i="1"/>
  <c r="J24" s="1"/>
  <c r="K43" i="2"/>
  <c r="J43"/>
  <c r="J8" i="4"/>
  <c r="I19" i="1" s="1"/>
  <c r="J11" i="4"/>
  <c r="I20" i="1" s="1"/>
  <c r="I24" l="1"/>
  <c r="I9" s="1"/>
</calcChain>
</file>

<file path=xl/comments1.xml><?xml version="1.0" encoding="utf-8"?>
<comments xmlns="http://schemas.openxmlformats.org/spreadsheetml/2006/main">
  <authors>
    <author>rgarcia</author>
  </authors>
  <commentList>
    <comment ref="F12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R.ex 2986/03-09-2017: asigna imprevistos para XV región</t>
        </r>
      </text>
    </comment>
    <comment ref="D30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D Ex 85-2019_modifica D Ex 533-2018_cuota global </t>
        </r>
      </text>
    </comment>
    <comment ref="E39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D Ex 85, modifica cuota III-IV de 20210 a 37941</t>
        </r>
      </text>
    </comment>
    <comment ref="D45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D Ex 138/09-08-2019_modifica D Ex 533-2018_cuota global_ redidtribuye cuota fauna acompañante entre artesanales III y IV</t>
        </r>
      </text>
    </comment>
    <comment ref="E50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Dto Ex N° 138 modifica D Ex 533-2018, redistribuye cuota de FA a regional III-IV de 438 a 100 t</t>
        </r>
      </text>
    </comment>
    <comment ref="E54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D Ex 85, modifica cuota III-IV de 20210 a 37941</t>
        </r>
      </text>
    </comment>
  </commentList>
</comments>
</file>

<file path=xl/comments2.xml><?xml version="1.0" encoding="utf-8"?>
<comments xmlns="http://schemas.openxmlformats.org/spreadsheetml/2006/main">
  <authors>
    <author>rgarcia</author>
    <author>ZULETA ESPINOZA, GERALDINE</author>
  </authors>
  <commentList>
    <comment ref="G7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3146 Cesion de 4252,264 ton de Arica Seafood Producer S.A. XV-II  a Grupo Emb XV-I region region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1199 Cesion de 943,815 ton de Ser Ind Lo Rojas Ltda XV-II  a Emb Valentina Rpa 967544-II region
R Ex 2443 Cesion de 3460,655 ton de Serv Ind Lo Rojas Ltda XV-II  a Emb Valentina Rpa 967544-II region</t>
        </r>
      </text>
    </comment>
    <comment ref="G14" authorId="0">
      <text>
        <r>
          <rPr>
            <b/>
            <sz val="9"/>
            <color indexed="81"/>
            <rFont val="Tahoma"/>
            <family val="2"/>
          </rPr>
          <t xml:space="preserve">rgarcia:
</t>
        </r>
        <r>
          <rPr>
            <sz val="9"/>
            <color indexed="81"/>
            <rFont val="Tahoma"/>
            <family val="2"/>
          </rPr>
          <t>R Ex 1636 Cesion de 12000 ton de Corpesca XV-II  a II region
R Ex 1637 Cesion de 15000 ton de Corpesca XV-II  a Grupo Emb II region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 xml:space="preserve">rgarcia:
</t>
        </r>
        <r>
          <rPr>
            <sz val="9"/>
            <color indexed="81"/>
            <rFont val="Tahoma"/>
            <family val="2"/>
          </rPr>
          <t>R Ex 2987 Cesion de 40000 ton de Corpesca XV-II  a Grupo Emb XV-I region</t>
        </r>
      </text>
    </comment>
    <comment ref="G18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1956 Cesion de 1100 ton de Alimar III-IV  a Grupo Emb IV region</t>
        </r>
      </text>
    </comment>
    <comment ref="G19" authorId="1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 Ex 242 Cesion de 6937,234 ton de Pesq. Bahia Caldera  a Grupo Emb II region
Cesion Ind-Art, cede 1500 ton en favor de armadores de la region de Coquimbo (res n° 944 del 18-03-2019)
---------------------------------------------------------------------------------------------------------
R Ex 2178 Cesion de -7402,3 ton de Pesq Bahia Caldera, 99.575.430-4  a Grupo Emb III region region</t>
        </r>
      </text>
    </comment>
    <comment ref="G22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trike/>
            <sz val="9"/>
            <color indexed="81"/>
            <rFont val="Tahoma"/>
            <family val="2"/>
          </rPr>
          <t>R Ex 1330 sin efecto 685 Cesion de 184,113 ton de Pesq Litoral III-IV  a Emb Fortuna V Rpa 955947-IV region</t>
        </r>
        <r>
          <rPr>
            <sz val="9"/>
            <color indexed="81"/>
            <rFont val="Tahoma"/>
            <family val="2"/>
          </rPr>
          <t xml:space="preserve">
R Ex 1461 Cesion de 184,113 ton de Pesq Litoral III-IV  a Emb Sandy III Rpa 966665-III region
R Ex 2276 Cesion de 173,011 ton de Pesq Litoral III-IV  a Emb SANDY III Rpa 967785-III region</t>
        </r>
      </text>
    </comment>
    <comment ref="G23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885 Cesion de 8100 ton de Orizon II-IV  a Grupo Emb IV region
R Ex 2142 Cesion de 7400 ton de Orizon, 96.929.960-7  a Grupo Emb III region region
</t>
        </r>
      </text>
    </comment>
    <comment ref="G24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1550 Cesion de 51,352+370,146 ton de Camanchaca III-IV  a Emb Fortuna V_III y Maimaui_III region
</t>
        </r>
      </text>
    </comment>
    <comment ref="G26" authorId="1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651 Cesion de 404,104 ton de Soc Com Serv y Trasportes II-IV  a Grupo Emb IV region
R Ex 2169 Cesion de -354,714 ton de Soc Com de Serv y Trans Sta Ltda, 77.543.910-6  a Grupo Emb III region region</t>
        </r>
      </text>
    </comment>
    <comment ref="G30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2416 Cesion de 284,559 ton de ATILIO BARRERA  a Emb DON ATILIO Rpa 960355-III region</t>
        </r>
      </text>
    </comment>
    <comment ref="G32" authorId="1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2101 Cesion de 209,480 ton d a Grupo Emb III region
R Ex 23402 Cesion de 188,186 ton de ABASTECIMIENTO DEL PACIFICO S.A</t>
        </r>
      </text>
    </comment>
    <comment ref="G33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2274 Cesion de 151,764 ton de ERIC ARACENA REYNUABA III-IV  a Emb EL CID Rpa 950657-III region</t>
        </r>
      </text>
    </comment>
    <comment ref="G34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2275 Cesion de 151,764 ton de GIULLIANO REYNUABA SALAS III-IV  a Emb KALI Rpa 951110-III region</t>
        </r>
      </text>
    </comment>
    <comment ref="G46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2200 Cesion de 200 ton de Pesq. Bahia Caldera III-IV  a Grupo Emb III region region</t>
        </r>
      </text>
    </comment>
    <comment ref="G50" authorId="1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 Ex 826  rectifica 685 Cesion de -1,663 ton de Pesq Litoral III-IV  a Emb Fortuna V Rpa 955947-IV region
-------------------------------------------------------------------------------------
R Ex 1461 Cesion de 1,663 ton de Pesq Litoral III-IV  a Emb Sandy III Rpa 966665-III region</t>
        </r>
      </text>
    </comment>
    <comment ref="G51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885 Cesion de 100 ton de Orizon II-IV  a Grupo Emb IV region
R Ex 2310 Cesion de 100 ton de Orizon II-IV  a Grupo Emb IV region region</t>
        </r>
      </text>
    </comment>
  </commentList>
</comments>
</file>

<file path=xl/comments3.xml><?xml version="1.0" encoding="utf-8"?>
<comments xmlns="http://schemas.openxmlformats.org/spreadsheetml/2006/main">
  <authors>
    <author>rgarcia</author>
    <author>fvejar</author>
  </authors>
  <commentList>
    <comment ref="F5" authorId="0">
      <text>
        <r>
          <rPr>
            <b/>
            <sz val="9"/>
            <color indexed="81"/>
            <rFont val="Tahoma"/>
            <family val="2"/>
          </rPr>
          <t>rgacia:
D EX N° 4365-18</t>
        </r>
      </text>
    </comment>
    <comment ref="L5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14-08-2019_R Ex 3688_Cierre año
01-10-2019_R Ex 317 Apertura Año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rgarcia:
R.ex 2986/03-09-2017: asigna imprevistos para XV región</t>
        </r>
      </text>
    </comment>
    <comment ref="F8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1711 / 07-05-19 Modifica Res. Ex. N° 4365 adelanta cuota Anchoveta 7631 ton al 1° periodo</t>
        </r>
      </text>
    </comment>
    <comment ref="L8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22-07-2019_R Ex 431_Cierre año</t>
        </r>
      </text>
    </comment>
    <comment ref="L9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22-07-2019_R Ex 431_Cierre año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D Ex N° 4365</t>
        </r>
      </text>
    </comment>
    <comment ref="F16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N° 1814. Modifica R Ex 4526, por aumento de cuota (D Ex 85-2019) de 13797 a 26209 toneladas</t>
        </r>
      </text>
    </comment>
    <comment ref="L16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05-02-2019_Cierre R Ex 81
16-05-2019_ Apertura R Ex 413 </t>
        </r>
      </text>
    </comment>
    <comment ref="F18" authorId="1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Modifica Rex. EX
 1827
</t>
        </r>
      </text>
    </comment>
    <comment ref="F19" authorId="1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Modifica R.Ex. 1827</t>
        </r>
      </text>
    </comment>
  </commentList>
</comments>
</file>

<file path=xl/comments4.xml><?xml version="1.0" encoding="utf-8"?>
<comments xmlns="http://schemas.openxmlformats.org/spreadsheetml/2006/main">
  <authors>
    <author>rgarcia</author>
  </authors>
  <commentList>
    <comment ref="F6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D EX N° 4365-18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D EX N° 4365-18</t>
        </r>
      </text>
    </comment>
    <comment ref="F18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Dto Ex N° 138 / 09-08-2019_ modifica D Ex 533-2018, redistribuye cuota de FA a regional III-IV de 218 a 387,5 t</t>
        </r>
      </text>
    </comment>
    <comment ref="L18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26-07-2019- CIERRE DE CUOTA (598).
30-08-2019 _ APERTURA DE CUOTA (695)
</t>
        </r>
      </text>
    </comment>
    <comment ref="F20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rgarcia:
Dto Ex N° 138 modifica D Ex 533-2018, redistribuye cuota de FA a regional III-IV de 218 a 387,5 t</t>
        </r>
      </text>
    </comment>
    <comment ref="F24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Dto Ex N° 138 modifica D Ex 533-2018, redistribuye cuota de FA a regional III-IV de 438 a 100 t</t>
        </r>
      </text>
    </comment>
  </commentList>
</comments>
</file>

<file path=xl/sharedStrings.xml><?xml version="1.0" encoding="utf-8"?>
<sst xmlns="http://schemas.openxmlformats.org/spreadsheetml/2006/main" count="1243" uniqueCount="311">
  <si>
    <t xml:space="preserve">Unidad de pesquería </t>
  </si>
  <si>
    <t>Titular de cuota LTP</t>
  </si>
  <si>
    <t>Periodo</t>
  </si>
  <si>
    <t>Cuota Asignada por R. Ex N°</t>
  </si>
  <si>
    <t>Traspaso, Cesión, Arriendo, etc.)</t>
  </si>
  <si>
    <t>Cuota Efectiva</t>
  </si>
  <si>
    <t>Captura (t)</t>
  </si>
  <si>
    <t>Saldo (t)</t>
  </si>
  <si>
    <t>% consumido</t>
  </si>
  <si>
    <t>Cuota asignada (t)</t>
  </si>
  <si>
    <t>Anchoveta XV-II</t>
  </si>
  <si>
    <t>Ene-Jun.</t>
  </si>
  <si>
    <t>Jul-Dic</t>
  </si>
  <si>
    <t>Anchoveta III-IV</t>
  </si>
  <si>
    <t>Ene-Dic</t>
  </si>
  <si>
    <t>PESQUERA LITORAL SpA</t>
  </si>
  <si>
    <t>FOODCORP CHILE S.A.</t>
  </si>
  <si>
    <t xml:space="preserve">CARLOS SAEZ ALARCON </t>
  </si>
  <si>
    <t>Sardina Española XV-II</t>
  </si>
  <si>
    <t>Sardina Española III-IV</t>
  </si>
  <si>
    <t>BLUMAR S.A.</t>
  </si>
  <si>
    <t>CAMANCHACA S.A. CIA. PESQ.</t>
  </si>
  <si>
    <t>LITORAL SpA PESQ</t>
  </si>
  <si>
    <t>ORIZON S.A.</t>
  </si>
  <si>
    <t>CAMANCHACA PESCA SUR S.A.</t>
  </si>
  <si>
    <t>LANDES S.A. SOC.PESQ.</t>
  </si>
  <si>
    <t xml:space="preserve"> Asignatarios </t>
  </si>
  <si>
    <t>Movimientos</t>
  </si>
  <si>
    <t>Captura</t>
  </si>
  <si>
    <t>Saldo</t>
  </si>
  <si>
    <t>% Consumo</t>
  </si>
  <si>
    <t>Cierre</t>
  </si>
  <si>
    <t>Cuota</t>
  </si>
  <si>
    <t>XV- I Región Arica y Parinacota y R. de Tarapacá</t>
  </si>
  <si>
    <t>II Región de Antofagasta</t>
  </si>
  <si>
    <t>III Región de Atacama</t>
  </si>
  <si>
    <t>Cuota Regional III</t>
  </si>
  <si>
    <t xml:space="preserve">IV Región de Coquimbo </t>
  </si>
  <si>
    <t>CERCOPESCA, ROL 4276</t>
  </si>
  <si>
    <t xml:space="preserve"> BOLSON RESIDUAL</t>
  </si>
  <si>
    <t>Unidad Pesquería</t>
  </si>
  <si>
    <t>% Consumido</t>
  </si>
  <si>
    <t>Traspasos</t>
  </si>
  <si>
    <t>-</t>
  </si>
  <si>
    <t>Año</t>
  </si>
  <si>
    <t>IV Región de Coquimbo</t>
  </si>
  <si>
    <t>Cuota Regional IV</t>
  </si>
  <si>
    <t xml:space="preserve"> XV-II</t>
  </si>
  <si>
    <t>III-IV</t>
  </si>
  <si>
    <t>RPA</t>
  </si>
  <si>
    <t>XV-II</t>
  </si>
  <si>
    <t>Anchoveta</t>
  </si>
  <si>
    <t>XV-I</t>
  </si>
  <si>
    <t>II</t>
  </si>
  <si>
    <t>III</t>
  </si>
  <si>
    <t>IV</t>
  </si>
  <si>
    <t xml:space="preserve">ALIMENTOS MARINOS S.A.         </t>
  </si>
  <si>
    <t xml:space="preserve">BAHIA CALDERA S.A. PESQ.          </t>
  </si>
  <si>
    <t xml:space="preserve">BLUMAR S.A.                                              </t>
  </si>
  <si>
    <t xml:space="preserve">CAMANCHACA S.A. CIA. PESQ    </t>
  </si>
  <si>
    <t xml:space="preserve">ORIZON S.A                                                   </t>
  </si>
  <si>
    <t xml:space="preserve">CAMANCHACA PESCA SUR S.A.  </t>
  </si>
  <si>
    <t xml:space="preserve">LANDES S.A. SOC. PESQ.                           </t>
  </si>
  <si>
    <t xml:space="preserve">ARICA SEAFOOD PRODUCER S.A. </t>
  </si>
  <si>
    <t xml:space="preserve">CORPESCA S.A                                           </t>
  </si>
  <si>
    <t>PROCESOS MTECNOLOGICOS DEL BIO BIO SpA</t>
  </si>
  <si>
    <t>SERVICIOS INDUSTRIALES LO ROJAS LTDA</t>
  </si>
  <si>
    <t xml:space="preserve">ARICA SEAFOOD PRODUCER S.A.  </t>
  </si>
  <si>
    <t xml:space="preserve">CAMANCHACA S.A. CIA. PESQ      </t>
  </si>
  <si>
    <t xml:space="preserve">CORPESCA S.A.                             </t>
  </si>
  <si>
    <t xml:space="preserve">ALIMENTOS MARINOS S.A.          </t>
  </si>
  <si>
    <t>KALI</t>
  </si>
  <si>
    <t>SANDY III</t>
  </si>
  <si>
    <t>DON PANCRACIO</t>
  </si>
  <si>
    <t>RES N° 186 DEL 21-01-2019</t>
  </si>
  <si>
    <t>INSTITUTO DE FOMENTO PESQUERO</t>
  </si>
  <si>
    <t>REGIONES DE ARICA Y PARINACORA, TARAPACÁ Y ANTOFAGASTA, 2019</t>
  </si>
  <si>
    <t xml:space="preserve">EMBARCACION </t>
  </si>
  <si>
    <t>CUOTA</t>
  </si>
  <si>
    <t>CAPTURA</t>
  </si>
  <si>
    <t>VALENCIA</t>
  </si>
  <si>
    <t>GENESIS</t>
  </si>
  <si>
    <t>CHENCO</t>
  </si>
  <si>
    <t>REGIONES DE ATACAMA Y COQUIMBO, 2019</t>
  </si>
  <si>
    <t>B/C ABATE MOLINA</t>
  </si>
  <si>
    <t>RES N° 246 DEL 30-01-2019</t>
  </si>
  <si>
    <t>REGIONES ENTRE  ARICA Y PARINACORA Y COQUIMBO, 2019</t>
  </si>
  <si>
    <t>DELFIN 2000</t>
  </si>
  <si>
    <t>RES N° 125 DEL 15-01-2019/Modificado por Res N° 454 del 07-02-2019</t>
  </si>
  <si>
    <t>GAROTA III</t>
  </si>
  <si>
    <t>GAROTA</t>
  </si>
  <si>
    <t>Total Anchoveta XV-II</t>
  </si>
  <si>
    <t>CONTROL DE CUOTA ANCHOVETA Y SARDINA ESPAÑOLA XV-IV, AÑO 2019</t>
  </si>
  <si>
    <t xml:space="preserve"> Macrozonal (XV - I)</t>
  </si>
  <si>
    <t>RESUMEN CONTROL DE CUOTA PELAGICOS_XV-IV_2019</t>
  </si>
  <si>
    <t>Rótulos de fila</t>
  </si>
  <si>
    <t>Total general</t>
  </si>
  <si>
    <t xml:space="preserve"> Captura</t>
  </si>
  <si>
    <t>Res.242.cesión anchoveta III-IV, ind a art III región.</t>
  </si>
  <si>
    <t>Res.651.cesión anchoveta III-IV, ind a art III región.</t>
  </si>
  <si>
    <t>Res.885.cesión Anchoveta, ind-art IV región</t>
  </si>
  <si>
    <t>Consumo Pesca de Investigacion Autorizaciones 2019</t>
  </si>
  <si>
    <t>Res Ex</t>
  </si>
  <si>
    <t>Fecha</t>
  </si>
  <si>
    <t>Cantidad</t>
  </si>
  <si>
    <t>Descripcion</t>
  </si>
  <si>
    <t>Corpesca XV-II</t>
  </si>
  <si>
    <t>Grupo Emb IV</t>
  </si>
  <si>
    <t>Sardina Española</t>
  </si>
  <si>
    <t>Orizon II-IV</t>
  </si>
  <si>
    <t>Tp art_Cesion</t>
  </si>
  <si>
    <t>55T</t>
  </si>
  <si>
    <t>SOCIEDAD COMERCIAL DE SERVICIOS Y TRANSPORTES STA LIMITADA</t>
  </si>
  <si>
    <t>Soc Com Serv y Trasportes II-IV</t>
  </si>
  <si>
    <t>Pesq Litoral III-IV</t>
  </si>
  <si>
    <t>Emb Fortuna V Rpa 955947-IV</t>
  </si>
  <si>
    <t>Serv Ind Lo Rojas Ltda XV-II</t>
  </si>
  <si>
    <t>1330 sin efecto 685</t>
  </si>
  <si>
    <t>826  rectifica 685</t>
  </si>
  <si>
    <t>Camanchaca III-IV</t>
  </si>
  <si>
    <t>Emb Fortuna V_III y Maimaui_III</t>
  </si>
  <si>
    <t>Descuento (-)</t>
  </si>
  <si>
    <t>Abono (+)</t>
  </si>
  <si>
    <t>Consumo%</t>
  </si>
  <si>
    <t>Res.1637.cesión anchoveta XV-II, ind-art II región.</t>
  </si>
  <si>
    <t>Res.944.cesión anchoveta, ind a art IV región.</t>
  </si>
  <si>
    <t xml:space="preserve">RES N° 186 </t>
  </si>
  <si>
    <t>Autoriza al IFOP para realizar Pesca de Investigación que indica (Anchoveta)</t>
  </si>
  <si>
    <t>1718 rectifica 1550</t>
  </si>
  <si>
    <t>Res.1636.cesión anchoveta XV-II, ind-art II región.</t>
  </si>
  <si>
    <t>LTP Clase A, Anchoveta</t>
  </si>
  <si>
    <t>TITULAR LTP</t>
  </si>
  <si>
    <t>COEFICIENTE</t>
  </si>
  <si>
    <t>ENE-DIC</t>
  </si>
  <si>
    <t>TOTAL</t>
  </si>
  <si>
    <t>ALIMENTOS MARINOS S.A.</t>
  </si>
  <si>
    <t>BAHIA CALDERAS.A. PESQ.</t>
  </si>
  <si>
    <t>122, 57</t>
  </si>
  <si>
    <t>LITORAL SpA. PESQ.</t>
  </si>
  <si>
    <t>LANDES S.A. SOC. PESQ.</t>
  </si>
  <si>
    <t>LTP Clase B, Anchoveta</t>
  </si>
  <si>
    <t>Lote</t>
  </si>
  <si>
    <t>TITULAR LTP CLASE B</t>
  </si>
  <si>
    <t>Coef.de</t>
  </si>
  <si>
    <t>participacion</t>
  </si>
  <si>
    <t>SOC. COM. DE SERVICIOS Y TRANSPORTES STA LTOA.</t>
  </si>
  <si>
    <t>SOC. COM. DE SERVICIOS Y TRANSPORTES STALTOA.</t>
  </si>
  <si>
    <t>SOC. COM. DE SERVICIOS YTRANSPORTES STA LTOA.</t>
  </si>
  <si>
    <t>ALIMENTOS DEL SUR SPA.</t>
  </si>
  <si>
    <t>ATILIO REYES BARRERA</t>
  </si>
  <si>
    <t>PEDRO IRIGOYEN LTOA. INV</t>
  </si>
  <si>
    <t>ABASTECIMIENTO DEL PACIFICO S.A.</t>
  </si>
  <si>
    <t>ERIC ARACENA REYNUABA</t>
  </si>
  <si>
    <t>GIULLIANO REYNUABA SALAS</t>
  </si>
  <si>
    <t>FOODCORP CHILES.A.</t>
  </si>
  <si>
    <t>CARLOS SAEZ ALARCON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</si>
  <si>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</si>
  <si>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</si>
  <si>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</si>
  <si>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</si>
  <si>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</si>
  <si>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</si>
  <si>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</si>
  <si>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</si>
  <si>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</si>
  <si>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</si>
  <si>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desembarque</t>
  </si>
  <si>
    <t>saldo</t>
  </si>
  <si>
    <t>saldo_porcentaje</t>
  </si>
  <si>
    <t>cierre</t>
  </si>
  <si>
    <t>Preliminar</t>
  </si>
  <si>
    <t>ANCHOVETA XV-II</t>
  </si>
  <si>
    <t>ANCHOVETA</t>
  </si>
  <si>
    <t>ENERO</t>
  </si>
  <si>
    <t>JUNIO</t>
  </si>
  <si>
    <t>JULIO</t>
  </si>
  <si>
    <t>DICIEMBRE</t>
  </si>
  <si>
    <t xml:space="preserve">ENERO </t>
  </si>
  <si>
    <t>TOTAL ASIGNATARIO LTP</t>
  </si>
  <si>
    <t>ANCHOVETA III-IV</t>
  </si>
  <si>
    <t xml:space="preserve"> III-IV</t>
  </si>
  <si>
    <t>SARDINA ESPAÑOLA XVI-II</t>
  </si>
  <si>
    <t>SARDINA ESPAÑOLA</t>
  </si>
  <si>
    <t>SARDINA ESPAÑOLA III-IV</t>
  </si>
  <si>
    <t xml:space="preserve">MACROZONA </t>
  </si>
  <si>
    <t>ARTESANAL XV-I</t>
  </si>
  <si>
    <t xml:space="preserve"> II</t>
  </si>
  <si>
    <t>REGION</t>
  </si>
  <si>
    <t>ARTESANAL II</t>
  </si>
  <si>
    <t xml:space="preserve"> III</t>
  </si>
  <si>
    <t>ARTESANAL III</t>
  </si>
  <si>
    <t>ORGANIZACION</t>
  </si>
  <si>
    <t>COOPERATIVA DE ARMADORES CERQUEROS IV REFION ROL N° 4276</t>
  </si>
  <si>
    <t>BOLSON RESIDUAL</t>
  </si>
  <si>
    <t xml:space="preserve">TOTAL REGION </t>
  </si>
  <si>
    <t>TOTAL ASIGNATARIO REGION</t>
  </si>
  <si>
    <t xml:space="preserve">DICIEMBRE </t>
  </si>
  <si>
    <t>MACROZONA</t>
  </si>
  <si>
    <t>MACROZONA XV-I</t>
  </si>
  <si>
    <t>ARTESANAL IV</t>
  </si>
  <si>
    <t>Res.1550.cesión anchoveta III-IV, ind a art III región</t>
  </si>
  <si>
    <t>Alimar III-IV</t>
  </si>
  <si>
    <t>Descripcion Cesion</t>
  </si>
  <si>
    <t>Consumo</t>
  </si>
  <si>
    <t>Grupo Emb II region</t>
  </si>
  <si>
    <t>Grupo Emb III region</t>
  </si>
  <si>
    <t>Abastecimientos de Pacifico, 76.542.970-6</t>
  </si>
  <si>
    <t>Pesq. Bahia Caldera III-IV</t>
  </si>
  <si>
    <t>…</t>
  </si>
  <si>
    <t>Pesca Investigación</t>
  </si>
  <si>
    <t>RES EX. 246 pesca de investigación para anchoveta región de Atacama y Coquimbo</t>
  </si>
  <si>
    <t>Region de capturas PI</t>
  </si>
  <si>
    <t>Total</t>
  </si>
  <si>
    <t>Grupo Emb IV region</t>
  </si>
  <si>
    <t>Res.2178.cesión anchoveta III-IV, ind a art III región.</t>
  </si>
  <si>
    <t>Res.1199.cesión anchoveta, ind-art XV y I regiones.</t>
  </si>
  <si>
    <t>Res.2101.cesión anchoveta, ind-art III región</t>
  </si>
  <si>
    <t xml:space="preserve">Res.2142.cesión anchoveta, ind-art IV región.
</t>
  </si>
  <si>
    <t>Res.2169.cesión anchoveta III-IV, ind a art III región.</t>
  </si>
  <si>
    <t>Res.885.cesión sard esp.IV región. excepto RPA 965236, 966397, 964933, 960563, 958708, 923167</t>
  </si>
  <si>
    <t>CONTROL DE CUOTA ARTESANAL ANCHOVETA XV-IV REGIONES AÑO 2019</t>
  </si>
  <si>
    <t>CONTROL DE CUOTA ARTESANAL SARDINA ESPAÑOLA XV-IV REGIONES AÑO 2019</t>
  </si>
  <si>
    <t>1461 rectificada 2242</t>
  </si>
  <si>
    <t>Emb Don BAYRON Rpa 966665-III</t>
  </si>
  <si>
    <t>Emb EL CID Rpa 950657-III</t>
  </si>
  <si>
    <t>ERIC ARACENA REYNUABA III-IV</t>
  </si>
  <si>
    <t>GIULLIANO REYNUABA SALAS III-IV</t>
  </si>
  <si>
    <t>Emb KALI Rpa 951110-III</t>
  </si>
  <si>
    <t>Emb SANDY III Rpa 967785-III</t>
  </si>
  <si>
    <t>Emb DON ATILIO Rpa 960355-III</t>
  </si>
  <si>
    <t xml:space="preserve"> Jul-Dic</t>
  </si>
  <si>
    <t>Res 2200 Cesión Ind-Art de Sardina española  en favor de armadores III Reg</t>
  </si>
  <si>
    <t>Cuota Asignada</t>
  </si>
  <si>
    <t xml:space="preserve">Consumo </t>
  </si>
  <si>
    <t xml:space="preserve">Sardina Española -Anchoveta Regiones De Arica Y Parinacota, Tarapacá Y Antofagasta  </t>
  </si>
  <si>
    <t>Consumo Humano</t>
  </si>
  <si>
    <t xml:space="preserve">Imprevisto </t>
  </si>
  <si>
    <t xml:space="preserve">Investigación </t>
  </si>
  <si>
    <t>Industrial Anchoveta</t>
  </si>
  <si>
    <t>CUOTA GLOBAL ANCHOVETA Y SARDINA ESPAÑOLA REGIONES ARICA Y PARINACOTA, TARAPACA Y ANTOFAGASTA_2019</t>
  </si>
  <si>
    <t>Industrial Sardina Española</t>
  </si>
  <si>
    <t xml:space="preserve">Pesquería </t>
  </si>
  <si>
    <t>Fracción/Up</t>
  </si>
  <si>
    <t>Cesiones Artesanales</t>
  </si>
  <si>
    <t xml:space="preserve">CUOTA GLOBAL </t>
  </si>
  <si>
    <t>Anchoveta Regiones de Atacama y Coquimbo</t>
  </si>
  <si>
    <t>Sardina española Regiones de Atacama y Coquimbo</t>
  </si>
  <si>
    <t>CUOTA GLOBAL ANCHOVETA REGIONES ATACAMA A COQUIMBO_2019</t>
  </si>
  <si>
    <t>CUOTA GLOBAL SARDINA ESPAÑOLA REGIONES ATACAMA A COQUIMBO_2019</t>
  </si>
  <si>
    <t xml:space="preserve">Emb Fortuna V y Maimaui-III </t>
  </si>
  <si>
    <t>Grupo Emb III</t>
  </si>
  <si>
    <t>Especie-Up</t>
  </si>
  <si>
    <t>Anchoveta IV</t>
  </si>
  <si>
    <t xml:space="preserve">Anchoveta III </t>
  </si>
  <si>
    <t>Sardina Española III</t>
  </si>
  <si>
    <t>Anchoveta III</t>
  </si>
  <si>
    <t xml:space="preserve">Anchoveta IV </t>
  </si>
  <si>
    <t xml:space="preserve">Grupo Emb III </t>
  </si>
  <si>
    <t>Anchoveta II</t>
  </si>
  <si>
    <t>ABASTECIMIENTO DEL PACIFICO S.A. III-IV</t>
  </si>
  <si>
    <t>ATILIO BARRERA III-IV</t>
  </si>
  <si>
    <t>Orizon III-IV</t>
  </si>
  <si>
    <t>Sardina Española IV</t>
  </si>
  <si>
    <t>FAUNA ACOMPAÑANTE XV-II</t>
  </si>
  <si>
    <t>FAUNA ACOMPAÑANTE III-IV</t>
  </si>
  <si>
    <t xml:space="preserve">TOTAL OBJETIVO III-IV </t>
  </si>
  <si>
    <t xml:space="preserve">TOTAL OBJETIVO XV-II </t>
  </si>
  <si>
    <t>55 T</t>
  </si>
  <si>
    <t>56 T</t>
  </si>
  <si>
    <t>57 T</t>
  </si>
  <si>
    <t>58 T</t>
  </si>
  <si>
    <t>Especie/UP</t>
  </si>
  <si>
    <t>Region</t>
  </si>
  <si>
    <t>SARDINA ESPAÑOLA XV-II</t>
  </si>
  <si>
    <t>Regional II</t>
  </si>
  <si>
    <t>Macrozonal (XV - I)</t>
  </si>
  <si>
    <t>Cuota asignada</t>
  </si>
  <si>
    <t xml:space="preserve">Cuota asignada </t>
  </si>
  <si>
    <t>Regional  III</t>
  </si>
  <si>
    <t xml:space="preserve">TOTAL CESIONES XV-II </t>
  </si>
  <si>
    <t>Autorizaciones y Consumo Cesiones 55 T Sector Artesanal 2019</t>
  </si>
  <si>
    <t>XV</t>
  </si>
  <si>
    <t>TOTAL CESIONES III-IV</t>
  </si>
  <si>
    <t>Artesanal Objetivo XV-I</t>
  </si>
  <si>
    <t>Artesanal Objetivo II</t>
  </si>
  <si>
    <t>Fauña Acompañante</t>
  </si>
  <si>
    <t>Cesiones Artesanales XV-II</t>
  </si>
  <si>
    <t>Fauña Acompañante XV-II</t>
  </si>
  <si>
    <t>Fauna Acompañante III-IV</t>
  </si>
  <si>
    <t>Sardina española III</t>
  </si>
  <si>
    <t>Sardina española IV</t>
  </si>
  <si>
    <t xml:space="preserve">Fraccion Artesanal  Anchoveta </t>
  </si>
  <si>
    <t>Fraccion Artesanal  Sardina Espáñola</t>
  </si>
  <si>
    <t>Fraccion Industrial Anchoveta</t>
  </si>
  <si>
    <t>Fraccion Artesanal  Sardina española</t>
  </si>
  <si>
    <t>Fraccion Industrial Sardina Española</t>
  </si>
  <si>
    <t>Tp_cesion</t>
  </si>
  <si>
    <t>Industrial - Artesanal</t>
  </si>
  <si>
    <t>Emb Fortuna III Rpa 96009-IIII</t>
  </si>
  <si>
    <t xml:space="preserve">2522-Modifica R Ex 2178-2019 </t>
  </si>
  <si>
    <t>Modifica Incorpota embarcacion</t>
  </si>
  <si>
    <t>2522-Modifica R Ex 2178-2019 incorpora Emb Fortuna III Rpa 96009-IIII</t>
  </si>
  <si>
    <t>Grupo Emb XV-I region</t>
  </si>
  <si>
    <t>Res.2786.Pesca Investigación IFOP, Anchoveta III y IV regiones</t>
  </si>
  <si>
    <t>Arica Seafood Producer S.A. XV-II</t>
  </si>
  <si>
    <t>Anchoveta XV</t>
  </si>
  <si>
    <t>año</t>
  </si>
  <si>
    <t>comentario</t>
  </si>
  <si>
    <t>Emb Valentina Rpa 967544-XV</t>
  </si>
  <si>
    <t xml:space="preserve">U Pesquería </t>
  </si>
  <si>
    <t>Fraccionamientos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</si>
</sst>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0.00_ ;[Red]\-0.00\ "/>
    <numFmt numFmtId="165" formatCode="[$-F800]dddd\,\ mmmm\ dd\,\ yyyy"/>
    <numFmt numFmtId="166" formatCode="0.000%"/>
    <numFmt numFmtId="167" formatCode="0.0"/>
    <numFmt numFmtId="168" formatCode="0.000"/>
    <numFmt numFmtId="169" formatCode="yyyy/mm/dd;@"/>
    <numFmt numFmtId="170" formatCode="#,##0.000"/>
    <numFmt numFmtId="171" formatCode="_-* #,##0.0_-;\-* #,##0.0_-;_-* &quot;-&quot;??_-;_-@_-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9"/>
      <color theme="10"/>
      <name val="Calibri"/>
      <family val="2"/>
    </font>
    <font>
      <sz val="9"/>
      <color theme="1"/>
      <name val="Verdana"/>
      <family val="2"/>
    </font>
    <font>
      <sz val="9"/>
      <name val="Verdana"/>
      <family val="2"/>
    </font>
    <font>
      <sz val="10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 tint="-4.9989318521683403E-2"/>
      <name val="Calibri"/>
      <family val="2"/>
    </font>
    <font>
      <sz val="11"/>
      <color theme="0" tint="-4.9989318521683403E-2"/>
      <name val="Calibri"/>
      <family val="2"/>
      <scheme val="minor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sz val="9"/>
      <color theme="1"/>
      <name val="Arial"/>
      <family val="2"/>
    </font>
    <font>
      <b/>
      <sz val="7.5"/>
      <color theme="1"/>
      <name val="Arial"/>
      <family val="2"/>
    </font>
    <font>
      <sz val="8"/>
      <color theme="0" tint="-4.9989318521683403E-2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Tahoma"/>
      <family val="2"/>
    </font>
    <font>
      <b/>
      <sz val="8"/>
      <name val="Arial"/>
      <family val="2"/>
    </font>
    <font>
      <b/>
      <sz val="9"/>
      <color rgb="FFFF0000"/>
      <name val="Verdana"/>
      <family val="2"/>
    </font>
    <font>
      <b/>
      <sz val="9"/>
      <name val="Verdana"/>
      <family val="2"/>
    </font>
    <font>
      <strike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2"/>
      <name val="Calibri"/>
      <family val="2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475156"/>
      <name val="Arial"/>
      <family val="2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CCE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55E17A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CFF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theme="4" tint="0.79998168889431442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theme="7" tint="-0.249977111117893"/>
        <bgColor theme="4" tint="0.79998168889431442"/>
      </patternFill>
    </fill>
    <fill>
      <patternFill patternType="solid">
        <fgColor theme="9" tint="0.39997558519241921"/>
        <bgColor theme="4" tint="0.79998168889431442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rgb="FFF9F9F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25FF88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theme="8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28" fillId="0" borderId="0" applyNumberFormat="0" applyFill="0" applyBorder="0" applyAlignment="0" applyProtection="0">
      <alignment vertical="top"/>
      <protection locked="0"/>
    </xf>
    <xf numFmtId="9" fontId="12" fillId="0" borderId="0" applyFont="0" applyFill="0" applyBorder="0" applyAlignment="0" applyProtection="0"/>
  </cellStyleXfs>
  <cellXfs count="832">
    <xf numFmtId="0" fontId="0" fillId="0" borderId="0" xfId="0"/>
    <xf numFmtId="0" fontId="6" fillId="4" borderId="1" xfId="6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12" borderId="0" xfId="0" applyFont="1" applyFill="1" applyAlignment="1">
      <alignment horizontal="center" vertical="center" wrapText="1"/>
    </xf>
    <xf numFmtId="0" fontId="10" fillId="11" borderId="0" xfId="0" applyFont="1" applyFill="1" applyAlignment="1">
      <alignment horizontal="center" vertical="center"/>
    </xf>
    <xf numFmtId="0" fontId="10" fillId="11" borderId="0" xfId="0" applyNumberFormat="1" applyFont="1" applyFill="1" applyAlignment="1">
      <alignment horizontal="center" vertical="center"/>
    </xf>
    <xf numFmtId="0" fontId="0" fillId="11" borderId="0" xfId="0" applyFont="1" applyFill="1" applyAlignment="1">
      <alignment horizontal="center" vertical="center"/>
    </xf>
    <xf numFmtId="165" fontId="11" fillId="11" borderId="0" xfId="0" applyNumberFormat="1" applyFont="1" applyFill="1" applyBorder="1" applyAlignment="1">
      <alignment horizontal="center" vertical="center"/>
    </xf>
    <xf numFmtId="0" fontId="11" fillId="11" borderId="0" xfId="0" applyNumberFormat="1" applyFont="1" applyFill="1" applyBorder="1" applyAlignment="1">
      <alignment horizontal="center" vertical="center"/>
    </xf>
    <xf numFmtId="166" fontId="7" fillId="14" borderId="11" xfId="2" applyNumberFormat="1" applyFont="1" applyFill="1" applyBorder="1" applyAlignment="1">
      <alignment horizontal="center" vertical="center"/>
    </xf>
    <xf numFmtId="1" fontId="0" fillId="14" borderId="11" xfId="0" applyNumberFormat="1" applyFont="1" applyFill="1" applyBorder="1" applyAlignment="1">
      <alignment horizontal="center" vertical="center"/>
    </xf>
    <xf numFmtId="0" fontId="0" fillId="11" borderId="11" xfId="0" applyFont="1" applyFill="1" applyBorder="1" applyAlignment="1">
      <alignment horizontal="center" vertical="center"/>
    </xf>
    <xf numFmtId="166" fontId="7" fillId="11" borderId="11" xfId="2" applyNumberFormat="1" applyFont="1" applyFill="1" applyBorder="1" applyAlignment="1">
      <alignment horizontal="center" vertical="center"/>
    </xf>
    <xf numFmtId="1" fontId="0" fillId="11" borderId="11" xfId="0" applyNumberFormat="1" applyFont="1" applyFill="1" applyBorder="1" applyAlignment="1">
      <alignment horizontal="center" vertical="center"/>
    </xf>
    <xf numFmtId="2" fontId="0" fillId="11" borderId="11" xfId="2" applyNumberFormat="1" applyFont="1" applyFill="1" applyBorder="1" applyAlignment="1">
      <alignment horizontal="center" vertical="center" wrapText="1"/>
    </xf>
    <xf numFmtId="0" fontId="0" fillId="11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15" borderId="0" xfId="0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15" borderId="0" xfId="0" applyFill="1"/>
    <xf numFmtId="2" fontId="0" fillId="15" borderId="0" xfId="0" applyNumberFormat="1" applyFill="1"/>
    <xf numFmtId="0" fontId="19" fillId="0" borderId="0" xfId="0" applyFont="1"/>
    <xf numFmtId="0" fontId="19" fillId="0" borderId="11" xfId="0" applyFont="1" applyBorder="1"/>
    <xf numFmtId="0" fontId="0" fillId="0" borderId="11" xfId="0" applyBorder="1"/>
    <xf numFmtId="0" fontId="0" fillId="0" borderId="6" xfId="0" applyBorder="1"/>
    <xf numFmtId="0" fontId="0" fillId="0" borderId="19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11" xfId="0" applyBorder="1" applyAlignment="1">
      <alignment vertical="center"/>
    </xf>
    <xf numFmtId="0" fontId="8" fillId="17" borderId="24" xfId="0" applyNumberFormat="1" applyFont="1" applyFill="1" applyBorder="1" applyAlignment="1">
      <alignment horizontal="center" vertical="center" wrapText="1"/>
    </xf>
    <xf numFmtId="0" fontId="8" fillId="17" borderId="26" xfId="0" applyNumberFormat="1" applyFont="1" applyFill="1" applyBorder="1" applyAlignment="1">
      <alignment horizontal="center" vertical="center" wrapText="1"/>
    </xf>
    <xf numFmtId="165" fontId="8" fillId="17" borderId="18" xfId="0" applyNumberFormat="1" applyFont="1" applyFill="1" applyBorder="1" applyAlignment="1">
      <alignment horizontal="center" vertical="center" wrapText="1"/>
    </xf>
    <xf numFmtId="165" fontId="8" fillId="17" borderId="2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 vertical="center" wrapText="1"/>
    </xf>
    <xf numFmtId="4" fontId="0" fillId="14" borderId="11" xfId="0" applyNumberFormat="1" applyFont="1" applyFill="1" applyBorder="1" applyAlignment="1">
      <alignment horizontal="center" vertical="center"/>
    </xf>
    <xf numFmtId="0" fontId="6" fillId="4" borderId="26" xfId="3" applyFont="1" applyFill="1" applyBorder="1" applyAlignment="1">
      <alignment horizontal="center" vertical="center" wrapText="1"/>
    </xf>
    <xf numFmtId="0" fontId="0" fillId="5" borderId="0" xfId="0" applyFill="1"/>
    <xf numFmtId="165" fontId="21" fillId="5" borderId="5" xfId="0" applyNumberFormat="1" applyFont="1" applyFill="1" applyBorder="1" applyAlignment="1">
      <alignment horizontal="center" vertical="center" wrapText="1"/>
    </xf>
    <xf numFmtId="165" fontId="21" fillId="5" borderId="8" xfId="0" applyNumberFormat="1" applyFont="1" applyFill="1" applyBorder="1" applyAlignment="1">
      <alignment horizontal="center" vertical="center" wrapText="1"/>
    </xf>
    <xf numFmtId="165" fontId="21" fillId="5" borderId="34" xfId="0" applyNumberFormat="1" applyFont="1" applyFill="1" applyBorder="1" applyAlignment="1">
      <alignment horizontal="center" vertical="center" wrapText="1"/>
    </xf>
    <xf numFmtId="165" fontId="8" fillId="5" borderId="0" xfId="0" applyNumberFormat="1" applyFont="1" applyFill="1" applyBorder="1" applyAlignment="1">
      <alignment horizontal="center" vertical="center" wrapText="1"/>
    </xf>
    <xf numFmtId="165" fontId="8" fillId="5" borderId="36" xfId="0" applyNumberFormat="1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0" borderId="0" xfId="0" applyFont="1"/>
    <xf numFmtId="0" fontId="15" fillId="5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5" fillId="5" borderId="18" xfId="0" applyFont="1" applyFill="1" applyBorder="1" applyAlignment="1">
      <alignment horizontal="center" vertical="center"/>
    </xf>
    <xf numFmtId="10" fontId="15" fillId="5" borderId="21" xfId="2" applyNumberFormat="1" applyFont="1" applyFill="1" applyBorder="1" applyAlignment="1">
      <alignment horizontal="center" vertical="center"/>
    </xf>
    <xf numFmtId="0" fontId="15" fillId="5" borderId="0" xfId="0" applyFont="1" applyFill="1"/>
    <xf numFmtId="0" fontId="15" fillId="5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5" fillId="5" borderId="0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/>
    </xf>
    <xf numFmtId="0" fontId="15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14" fontId="7" fillId="5" borderId="0" xfId="0" applyNumberFormat="1" applyFont="1" applyFill="1" applyAlignment="1">
      <alignment horizontal="center" vertical="center" wrapText="1"/>
    </xf>
    <xf numFmtId="0" fontId="7" fillId="5" borderId="0" xfId="0" applyNumberFormat="1" applyFont="1" applyFill="1" applyAlignment="1">
      <alignment horizontal="center" vertical="center" wrapText="1"/>
    </xf>
    <xf numFmtId="0" fontId="4" fillId="13" borderId="11" xfId="0" applyFont="1" applyFill="1" applyBorder="1" applyAlignment="1">
      <alignment horizontal="center" vertical="center" wrapText="1"/>
    </xf>
    <xf numFmtId="0" fontId="4" fillId="13" borderId="11" xfId="0" applyNumberFormat="1" applyFont="1" applyFill="1" applyBorder="1" applyAlignment="1">
      <alignment horizontal="center" vertical="center" wrapText="1"/>
    </xf>
    <xf numFmtId="0" fontId="4" fillId="13" borderId="11" xfId="0" applyFont="1" applyFill="1" applyBorder="1" applyAlignment="1">
      <alignment horizontal="center" vertical="center"/>
    </xf>
    <xf numFmtId="9" fontId="0" fillId="11" borderId="11" xfId="2" applyFont="1" applyFill="1" applyBorder="1" applyAlignment="1">
      <alignment horizontal="center" vertical="center"/>
    </xf>
    <xf numFmtId="2" fontId="0" fillId="11" borderId="11" xfId="0" applyNumberFormat="1" applyFont="1" applyFill="1" applyBorder="1" applyAlignment="1">
      <alignment horizontal="center" vertical="center"/>
    </xf>
    <xf numFmtId="0" fontId="0" fillId="11" borderId="0" xfId="0" applyFill="1"/>
    <xf numFmtId="0" fontId="10" fillId="11" borderId="0" xfId="0" applyFont="1" applyFill="1" applyAlignment="1">
      <alignment horizontal="center"/>
    </xf>
    <xf numFmtId="0" fontId="0" fillId="11" borderId="11" xfId="0" applyFont="1" applyFill="1" applyBorder="1" applyAlignment="1">
      <alignment horizontal="center"/>
    </xf>
    <xf numFmtId="1" fontId="0" fillId="11" borderId="11" xfId="0" applyNumberFormat="1" applyFont="1" applyFill="1" applyBorder="1" applyAlignment="1">
      <alignment horizontal="center"/>
    </xf>
    <xf numFmtId="2" fontId="0" fillId="11" borderId="11" xfId="2" applyNumberFormat="1" applyFont="1" applyFill="1" applyBorder="1" applyAlignment="1">
      <alignment horizontal="center" wrapText="1"/>
    </xf>
    <xf numFmtId="0" fontId="0" fillId="11" borderId="11" xfId="0" applyNumberFormat="1" applyFont="1" applyFill="1" applyBorder="1" applyAlignment="1">
      <alignment horizontal="center" wrapText="1"/>
    </xf>
    <xf numFmtId="9" fontId="0" fillId="11" borderId="11" xfId="2" applyFont="1" applyFill="1" applyBorder="1" applyAlignment="1">
      <alignment horizontal="center"/>
    </xf>
    <xf numFmtId="0" fontId="0" fillId="11" borderId="0" xfId="0" applyFont="1" applyFill="1" applyAlignment="1">
      <alignment horizontal="center"/>
    </xf>
    <xf numFmtId="2" fontId="16" fillId="11" borderId="11" xfId="1" applyNumberFormat="1" applyFont="1" applyFill="1" applyBorder="1" applyAlignment="1">
      <alignment horizontal="right" vertical="center"/>
    </xf>
    <xf numFmtId="2" fontId="16" fillId="11" borderId="0" xfId="0" applyNumberFormat="1" applyFont="1" applyFill="1" applyAlignment="1">
      <alignment horizontal="right" vertical="center"/>
    </xf>
    <xf numFmtId="0" fontId="10" fillId="11" borderId="0" xfId="0" applyFont="1" applyFill="1" applyAlignment="1">
      <alignment horizontal="right" vertical="center"/>
    </xf>
    <xf numFmtId="0" fontId="15" fillId="5" borderId="0" xfId="0" applyFont="1" applyFill="1" applyBorder="1" applyAlignment="1">
      <alignment horizontal="right" vertical="center"/>
    </xf>
    <xf numFmtId="0" fontId="15" fillId="5" borderId="4" xfId="0" applyFont="1" applyFill="1" applyBorder="1" applyAlignment="1">
      <alignment horizontal="right" vertical="center"/>
    </xf>
    <xf numFmtId="164" fontId="15" fillId="5" borderId="0" xfId="0" applyNumberFormat="1" applyFont="1" applyFill="1" applyBorder="1" applyAlignment="1">
      <alignment horizontal="right" vertical="center"/>
    </xf>
    <xf numFmtId="10" fontId="15" fillId="5" borderId="9" xfId="2" applyNumberFormat="1" applyFont="1" applyFill="1" applyBorder="1" applyAlignment="1">
      <alignment horizontal="right" vertical="center"/>
    </xf>
    <xf numFmtId="0" fontId="15" fillId="5" borderId="8" xfId="0" applyFont="1" applyFill="1" applyBorder="1" applyAlignment="1">
      <alignment horizontal="right" vertical="center"/>
    </xf>
    <xf numFmtId="0" fontId="15" fillId="0" borderId="9" xfId="0" applyFont="1" applyFill="1" applyBorder="1" applyAlignment="1">
      <alignment horizontal="right" vertical="center"/>
    </xf>
    <xf numFmtId="164" fontId="15" fillId="5" borderId="8" xfId="0" applyNumberFormat="1" applyFont="1" applyFill="1" applyBorder="1" applyAlignment="1">
      <alignment horizontal="right" vertical="center"/>
    </xf>
    <xf numFmtId="10" fontId="15" fillId="5" borderId="11" xfId="2" applyNumberFormat="1" applyFont="1" applyFill="1" applyBorder="1" applyAlignment="1">
      <alignment horizontal="right" vertical="center"/>
    </xf>
    <xf numFmtId="0" fontId="15" fillId="5" borderId="14" xfId="0" applyFont="1" applyFill="1" applyBorder="1" applyAlignment="1">
      <alignment horizontal="right" vertical="center"/>
    </xf>
    <xf numFmtId="0" fontId="15" fillId="5" borderId="15" xfId="0" applyFont="1" applyFill="1" applyBorder="1" applyAlignment="1">
      <alignment horizontal="right" vertical="center"/>
    </xf>
    <xf numFmtId="164" fontId="15" fillId="5" borderId="14" xfId="0" applyNumberFormat="1" applyFont="1" applyFill="1" applyBorder="1" applyAlignment="1">
      <alignment horizontal="right" vertical="center"/>
    </xf>
    <xf numFmtId="0" fontId="15" fillId="5" borderId="9" xfId="0" applyFont="1" applyFill="1" applyBorder="1" applyAlignment="1">
      <alignment horizontal="right" vertical="center"/>
    </xf>
    <xf numFmtId="10" fontId="15" fillId="0" borderId="11" xfId="2" applyNumberFormat="1" applyFont="1" applyBorder="1" applyAlignment="1">
      <alignment horizontal="right" vertical="center"/>
    </xf>
    <xf numFmtId="10" fontId="15" fillId="0" borderId="28" xfId="2" applyNumberFormat="1" applyFont="1" applyBorder="1" applyAlignment="1">
      <alignment horizontal="right" vertical="center"/>
    </xf>
    <xf numFmtId="10" fontId="15" fillId="0" borderId="9" xfId="2" applyNumberFormat="1" applyFont="1" applyBorder="1" applyAlignment="1">
      <alignment horizontal="right" vertical="center"/>
    </xf>
    <xf numFmtId="10" fontId="15" fillId="5" borderId="0" xfId="2" applyNumberFormat="1" applyFont="1" applyFill="1" applyBorder="1" applyAlignment="1">
      <alignment horizontal="right" vertical="center"/>
    </xf>
    <xf numFmtId="0" fontId="15" fillId="0" borderId="8" xfId="0" applyFont="1" applyFill="1" applyBorder="1" applyAlignment="1">
      <alignment horizontal="right" vertical="center"/>
    </xf>
    <xf numFmtId="10" fontId="15" fillId="0" borderId="15" xfId="2" applyNumberFormat="1" applyFont="1" applyBorder="1" applyAlignment="1">
      <alignment horizontal="right" vertical="center"/>
    </xf>
    <xf numFmtId="0" fontId="15" fillId="5" borderId="0" xfId="0" applyFont="1" applyFill="1" applyAlignment="1">
      <alignment horizontal="right" vertical="center"/>
    </xf>
    <xf numFmtId="164" fontId="15" fillId="5" borderId="0" xfId="0" applyNumberFormat="1" applyFont="1" applyFill="1" applyAlignment="1">
      <alignment horizontal="right" vertical="center"/>
    </xf>
    <xf numFmtId="0" fontId="15" fillId="0" borderId="14" xfId="0" applyFont="1" applyFill="1" applyBorder="1" applyAlignment="1">
      <alignment horizontal="right" vertical="center"/>
    </xf>
    <xf numFmtId="0" fontId="15" fillId="0" borderId="35" xfId="0" applyFont="1" applyFill="1" applyBorder="1" applyAlignment="1">
      <alignment horizontal="right" vertical="center"/>
    </xf>
    <xf numFmtId="166" fontId="7" fillId="11" borderId="11" xfId="2" applyNumberFormat="1" applyFont="1" applyFill="1" applyBorder="1" applyAlignment="1">
      <alignment horizontal="right" vertical="center"/>
    </xf>
    <xf numFmtId="0" fontId="0" fillId="20" borderId="11" xfId="0" applyFill="1" applyBorder="1"/>
    <xf numFmtId="2" fontId="30" fillId="5" borderId="9" xfId="0" applyNumberFormat="1" applyFont="1" applyFill="1" applyBorder="1" applyAlignment="1">
      <alignment horizontal="center" vertical="center" wrapText="1"/>
    </xf>
    <xf numFmtId="1" fontId="30" fillId="5" borderId="9" xfId="0" applyNumberFormat="1" applyFont="1" applyFill="1" applyBorder="1" applyAlignment="1">
      <alignment horizontal="center" vertical="center" wrapText="1"/>
    </xf>
    <xf numFmtId="14" fontId="30" fillId="5" borderId="9" xfId="0" applyNumberFormat="1" applyFont="1" applyFill="1" applyBorder="1" applyAlignment="1">
      <alignment horizontal="center" vertical="center" wrapText="1"/>
    </xf>
    <xf numFmtId="0" fontId="29" fillId="5" borderId="9" xfId="0" applyFont="1" applyFill="1" applyBorder="1" applyAlignment="1">
      <alignment horizontal="center" vertical="center"/>
    </xf>
    <xf numFmtId="0" fontId="19" fillId="5" borderId="0" xfId="0" applyFont="1" applyFill="1"/>
    <xf numFmtId="14" fontId="29" fillId="23" borderId="11" xfId="0" applyNumberFormat="1" applyFont="1" applyFill="1" applyBorder="1" applyAlignment="1">
      <alignment horizontal="center" vertical="center"/>
    </xf>
    <xf numFmtId="14" fontId="29" fillId="5" borderId="9" xfId="0" applyNumberFormat="1" applyFont="1" applyFill="1" applyBorder="1" applyAlignment="1">
      <alignment horizontal="center" vertical="center"/>
    </xf>
    <xf numFmtId="2" fontId="31" fillId="5" borderId="15" xfId="0" applyNumberFormat="1" applyFont="1" applyFill="1" applyBorder="1" applyAlignment="1">
      <alignment horizontal="right" vertical="center"/>
    </xf>
    <xf numFmtId="168" fontId="30" fillId="5" borderId="9" xfId="0" applyNumberFormat="1" applyFont="1" applyFill="1" applyBorder="1" applyAlignment="1">
      <alignment horizontal="right" vertical="center" wrapText="1"/>
    </xf>
    <xf numFmtId="0" fontId="29" fillId="5" borderId="9" xfId="0" applyFont="1" applyFill="1" applyBorder="1" applyAlignment="1">
      <alignment horizontal="right" vertical="center"/>
    </xf>
    <xf numFmtId="0" fontId="0" fillId="0" borderId="11" xfId="0" applyNumberFormat="1" applyBorder="1"/>
    <xf numFmtId="0" fontId="3" fillId="21" borderId="40" xfId="0" applyNumberFormat="1" applyFont="1" applyFill="1" applyBorder="1"/>
    <xf numFmtId="0" fontId="3" fillId="21" borderId="40" xfId="0" applyFont="1" applyFill="1" applyBorder="1" applyAlignment="1">
      <alignment horizontal="left"/>
    </xf>
    <xf numFmtId="1" fontId="30" fillId="25" borderId="9" xfId="0" applyNumberFormat="1" applyFont="1" applyFill="1" applyBorder="1" applyAlignment="1">
      <alignment horizontal="center" vertical="center" wrapText="1"/>
    </xf>
    <xf numFmtId="14" fontId="30" fillId="25" borderId="9" xfId="0" applyNumberFormat="1" applyFont="1" applyFill="1" applyBorder="1" applyAlignment="1">
      <alignment horizontal="center" vertical="center" wrapText="1"/>
    </xf>
    <xf numFmtId="2" fontId="30" fillId="25" borderId="9" xfId="0" applyNumberFormat="1" applyFont="1" applyFill="1" applyBorder="1" applyAlignment="1">
      <alignment horizontal="center" vertical="center" wrapText="1"/>
    </xf>
    <xf numFmtId="0" fontId="19" fillId="5" borderId="0" xfId="0" applyFont="1" applyFill="1" applyBorder="1"/>
    <xf numFmtId="0" fontId="19" fillId="0" borderId="11" xfId="0" applyFont="1" applyBorder="1" applyAlignment="1">
      <alignment horizontal="center"/>
    </xf>
    <xf numFmtId="14" fontId="19" fillId="0" borderId="11" xfId="0" applyNumberFormat="1" applyFont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0" fontId="19" fillId="0" borderId="11" xfId="0" applyFont="1" applyBorder="1" applyAlignment="1">
      <alignment horizontal="left"/>
    </xf>
    <xf numFmtId="9" fontId="32" fillId="21" borderId="11" xfId="2" applyFont="1" applyFill="1" applyBorder="1" applyAlignment="1">
      <alignment horizontal="right"/>
    </xf>
    <xf numFmtId="0" fontId="7" fillId="12" borderId="11" xfId="0" applyFont="1" applyFill="1" applyBorder="1" applyAlignment="1">
      <alignment horizontal="center" vertical="center" wrapText="1"/>
    </xf>
    <xf numFmtId="0" fontId="4" fillId="27" borderId="11" xfId="0" applyFont="1" applyFill="1" applyBorder="1" applyAlignment="1">
      <alignment horizontal="center" vertical="center" wrapText="1"/>
    </xf>
    <xf numFmtId="9" fontId="4" fillId="27" borderId="11" xfId="2" applyFont="1" applyFill="1" applyBorder="1" applyAlignment="1">
      <alignment horizontal="center" vertical="center" wrapText="1"/>
    </xf>
    <xf numFmtId="0" fontId="7" fillId="18" borderId="11" xfId="0" applyFont="1" applyFill="1" applyBorder="1" applyAlignment="1">
      <alignment horizontal="center" vertical="center"/>
    </xf>
    <xf numFmtId="0" fontId="7" fillId="18" borderId="1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29" fillId="23" borderId="11" xfId="0" applyFont="1" applyFill="1" applyBorder="1" applyAlignment="1">
      <alignment horizontal="center" vertical="center"/>
    </xf>
    <xf numFmtId="0" fontId="33" fillId="19" borderId="11" xfId="4" applyFont="1" applyFill="1" applyBorder="1" applyAlignment="1">
      <alignment horizontal="center" vertical="center" wrapText="1"/>
    </xf>
    <xf numFmtId="0" fontId="33" fillId="19" borderId="11" xfId="5" applyFont="1" applyFill="1" applyBorder="1" applyAlignment="1">
      <alignment horizontal="center" vertical="center" wrapText="1"/>
    </xf>
    <xf numFmtId="0" fontId="33" fillId="19" borderId="35" xfId="0" applyFont="1" applyFill="1" applyBorder="1" applyAlignment="1">
      <alignment horizontal="center" vertical="center" wrapText="1"/>
    </xf>
    <xf numFmtId="0" fontId="33" fillId="19" borderId="11" xfId="0" applyFont="1" applyFill="1" applyBorder="1" applyAlignment="1">
      <alignment horizontal="center" vertical="center" wrapText="1"/>
    </xf>
    <xf numFmtId="0" fontId="33" fillId="19" borderId="37" xfId="0" applyFont="1" applyFill="1" applyBorder="1" applyAlignment="1">
      <alignment horizontal="center" vertical="center" wrapText="1"/>
    </xf>
    <xf numFmtId="0" fontId="33" fillId="19" borderId="11" xfId="6" applyFont="1" applyFill="1" applyBorder="1" applyAlignment="1">
      <alignment horizontal="center" vertical="center" wrapText="1"/>
    </xf>
    <xf numFmtId="164" fontId="33" fillId="19" borderId="10" xfId="6" applyNumberFormat="1" applyFont="1" applyFill="1" applyBorder="1" applyAlignment="1">
      <alignment horizontal="center" vertical="center" wrapText="1"/>
    </xf>
    <xf numFmtId="10" fontId="33" fillId="19" borderId="11" xfId="2" applyNumberFormat="1" applyFont="1" applyFill="1" applyBorder="1" applyAlignment="1">
      <alignment horizontal="center" vertical="center" wrapText="1"/>
    </xf>
    <xf numFmtId="0" fontId="34" fillId="0" borderId="0" xfId="0" applyFont="1"/>
    <xf numFmtId="0" fontId="35" fillId="0" borderId="0" xfId="0" applyFont="1" applyAlignment="1">
      <alignment horizontal="left" indent="3"/>
    </xf>
    <xf numFmtId="0" fontId="38" fillId="0" borderId="0" xfId="0" applyFont="1"/>
    <xf numFmtId="0" fontId="34" fillId="0" borderId="11" xfId="0" applyFont="1" applyBorder="1"/>
    <xf numFmtId="0" fontId="7" fillId="0" borderId="11" xfId="0" applyFont="1" applyBorder="1"/>
    <xf numFmtId="0" fontId="39" fillId="0" borderId="0" xfId="0" applyFont="1"/>
    <xf numFmtId="0" fontId="40" fillId="0" borderId="0" xfId="0" applyFont="1"/>
    <xf numFmtId="0" fontId="37" fillId="5" borderId="0" xfId="0" applyFont="1" applyFill="1" applyBorder="1" applyAlignment="1">
      <alignment horizontal="right" vertical="top" wrapText="1"/>
    </xf>
    <xf numFmtId="0" fontId="40" fillId="5" borderId="0" xfId="0" applyFont="1" applyFill="1" applyBorder="1"/>
    <xf numFmtId="0" fontId="37" fillId="4" borderId="11" xfId="0" applyFont="1" applyFill="1" applyBorder="1" applyAlignment="1">
      <alignment horizontal="right" vertical="top" wrapText="1"/>
    </xf>
    <xf numFmtId="0" fontId="34" fillId="0" borderId="0" xfId="0" applyFont="1" applyAlignment="1">
      <alignment horizontal="center"/>
    </xf>
    <xf numFmtId="0" fontId="34" fillId="0" borderId="0" xfId="0" applyFont="1" applyAlignment="1"/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1" fillId="0" borderId="11" xfId="0" applyFont="1" applyBorder="1" applyAlignment="1">
      <alignment vertical="top" wrapText="1"/>
    </xf>
    <xf numFmtId="0" fontId="41" fillId="4" borderId="11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 wrapText="1"/>
    </xf>
    <xf numFmtId="0" fontId="41" fillId="30" borderId="11" xfId="0" applyFont="1" applyFill="1" applyBorder="1" applyAlignment="1">
      <alignment vertical="top" wrapText="1"/>
    </xf>
    <xf numFmtId="0" fontId="41" fillId="31" borderId="11" xfId="0" applyFont="1" applyFill="1" applyBorder="1" applyAlignment="1">
      <alignment vertical="top" wrapText="1"/>
    </xf>
    <xf numFmtId="0" fontId="41" fillId="14" borderId="11" xfId="0" applyFont="1" applyFill="1" applyBorder="1" applyAlignment="1">
      <alignment vertical="top" wrapText="1"/>
    </xf>
    <xf numFmtId="0" fontId="41" fillId="34" borderId="11" xfId="0" applyFont="1" applyFill="1" applyBorder="1" applyAlignment="1">
      <alignment vertical="top" wrapText="1"/>
    </xf>
    <xf numFmtId="0" fontId="41" fillId="29" borderId="11" xfId="0" applyFont="1" applyFill="1" applyBorder="1" applyAlignment="1">
      <alignment vertical="top" wrapText="1"/>
    </xf>
    <xf numFmtId="0" fontId="41" fillId="35" borderId="11" xfId="0" applyFont="1" applyFill="1" applyBorder="1" applyAlignment="1">
      <alignment vertical="top" wrapText="1"/>
    </xf>
    <xf numFmtId="0" fontId="41" fillId="28" borderId="11" xfId="0" applyFont="1" applyFill="1" applyBorder="1" applyAlignment="1">
      <alignment vertical="top" wrapText="1"/>
    </xf>
    <xf numFmtId="0" fontId="41" fillId="12" borderId="11" xfId="0" applyFont="1" applyFill="1" applyBorder="1" applyAlignment="1">
      <alignment vertical="top" wrapText="1"/>
    </xf>
    <xf numFmtId="0" fontId="41" fillId="32" borderId="11" xfId="0" applyFont="1" applyFill="1" applyBorder="1" applyAlignment="1">
      <alignment vertical="center" wrapText="1"/>
    </xf>
    <xf numFmtId="0" fontId="41" fillId="32" borderId="11" xfId="0" applyFont="1" applyFill="1" applyBorder="1" applyAlignment="1">
      <alignment vertical="top" wrapText="1"/>
    </xf>
    <xf numFmtId="0" fontId="35" fillId="0" borderId="10" xfId="0" applyFont="1" applyBorder="1" applyAlignment="1">
      <alignment horizontal="left" vertical="top" wrapText="1"/>
    </xf>
    <xf numFmtId="0" fontId="36" fillId="0" borderId="10" xfId="0" applyFont="1" applyBorder="1" applyAlignment="1">
      <alignment horizontal="left" vertical="top" wrapText="1"/>
    </xf>
    <xf numFmtId="43" fontId="35" fillId="0" borderId="11" xfId="1" applyFont="1" applyBorder="1" applyAlignment="1">
      <alignment horizontal="right" vertical="top" wrapText="1"/>
    </xf>
    <xf numFmtId="43" fontId="37" fillId="0" borderId="11" xfId="1" applyFont="1" applyBorder="1" applyAlignment="1">
      <alignment horizontal="right" vertical="top" wrapText="1"/>
    </xf>
    <xf numFmtId="43" fontId="37" fillId="0" borderId="11" xfId="1" applyFont="1" applyBorder="1" applyAlignment="1">
      <alignment horizontal="right" vertical="top" wrapText="1" indent="1"/>
    </xf>
    <xf numFmtId="43" fontId="0" fillId="0" borderId="11" xfId="1" applyFont="1" applyBorder="1" applyAlignment="1">
      <alignment horizontal="right"/>
    </xf>
    <xf numFmtId="43" fontId="42" fillId="0" borderId="11" xfId="1" applyFont="1" applyBorder="1" applyAlignment="1">
      <alignment horizontal="right" vertical="top" wrapText="1" indent="1"/>
    </xf>
    <xf numFmtId="0" fontId="34" fillId="19" borderId="11" xfId="0" applyFont="1" applyFill="1" applyBorder="1"/>
    <xf numFmtId="0" fontId="34" fillId="0" borderId="11" xfId="0" applyFont="1" applyBorder="1" applyAlignment="1"/>
    <xf numFmtId="168" fontId="7" fillId="0" borderId="11" xfId="0" applyNumberFormat="1" applyFont="1" applyBorder="1"/>
    <xf numFmtId="168" fontId="7" fillId="0" borderId="0" xfId="0" applyNumberFormat="1" applyFont="1" applyAlignment="1">
      <alignment horizontal="center"/>
    </xf>
    <xf numFmtId="0" fontId="7" fillId="5" borderId="11" xfId="0" applyFont="1" applyFill="1" applyBorder="1"/>
    <xf numFmtId="0" fontId="7" fillId="5" borderId="11" xfId="0" applyFont="1" applyFill="1" applyBorder="1" applyAlignment="1">
      <alignment horizontal="center"/>
    </xf>
    <xf numFmtId="0" fontId="34" fillId="5" borderId="0" xfId="0" applyFont="1" applyFill="1" applyBorder="1"/>
    <xf numFmtId="0" fontId="7" fillId="5" borderId="0" xfId="0" applyFont="1" applyFill="1" applyBorder="1"/>
    <xf numFmtId="0" fontId="7" fillId="5" borderId="0" xfId="0" applyFont="1" applyFill="1" applyBorder="1" applyAlignment="1">
      <alignment horizontal="center"/>
    </xf>
    <xf numFmtId="0" fontId="34" fillId="5" borderId="0" xfId="0" applyFont="1" applyFill="1" applyBorder="1" applyAlignment="1"/>
    <xf numFmtId="0" fontId="34" fillId="5" borderId="0" xfId="0" applyFont="1" applyFill="1" applyBorder="1" applyAlignment="1">
      <alignment horizontal="center"/>
    </xf>
    <xf numFmtId="0" fontId="8" fillId="0" borderId="11" xfId="0" applyFont="1" applyBorder="1"/>
    <xf numFmtId="0" fontId="0" fillId="5" borderId="11" xfId="0" applyFont="1" applyFill="1" applyBorder="1" applyAlignment="1">
      <alignment horizontal="left" vertical="center" wrapText="1"/>
    </xf>
    <xf numFmtId="0" fontId="0" fillId="5" borderId="11" xfId="0" applyFont="1" applyFill="1" applyBorder="1" applyAlignment="1">
      <alignment horizontal="right" vertical="top" wrapText="1"/>
    </xf>
    <xf numFmtId="0" fontId="34" fillId="5" borderId="11" xfId="0" applyFont="1" applyFill="1" applyBorder="1" applyAlignment="1">
      <alignment horizontal="center"/>
    </xf>
    <xf numFmtId="4" fontId="0" fillId="5" borderId="11" xfId="0" applyNumberFormat="1" applyFont="1" applyFill="1" applyBorder="1" applyAlignment="1">
      <alignment vertical="center"/>
    </xf>
    <xf numFmtId="0" fontId="0" fillId="5" borderId="11" xfId="0" applyFont="1" applyFill="1" applyBorder="1" applyAlignment="1">
      <alignment horizontal="center" vertical="top" wrapText="1"/>
    </xf>
    <xf numFmtId="0" fontId="0" fillId="5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21" fillId="17" borderId="11" xfId="0" applyFont="1" applyFill="1" applyBorder="1" applyAlignment="1"/>
    <xf numFmtId="0" fontId="19" fillId="0" borderId="0" xfId="0" applyFont="1" applyAlignment="1">
      <alignment wrapText="1"/>
    </xf>
    <xf numFmtId="0" fontId="18" fillId="5" borderId="11" xfId="0" applyFont="1" applyFill="1" applyBorder="1" applyAlignment="1">
      <alignment vertical="center"/>
    </xf>
    <xf numFmtId="10" fontId="19" fillId="0" borderId="11" xfId="2" applyNumberFormat="1" applyFont="1" applyBorder="1"/>
    <xf numFmtId="169" fontId="19" fillId="0" borderId="11" xfId="0" applyNumberFormat="1" applyFont="1" applyBorder="1"/>
    <xf numFmtId="0" fontId="18" fillId="5" borderId="15" xfId="0" applyFont="1" applyFill="1" applyBorder="1" applyAlignment="1">
      <alignment vertical="center"/>
    </xf>
    <xf numFmtId="0" fontId="19" fillId="0" borderId="15" xfId="0" applyFont="1" applyBorder="1"/>
    <xf numFmtId="10" fontId="19" fillId="0" borderId="15" xfId="2" applyNumberFormat="1" applyFont="1" applyBorder="1"/>
    <xf numFmtId="169" fontId="19" fillId="0" borderId="15" xfId="0" applyNumberFormat="1" applyFont="1" applyBorder="1"/>
    <xf numFmtId="0" fontId="19" fillId="0" borderId="9" xfId="0" applyFont="1" applyBorder="1"/>
    <xf numFmtId="10" fontId="19" fillId="0" borderId="9" xfId="2" applyNumberFormat="1" applyFont="1" applyBorder="1"/>
    <xf numFmtId="169" fontId="19" fillId="0" borderId="9" xfId="0" applyNumberFormat="1" applyFont="1" applyBorder="1"/>
    <xf numFmtId="0" fontId="18" fillId="5" borderId="9" xfId="0" applyFont="1" applyFill="1" applyBorder="1" applyAlignment="1">
      <alignment vertical="center"/>
    </xf>
    <xf numFmtId="9" fontId="19" fillId="0" borderId="11" xfId="2" applyFont="1" applyBorder="1"/>
    <xf numFmtId="0" fontId="18" fillId="5" borderId="10" xfId="0" applyFont="1" applyFill="1" applyBorder="1" applyAlignment="1">
      <alignment vertical="center"/>
    </xf>
    <xf numFmtId="0" fontId="18" fillId="5" borderId="13" xfId="0" applyFont="1" applyFill="1" applyBorder="1" applyAlignment="1">
      <alignment vertical="center"/>
    </xf>
    <xf numFmtId="9" fontId="19" fillId="0" borderId="15" xfId="2" applyFont="1" applyBorder="1"/>
    <xf numFmtId="2" fontId="19" fillId="0" borderId="11" xfId="0" applyNumberFormat="1" applyFont="1" applyBorder="1"/>
    <xf numFmtId="169" fontId="19" fillId="0" borderId="0" xfId="0" applyNumberFormat="1" applyFont="1"/>
    <xf numFmtId="0" fontId="19" fillId="26" borderId="30" xfId="0" applyFont="1" applyFill="1" applyBorder="1"/>
    <xf numFmtId="10" fontId="19" fillId="26" borderId="30" xfId="2" applyNumberFormat="1" applyFont="1" applyFill="1" applyBorder="1"/>
    <xf numFmtId="169" fontId="19" fillId="26" borderId="42" xfId="0" applyNumberFormat="1" applyFont="1" applyFill="1" applyBorder="1"/>
    <xf numFmtId="0" fontId="19" fillId="26" borderId="41" xfId="0" applyFont="1" applyFill="1" applyBorder="1"/>
    <xf numFmtId="0" fontId="18" fillId="26" borderId="41" xfId="0" applyFont="1" applyFill="1" applyBorder="1" applyAlignment="1">
      <alignment vertical="center"/>
    </xf>
    <xf numFmtId="0" fontId="18" fillId="26" borderId="30" xfId="0" applyFont="1" applyFill="1" applyBorder="1" applyAlignment="1">
      <alignment vertical="center"/>
    </xf>
    <xf numFmtId="0" fontId="19" fillId="26" borderId="31" xfId="0" applyFont="1" applyFill="1" applyBorder="1"/>
    <xf numFmtId="0" fontId="19" fillId="24" borderId="41" xfId="0" applyFont="1" applyFill="1" applyBorder="1"/>
    <xf numFmtId="0" fontId="19" fillId="24" borderId="30" xfId="0" applyFont="1" applyFill="1" applyBorder="1"/>
    <xf numFmtId="169" fontId="19" fillId="24" borderId="42" xfId="0" applyNumberFormat="1" applyFont="1" applyFill="1" applyBorder="1"/>
    <xf numFmtId="2" fontId="19" fillId="0" borderId="9" xfId="0" applyNumberFormat="1" applyFont="1" applyBorder="1"/>
    <xf numFmtId="9" fontId="19" fillId="0" borderId="9" xfId="2" applyFont="1" applyBorder="1"/>
    <xf numFmtId="0" fontId="19" fillId="5" borderId="11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1" fontId="30" fillId="20" borderId="9" xfId="0" applyNumberFormat="1" applyFont="1" applyFill="1" applyBorder="1" applyAlignment="1">
      <alignment horizontal="center" vertical="center" wrapText="1"/>
    </xf>
    <xf numFmtId="14" fontId="30" fillId="20" borderId="9" xfId="0" applyNumberFormat="1" applyFont="1" applyFill="1" applyBorder="1" applyAlignment="1">
      <alignment horizontal="center" vertical="center" wrapText="1"/>
    </xf>
    <xf numFmtId="2" fontId="30" fillId="20" borderId="9" xfId="0" applyNumberFormat="1" applyFont="1" applyFill="1" applyBorder="1" applyAlignment="1">
      <alignment horizontal="center" vertical="center" wrapText="1"/>
    </xf>
    <xf numFmtId="0" fontId="43" fillId="23" borderId="11" xfId="0" applyFont="1" applyFill="1" applyBorder="1" applyAlignment="1">
      <alignment horizontal="center" vertical="center"/>
    </xf>
    <xf numFmtId="0" fontId="44" fillId="23" borderId="11" xfId="0" applyFont="1" applyFill="1" applyBorder="1" applyAlignment="1">
      <alignment horizontal="center" vertical="center"/>
    </xf>
    <xf numFmtId="0" fontId="29" fillId="5" borderId="0" xfId="0" applyFont="1" applyFill="1" applyAlignment="1">
      <alignment horizontal="center" vertical="center"/>
    </xf>
    <xf numFmtId="0" fontId="29" fillId="5" borderId="0" xfId="0" applyFont="1" applyFill="1"/>
    <xf numFmtId="0" fontId="29" fillId="5" borderId="11" xfId="0" applyFont="1" applyFill="1" applyBorder="1" applyAlignment="1">
      <alignment horizontal="center" vertical="center"/>
    </xf>
    <xf numFmtId="0" fontId="29" fillId="20" borderId="11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right"/>
    </xf>
    <xf numFmtId="2" fontId="15" fillId="5" borderId="0" xfId="0" applyNumberFormat="1" applyFont="1" applyFill="1" applyAlignment="1">
      <alignment horizontal="center" vertical="center"/>
    </xf>
    <xf numFmtId="1" fontId="30" fillId="5" borderId="11" xfId="0" applyNumberFormat="1" applyFont="1" applyFill="1" applyBorder="1" applyAlignment="1">
      <alignment horizontal="center" vertical="center" wrapText="1"/>
    </xf>
    <xf numFmtId="14" fontId="30" fillId="5" borderId="11" xfId="0" applyNumberFormat="1" applyFont="1" applyFill="1" applyBorder="1" applyAlignment="1">
      <alignment horizontal="center" vertical="center" wrapText="1"/>
    </xf>
    <xf numFmtId="2" fontId="30" fillId="36" borderId="9" xfId="0" applyNumberFormat="1" applyFont="1" applyFill="1" applyBorder="1" applyAlignment="1">
      <alignment horizontal="right" vertical="center" wrapText="1"/>
    </xf>
    <xf numFmtId="168" fontId="30" fillId="36" borderId="9" xfId="0" applyNumberFormat="1" applyFont="1" applyFill="1" applyBorder="1" applyAlignment="1">
      <alignment horizontal="right" vertical="center" wrapText="1"/>
    </xf>
    <xf numFmtId="0" fontId="29" fillId="36" borderId="9" xfId="0" applyFont="1" applyFill="1" applyBorder="1" applyAlignment="1">
      <alignment horizontal="right" vertical="center"/>
    </xf>
    <xf numFmtId="0" fontId="3" fillId="21" borderId="11" xfId="0" applyFont="1" applyFill="1" applyBorder="1"/>
    <xf numFmtId="0" fontId="0" fillId="0" borderId="11" xfId="0" applyBorder="1" applyAlignment="1">
      <alignment horizontal="left" indent="2"/>
    </xf>
    <xf numFmtId="0" fontId="0" fillId="0" borderId="10" xfId="0" applyNumberFormat="1" applyBorder="1"/>
    <xf numFmtId="0" fontId="0" fillId="37" borderId="11" xfId="0" applyNumberFormat="1" applyFill="1" applyBorder="1"/>
    <xf numFmtId="0" fontId="3" fillId="21" borderId="11" xfId="0" applyFont="1" applyFill="1" applyBorder="1" applyAlignment="1">
      <alignment horizontal="center"/>
    </xf>
    <xf numFmtId="0" fontId="3" fillId="32" borderId="11" xfId="0" applyNumberFormat="1" applyFont="1" applyFill="1" applyBorder="1"/>
    <xf numFmtId="0" fontId="19" fillId="32" borderId="11" xfId="0" applyFont="1" applyFill="1" applyBorder="1" applyAlignment="1">
      <alignment horizontal="left"/>
    </xf>
    <xf numFmtId="0" fontId="19" fillId="32" borderId="5" xfId="0" applyFont="1" applyFill="1" applyBorder="1"/>
    <xf numFmtId="0" fontId="32" fillId="21" borderId="8" xfId="0" applyFont="1" applyFill="1" applyBorder="1" applyAlignment="1">
      <alignment horizontal="center"/>
    </xf>
    <xf numFmtId="9" fontId="17" fillId="21" borderId="11" xfId="2" applyFont="1" applyFill="1" applyBorder="1" applyAlignment="1">
      <alignment horizontal="right"/>
    </xf>
    <xf numFmtId="9" fontId="15" fillId="0" borderId="0" xfId="2" applyFont="1"/>
    <xf numFmtId="0" fontId="19" fillId="5" borderId="11" xfId="0" applyFont="1" applyFill="1" applyBorder="1" applyAlignment="1">
      <alignment horizontal="center"/>
    </xf>
    <xf numFmtId="14" fontId="19" fillId="5" borderId="11" xfId="0" applyNumberFormat="1" applyFont="1" applyFill="1" applyBorder="1" applyAlignment="1">
      <alignment horizontal="center"/>
    </xf>
    <xf numFmtId="0" fontId="19" fillId="5" borderId="11" xfId="0" applyFont="1" applyFill="1" applyBorder="1" applyAlignment="1">
      <alignment horizontal="left"/>
    </xf>
    <xf numFmtId="168" fontId="19" fillId="5" borderId="11" xfId="0" applyNumberFormat="1" applyFont="1" applyFill="1" applyBorder="1" applyAlignment="1">
      <alignment horizontal="right"/>
    </xf>
    <xf numFmtId="168" fontId="18" fillId="5" borderId="11" xfId="0" applyNumberFormat="1" applyFont="1" applyFill="1" applyBorder="1" applyAlignment="1">
      <alignment horizontal="right"/>
    </xf>
    <xf numFmtId="0" fontId="29" fillId="28" borderId="11" xfId="0" applyFont="1" applyFill="1" applyBorder="1" applyAlignment="1">
      <alignment horizontal="center" vertical="center"/>
    </xf>
    <xf numFmtId="1" fontId="30" fillId="28" borderId="9" xfId="0" applyNumberFormat="1" applyFont="1" applyFill="1" applyBorder="1" applyAlignment="1">
      <alignment horizontal="center" vertical="center" wrapText="1"/>
    </xf>
    <xf numFmtId="14" fontId="30" fillId="28" borderId="9" xfId="0" applyNumberFormat="1" applyFont="1" applyFill="1" applyBorder="1" applyAlignment="1">
      <alignment horizontal="center" vertical="center" wrapText="1"/>
    </xf>
    <xf numFmtId="168" fontId="30" fillId="28" borderId="9" xfId="0" applyNumberFormat="1" applyFont="1" applyFill="1" applyBorder="1" applyAlignment="1">
      <alignment horizontal="right" vertical="center" wrapText="1"/>
    </xf>
    <xf numFmtId="2" fontId="30" fillId="28" borderId="9" xfId="0" applyNumberFormat="1" applyFont="1" applyFill="1" applyBorder="1" applyAlignment="1">
      <alignment horizontal="center" vertical="center" wrapText="1"/>
    </xf>
    <xf numFmtId="1" fontId="30" fillId="24" borderId="9" xfId="0" applyNumberFormat="1" applyFont="1" applyFill="1" applyBorder="1" applyAlignment="1">
      <alignment horizontal="center" vertical="center" wrapText="1"/>
    </xf>
    <xf numFmtId="14" fontId="30" fillId="24" borderId="9" xfId="0" applyNumberFormat="1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center" vertical="center"/>
    </xf>
    <xf numFmtId="2" fontId="30" fillId="24" borderId="9" xfId="0" applyNumberFormat="1" applyFont="1" applyFill="1" applyBorder="1" applyAlignment="1">
      <alignment horizontal="center" vertical="center" wrapText="1"/>
    </xf>
    <xf numFmtId="10" fontId="15" fillId="20" borderId="9" xfId="2" applyNumberFormat="1" applyFont="1" applyFill="1" applyBorder="1" applyAlignment="1">
      <alignment horizontal="right" vertical="center"/>
    </xf>
    <xf numFmtId="10" fontId="15" fillId="20" borderId="28" xfId="2" applyNumberFormat="1" applyFont="1" applyFill="1" applyBorder="1" applyAlignment="1">
      <alignment horizontal="right" vertical="center"/>
    </xf>
    <xf numFmtId="0" fontId="15" fillId="24" borderId="11" xfId="0" applyFont="1" applyFill="1" applyBorder="1" applyAlignment="1">
      <alignment horizontal="center"/>
    </xf>
    <xf numFmtId="14" fontId="15" fillId="24" borderId="11" xfId="0" applyNumberFormat="1" applyFont="1" applyFill="1" applyBorder="1" applyAlignment="1">
      <alignment horizontal="center"/>
    </xf>
    <xf numFmtId="0" fontId="19" fillId="23" borderId="11" xfId="0" applyFont="1" applyFill="1" applyBorder="1" applyAlignment="1">
      <alignment horizontal="right"/>
    </xf>
    <xf numFmtId="0" fontId="18" fillId="23" borderId="11" xfId="0" applyFont="1" applyFill="1" applyBorder="1" applyAlignment="1">
      <alignment horizontal="center"/>
    </xf>
    <xf numFmtId="14" fontId="18" fillId="23" borderId="11" xfId="0" applyNumberFormat="1" applyFont="1" applyFill="1" applyBorder="1" applyAlignment="1">
      <alignment horizontal="center"/>
    </xf>
    <xf numFmtId="0" fontId="18" fillId="23" borderId="11" xfId="0" applyFont="1" applyFill="1" applyBorder="1" applyAlignment="1">
      <alignment horizontal="left"/>
    </xf>
    <xf numFmtId="168" fontId="18" fillId="23" borderId="11" xfId="0" applyNumberFormat="1" applyFont="1" applyFill="1" applyBorder="1" applyAlignment="1">
      <alignment horizontal="right"/>
    </xf>
    <xf numFmtId="0" fontId="18" fillId="23" borderId="11" xfId="0" applyFont="1" applyFill="1" applyBorder="1" applyAlignment="1">
      <alignment horizontal="right"/>
    </xf>
    <xf numFmtId="0" fontId="19" fillId="23" borderId="11" xfId="0" applyFont="1" applyFill="1" applyBorder="1" applyAlignment="1">
      <alignment horizontal="center"/>
    </xf>
    <xf numFmtId="14" fontId="19" fillId="23" borderId="11" xfId="0" applyNumberFormat="1" applyFont="1" applyFill="1" applyBorder="1" applyAlignment="1">
      <alignment horizontal="center"/>
    </xf>
    <xf numFmtId="0" fontId="19" fillId="23" borderId="11" xfId="0" applyFont="1" applyFill="1" applyBorder="1" applyAlignment="1">
      <alignment horizontal="left"/>
    </xf>
    <xf numFmtId="168" fontId="19" fillId="23" borderId="11" xfId="0" applyNumberFormat="1" applyFont="1" applyFill="1" applyBorder="1" applyAlignment="1">
      <alignment horizontal="right"/>
    </xf>
    <xf numFmtId="0" fontId="32" fillId="23" borderId="11" xfId="0" applyFont="1" applyFill="1" applyBorder="1" applyAlignment="1">
      <alignment horizontal="right"/>
    </xf>
    <xf numFmtId="1" fontId="19" fillId="23" borderId="11" xfId="0" applyNumberFormat="1" applyFont="1" applyFill="1" applyBorder="1" applyAlignment="1">
      <alignment horizontal="center"/>
    </xf>
    <xf numFmtId="0" fontId="29" fillId="10" borderId="11" xfId="0" applyFont="1" applyFill="1" applyBorder="1" applyAlignment="1">
      <alignment horizontal="center" vertical="center"/>
    </xf>
    <xf numFmtId="2" fontId="30" fillId="10" borderId="11" xfId="0" applyNumberFormat="1" applyFont="1" applyFill="1" applyBorder="1" applyAlignment="1">
      <alignment horizontal="center" vertical="center" wrapText="1"/>
    </xf>
    <xf numFmtId="0" fontId="15" fillId="10" borderId="11" xfId="0" applyFont="1" applyFill="1" applyBorder="1" applyAlignment="1">
      <alignment horizontal="center"/>
    </xf>
    <xf numFmtId="14" fontId="15" fillId="10" borderId="11" xfId="0" applyNumberFormat="1" applyFont="1" applyFill="1" applyBorder="1" applyAlignment="1">
      <alignment horizontal="center"/>
    </xf>
    <xf numFmtId="10" fontId="15" fillId="10" borderId="11" xfId="2" applyNumberFormat="1" applyFont="1" applyFill="1" applyBorder="1" applyAlignment="1">
      <alignment horizontal="right" vertical="center"/>
    </xf>
    <xf numFmtId="10" fontId="15" fillId="10" borderId="28" xfId="2" applyNumberFormat="1" applyFont="1" applyFill="1" applyBorder="1" applyAlignment="1">
      <alignment horizontal="right" vertical="center"/>
    </xf>
    <xf numFmtId="0" fontId="0" fillId="23" borderId="11" xfId="0" applyFont="1" applyFill="1" applyBorder="1" applyAlignment="1">
      <alignment horizontal="left"/>
    </xf>
    <xf numFmtId="0" fontId="15" fillId="0" borderId="15" xfId="0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center"/>
    </xf>
    <xf numFmtId="170" fontId="15" fillId="0" borderId="10" xfId="0" applyNumberFormat="1" applyFont="1" applyFill="1" applyBorder="1" applyAlignment="1">
      <alignment horizontal="right" vertical="center"/>
    </xf>
    <xf numFmtId="0" fontId="31" fillId="0" borderId="11" xfId="0" applyFont="1" applyFill="1" applyBorder="1" applyAlignment="1">
      <alignment horizontal="right" vertical="center"/>
    </xf>
    <xf numFmtId="168" fontId="15" fillId="0" borderId="35" xfId="0" applyNumberFormat="1" applyFont="1" applyFill="1" applyBorder="1" applyAlignment="1">
      <alignment horizontal="right" vertical="center"/>
    </xf>
    <xf numFmtId="164" fontId="15" fillId="0" borderId="28" xfId="0" applyNumberFormat="1" applyFont="1" applyFill="1" applyBorder="1" applyAlignment="1">
      <alignment horizontal="right" vertical="center"/>
    </xf>
    <xf numFmtId="171" fontId="15" fillId="0" borderId="28" xfId="1" applyNumberFormat="1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right" vertical="center"/>
    </xf>
    <xf numFmtId="168" fontId="31" fillId="0" borderId="11" xfId="0" applyNumberFormat="1" applyFont="1" applyFill="1" applyBorder="1" applyAlignment="1">
      <alignment horizontal="right" vertical="center"/>
    </xf>
    <xf numFmtId="2" fontId="31" fillId="0" borderId="11" xfId="0" applyNumberFormat="1" applyFont="1" applyFill="1" applyBorder="1" applyAlignment="1">
      <alignment horizontal="right" vertical="center"/>
    </xf>
    <xf numFmtId="0" fontId="15" fillId="0" borderId="4" xfId="0" applyFont="1" applyFill="1" applyBorder="1" applyAlignment="1">
      <alignment horizontal="right" vertical="center"/>
    </xf>
    <xf numFmtId="164" fontId="15" fillId="0" borderId="39" xfId="0" applyNumberFormat="1" applyFont="1" applyFill="1" applyBorder="1" applyAlignment="1">
      <alignment horizontal="right" vertical="center"/>
    </xf>
    <xf numFmtId="170" fontId="15" fillId="0" borderId="13" xfId="0" applyNumberFormat="1" applyFont="1" applyFill="1" applyBorder="1" applyAlignment="1">
      <alignment horizontal="right" vertical="center"/>
    </xf>
    <xf numFmtId="168" fontId="15" fillId="0" borderId="14" xfId="0" applyNumberFormat="1" applyFont="1" applyFill="1" applyBorder="1" applyAlignment="1">
      <alignment horizontal="right" vertical="center"/>
    </xf>
    <xf numFmtId="164" fontId="15" fillId="0" borderId="8" xfId="0" applyNumberFormat="1" applyFont="1" applyFill="1" applyBorder="1" applyAlignment="1">
      <alignment horizontal="right" vertical="center"/>
    </xf>
    <xf numFmtId="164" fontId="15" fillId="0" borderId="34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164" fontId="15" fillId="0" borderId="0" xfId="0" applyNumberFormat="1" applyFont="1" applyFill="1" applyBorder="1" applyAlignment="1">
      <alignment horizontal="right" vertical="center"/>
    </xf>
    <xf numFmtId="0" fontId="15" fillId="0" borderId="15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center" vertical="center"/>
    </xf>
    <xf numFmtId="0" fontId="15" fillId="0" borderId="11" xfId="0" applyFont="1" applyFill="1" applyBorder="1"/>
    <xf numFmtId="0" fontId="31" fillId="0" borderId="15" xfId="0" applyFont="1" applyFill="1" applyBorder="1" applyAlignment="1">
      <alignment horizontal="right" vertical="center"/>
    </xf>
    <xf numFmtId="0" fontId="15" fillId="0" borderId="9" xfId="0" applyFont="1" applyFill="1" applyBorder="1" applyAlignment="1">
      <alignment horizontal="left" vertical="center" wrapText="1"/>
    </xf>
    <xf numFmtId="164" fontId="15" fillId="0" borderId="37" xfId="0" applyNumberFormat="1" applyFont="1" applyFill="1" applyBorder="1" applyAlignment="1">
      <alignment horizontal="right" vertical="center"/>
    </xf>
    <xf numFmtId="0" fontId="46" fillId="5" borderId="0" xfId="0" applyFont="1" applyFill="1" applyAlignment="1">
      <alignment horizontal="center" vertical="center"/>
    </xf>
    <xf numFmtId="0" fontId="46" fillId="5" borderId="0" xfId="0" applyFont="1" applyFill="1"/>
    <xf numFmtId="0" fontId="7" fillId="12" borderId="11" xfId="0" applyFont="1" applyFill="1" applyBorder="1" applyAlignment="1">
      <alignment horizontal="left" wrapText="1"/>
    </xf>
    <xf numFmtId="0" fontId="7" fillId="5" borderId="0" xfId="0" applyFont="1" applyFill="1" applyBorder="1" applyAlignment="1">
      <alignment horizontal="left" vertical="center" wrapText="1"/>
    </xf>
    <xf numFmtId="2" fontId="7" fillId="5" borderId="11" xfId="1" applyNumberFormat="1" applyFont="1" applyFill="1" applyBorder="1" applyAlignment="1">
      <alignment horizontal="center" vertical="center" wrapText="1"/>
    </xf>
    <xf numFmtId="9" fontId="7" fillId="12" borderId="11" xfId="2" applyFont="1" applyFill="1" applyBorder="1" applyAlignment="1">
      <alignment horizontal="center" vertical="center" wrapText="1"/>
    </xf>
    <xf numFmtId="2" fontId="7" fillId="5" borderId="11" xfId="0" applyNumberFormat="1" applyFont="1" applyFill="1" applyBorder="1" applyAlignment="1">
      <alignment horizontal="center" vertical="center" wrapText="1"/>
    </xf>
    <xf numFmtId="0" fontId="3" fillId="6" borderId="44" xfId="0" applyNumberFormat="1" applyFont="1" applyFill="1" applyBorder="1"/>
    <xf numFmtId="0" fontId="29" fillId="38" borderId="11" xfId="0" applyFont="1" applyFill="1" applyBorder="1" applyAlignment="1">
      <alignment horizontal="center" vertical="center"/>
    </xf>
    <xf numFmtId="1" fontId="30" fillId="38" borderId="9" xfId="0" applyNumberFormat="1" applyFont="1" applyFill="1" applyBorder="1" applyAlignment="1">
      <alignment horizontal="center" vertical="center" wrapText="1"/>
    </xf>
    <xf numFmtId="14" fontId="30" fillId="38" borderId="9" xfId="0" applyNumberFormat="1" applyFont="1" applyFill="1" applyBorder="1" applyAlignment="1">
      <alignment horizontal="center" vertical="center" wrapText="1"/>
    </xf>
    <xf numFmtId="2" fontId="30" fillId="38" borderId="9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wrapText="1"/>
    </xf>
    <xf numFmtId="0" fontId="18" fillId="0" borderId="11" xfId="0" applyFont="1" applyFill="1" applyBorder="1" applyAlignment="1"/>
    <xf numFmtId="168" fontId="30" fillId="36" borderId="9" xfId="0" applyNumberFormat="1" applyFont="1" applyFill="1" applyBorder="1" applyAlignment="1">
      <alignment vertical="center" wrapText="1"/>
    </xf>
    <xf numFmtId="168" fontId="30" fillId="38" borderId="9" xfId="0" applyNumberFormat="1" applyFont="1" applyFill="1" applyBorder="1" applyAlignment="1">
      <alignment vertical="center" wrapText="1"/>
    </xf>
    <xf numFmtId="168" fontId="30" fillId="24" borderId="9" xfId="0" applyNumberFormat="1" applyFont="1" applyFill="1" applyBorder="1" applyAlignment="1">
      <alignment vertical="center" wrapText="1"/>
    </xf>
    <xf numFmtId="168" fontId="30" fillId="10" borderId="11" xfId="0" applyNumberFormat="1" applyFont="1" applyFill="1" applyBorder="1" applyAlignment="1">
      <alignment vertical="center" wrapText="1"/>
    </xf>
    <xf numFmtId="0" fontId="19" fillId="24" borderId="11" xfId="0" applyFont="1" applyFill="1" applyBorder="1" applyAlignment="1">
      <alignment horizontal="center"/>
    </xf>
    <xf numFmtId="14" fontId="19" fillId="24" borderId="11" xfId="0" applyNumberFormat="1" applyFont="1" applyFill="1" applyBorder="1" applyAlignment="1">
      <alignment horizontal="center"/>
    </xf>
    <xf numFmtId="0" fontId="19" fillId="24" borderId="11" xfId="0" applyFont="1" applyFill="1" applyBorder="1" applyAlignment="1">
      <alignment horizontal="left"/>
    </xf>
    <xf numFmtId="168" fontId="19" fillId="24" borderId="11" xfId="0" applyNumberFormat="1" applyFont="1" applyFill="1" applyBorder="1" applyAlignment="1">
      <alignment horizontal="right"/>
    </xf>
    <xf numFmtId="0" fontId="19" fillId="24" borderId="11" xfId="0" applyFont="1" applyFill="1" applyBorder="1" applyAlignment="1">
      <alignment horizontal="right"/>
    </xf>
    <xf numFmtId="0" fontId="0" fillId="5" borderId="11" xfId="0" applyNumberFormat="1" applyFill="1" applyBorder="1" applyAlignment="1">
      <alignment horizontal="center"/>
    </xf>
    <xf numFmtId="0" fontId="3" fillId="32" borderId="11" xfId="0" applyNumberFormat="1" applyFont="1" applyFill="1" applyBorder="1" applyAlignment="1">
      <alignment horizontal="center"/>
    </xf>
    <xf numFmtId="0" fontId="19" fillId="36" borderId="11" xfId="0" applyFont="1" applyFill="1" applyBorder="1" applyAlignment="1">
      <alignment horizontal="left" wrapText="1"/>
    </xf>
    <xf numFmtId="0" fontId="47" fillId="0" borderId="15" xfId="0" applyFont="1" applyFill="1" applyBorder="1" applyAlignment="1">
      <alignment horizontal="right" vertical="center"/>
    </xf>
    <xf numFmtId="0" fontId="19" fillId="25" borderId="11" xfId="0" applyFont="1" applyFill="1" applyBorder="1" applyAlignment="1">
      <alignment horizontal="right"/>
    </xf>
    <xf numFmtId="0" fontId="19" fillId="25" borderId="0" xfId="0" applyFont="1" applyFill="1"/>
    <xf numFmtId="168" fontId="19" fillId="25" borderId="11" xfId="0" applyNumberFormat="1" applyFont="1" applyFill="1" applyBorder="1" applyAlignment="1">
      <alignment horizontal="right"/>
    </xf>
    <xf numFmtId="0" fontId="15" fillId="33" borderId="15" xfId="0" applyFont="1" applyFill="1" applyBorder="1" applyAlignment="1">
      <alignment horizontal="right" vertical="center"/>
    </xf>
    <xf numFmtId="0" fontId="0" fillId="0" borderId="0" xfId="0"/>
    <xf numFmtId="0" fontId="0" fillId="5" borderId="0" xfId="0" applyFill="1"/>
    <xf numFmtId="2" fontId="0" fillId="5" borderId="11" xfId="0" applyNumberFormat="1" applyFill="1" applyBorder="1" applyAlignment="1">
      <alignment horizontal="center"/>
    </xf>
    <xf numFmtId="0" fontId="7" fillId="5" borderId="0" xfId="0" applyFont="1" applyFill="1" applyBorder="1" applyAlignment="1">
      <alignment horizontal="right" vertical="center" wrapText="1"/>
    </xf>
    <xf numFmtId="0" fontId="4" fillId="5" borderId="0" xfId="0" applyFont="1" applyFill="1" applyBorder="1" applyAlignment="1"/>
    <xf numFmtId="2" fontId="0" fillId="14" borderId="11" xfId="2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 vertical="center"/>
    </xf>
    <xf numFmtId="0" fontId="0" fillId="14" borderId="11" xfId="0" applyFont="1" applyFill="1" applyBorder="1" applyAlignment="1">
      <alignment horizontal="center" vertical="center"/>
    </xf>
    <xf numFmtId="9" fontId="0" fillId="14" borderId="11" xfId="2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right" vertical="center"/>
    </xf>
    <xf numFmtId="0" fontId="48" fillId="39" borderId="11" xfId="0" applyFont="1" applyFill="1" applyBorder="1" applyAlignment="1">
      <alignment horizontal="center"/>
    </xf>
    <xf numFmtId="0" fontId="48" fillId="39" borderId="11" xfId="0" applyFont="1" applyFill="1" applyBorder="1" applyAlignment="1">
      <alignment horizontal="center" vertical="center"/>
    </xf>
    <xf numFmtId="0" fontId="49" fillId="40" borderId="11" xfId="0" applyFont="1" applyFill="1" applyBorder="1" applyAlignment="1">
      <alignment horizontal="center"/>
    </xf>
    <xf numFmtId="0" fontId="0" fillId="5" borderId="11" xfId="0" applyFont="1" applyFill="1" applyBorder="1"/>
    <xf numFmtId="0" fontId="7" fillId="5" borderId="11" xfId="0" applyFont="1" applyFill="1" applyBorder="1" applyAlignment="1">
      <alignment horizontal="right"/>
    </xf>
    <xf numFmtId="0" fontId="8" fillId="41" borderId="11" xfId="0" applyFont="1" applyFill="1" applyBorder="1" applyAlignment="1">
      <alignment horizontal="center" vertical="center"/>
    </xf>
    <xf numFmtId="2" fontId="7" fillId="5" borderId="28" xfId="0" applyNumberFormat="1" applyFont="1" applyFill="1" applyBorder="1" applyAlignment="1">
      <alignment horizontal="center"/>
    </xf>
    <xf numFmtId="2" fontId="7" fillId="5" borderId="15" xfId="0" applyNumberFormat="1" applyFont="1" applyFill="1" applyBorder="1" applyAlignment="1">
      <alignment horizontal="center"/>
    </xf>
    <xf numFmtId="2" fontId="7" fillId="5" borderId="14" xfId="0" applyNumberFormat="1" applyFont="1" applyFill="1" applyBorder="1" applyAlignment="1">
      <alignment horizontal="center"/>
    </xf>
    <xf numFmtId="0" fontId="7" fillId="5" borderId="15" xfId="0" applyFont="1" applyFill="1" applyBorder="1"/>
    <xf numFmtId="2" fontId="8" fillId="41" borderId="11" xfId="0" applyNumberFormat="1" applyFont="1" applyFill="1" applyBorder="1" applyAlignment="1">
      <alignment horizontal="center" vertical="center"/>
    </xf>
    <xf numFmtId="9" fontId="8" fillId="41" borderId="11" xfId="2" applyFont="1" applyFill="1" applyBorder="1" applyAlignment="1">
      <alignment horizontal="center" vertical="center"/>
    </xf>
    <xf numFmtId="2" fontId="8" fillId="41" borderId="15" xfId="0" applyNumberFormat="1" applyFont="1" applyFill="1" applyBorder="1" applyAlignment="1">
      <alignment horizontal="center" vertical="center"/>
    </xf>
    <xf numFmtId="169" fontId="0" fillId="5" borderId="11" xfId="0" applyNumberFormat="1" applyFill="1" applyBorder="1"/>
    <xf numFmtId="0" fontId="8" fillId="29" borderId="10" xfId="0" applyFont="1" applyFill="1" applyBorder="1" applyAlignment="1">
      <alignment horizontal="center" vertical="center"/>
    </xf>
    <xf numFmtId="0" fontId="8" fillId="29" borderId="11" xfId="0" applyFont="1" applyFill="1" applyBorder="1" applyAlignment="1">
      <alignment horizontal="center" vertical="center"/>
    </xf>
    <xf numFmtId="9" fontId="8" fillId="29" borderId="10" xfId="2" applyFont="1" applyFill="1" applyBorder="1" applyAlignment="1">
      <alignment horizontal="center" vertical="center"/>
    </xf>
    <xf numFmtId="9" fontId="8" fillId="29" borderId="11" xfId="2" applyFont="1" applyFill="1" applyBorder="1" applyAlignment="1">
      <alignment horizontal="center" vertical="center"/>
    </xf>
    <xf numFmtId="14" fontId="7" fillId="5" borderId="9" xfId="0" applyNumberFormat="1" applyFont="1" applyFill="1" applyBorder="1" applyAlignment="1">
      <alignment horizontal="center"/>
    </xf>
    <xf numFmtId="0" fontId="50" fillId="5" borderId="11" xfId="7" applyFont="1" applyFill="1" applyBorder="1" applyAlignment="1" applyProtection="1">
      <alignment horizontal="right" vertical="center"/>
    </xf>
    <xf numFmtId="169" fontId="7" fillId="5" borderId="11" xfId="0" applyNumberFormat="1" applyFont="1" applyFill="1" applyBorder="1"/>
    <xf numFmtId="2" fontId="8" fillId="29" borderId="11" xfId="0" applyNumberFormat="1" applyFont="1" applyFill="1" applyBorder="1" applyAlignment="1">
      <alignment horizontal="center" vertical="center"/>
    </xf>
    <xf numFmtId="9" fontId="0" fillId="5" borderId="11" xfId="2" applyFont="1" applyFill="1" applyBorder="1" applyAlignment="1">
      <alignment horizontal="center"/>
    </xf>
    <xf numFmtId="9" fontId="7" fillId="5" borderId="14" xfId="2" applyFont="1" applyFill="1" applyBorder="1" applyAlignment="1">
      <alignment horizontal="center"/>
    </xf>
    <xf numFmtId="0" fontId="48" fillId="39" borderId="11" xfId="0" applyFont="1" applyFill="1" applyBorder="1" applyAlignment="1">
      <alignment horizontal="center" vertical="center" wrapText="1"/>
    </xf>
    <xf numFmtId="0" fontId="0" fillId="18" borderId="11" xfId="0" applyNumberFormat="1" applyFill="1" applyBorder="1" applyAlignment="1">
      <alignment horizontal="center"/>
    </xf>
    <xf numFmtId="0" fontId="30" fillId="24" borderId="9" xfId="0" applyFont="1" applyFill="1" applyBorder="1" applyAlignment="1">
      <alignment vertical="center"/>
    </xf>
    <xf numFmtId="0" fontId="30" fillId="28" borderId="9" xfId="0" applyFont="1" applyFill="1" applyBorder="1" applyAlignment="1">
      <alignment vertical="center"/>
    </xf>
    <xf numFmtId="0" fontId="30" fillId="25" borderId="9" xfId="0" applyFont="1" applyFill="1" applyBorder="1" applyAlignment="1">
      <alignment vertical="center"/>
    </xf>
    <xf numFmtId="0" fontId="30" fillId="5" borderId="9" xfId="0" applyFont="1" applyFill="1" applyBorder="1" applyAlignment="1">
      <alignment vertical="center"/>
    </xf>
    <xf numFmtId="0" fontId="30" fillId="20" borderId="9" xfId="0" applyFont="1" applyFill="1" applyBorder="1" applyAlignment="1">
      <alignment vertical="center"/>
    </xf>
    <xf numFmtId="0" fontId="30" fillId="10" borderId="11" xfId="0" applyFont="1" applyFill="1" applyBorder="1" applyAlignment="1">
      <alignment vertical="center"/>
    </xf>
    <xf numFmtId="0" fontId="30" fillId="38" borderId="9" xfId="0" applyFont="1" applyFill="1" applyBorder="1" applyAlignment="1">
      <alignment vertical="center"/>
    </xf>
    <xf numFmtId="0" fontId="29" fillId="26" borderId="11" xfId="0" applyFont="1" applyFill="1" applyBorder="1" applyAlignment="1">
      <alignment horizontal="center" vertical="center"/>
    </xf>
    <xf numFmtId="1" fontId="30" fillId="26" borderId="9" xfId="0" applyNumberFormat="1" applyFont="1" applyFill="1" applyBorder="1" applyAlignment="1">
      <alignment horizontal="center" vertical="center" wrapText="1"/>
    </xf>
    <xf numFmtId="14" fontId="30" fillId="26" borderId="9" xfId="0" applyNumberFormat="1" applyFont="1" applyFill="1" applyBorder="1" applyAlignment="1">
      <alignment horizontal="center" vertical="center" wrapText="1"/>
    </xf>
    <xf numFmtId="0" fontId="30" fillId="26" borderId="9" xfId="0" applyFont="1" applyFill="1" applyBorder="1" applyAlignment="1">
      <alignment vertical="center"/>
    </xf>
    <xf numFmtId="2" fontId="30" fillId="26" borderId="9" xfId="0" applyNumberFormat="1" applyFont="1" applyFill="1" applyBorder="1" applyAlignment="1">
      <alignment horizontal="center" vertical="center" wrapText="1"/>
    </xf>
    <xf numFmtId="2" fontId="30" fillId="26" borderId="9" xfId="0" applyNumberFormat="1" applyFont="1" applyFill="1" applyBorder="1" applyAlignment="1">
      <alignment horizontal="right" vertical="center" wrapText="1"/>
    </xf>
    <xf numFmtId="0" fontId="30" fillId="26" borderId="9" xfId="0" applyFont="1" applyFill="1" applyBorder="1" applyAlignment="1">
      <alignment horizontal="left" vertical="center"/>
    </xf>
    <xf numFmtId="2" fontId="30" fillId="26" borderId="9" xfId="0" applyNumberFormat="1" applyFont="1" applyFill="1" applyBorder="1" applyAlignment="1">
      <alignment vertical="center" wrapText="1"/>
    </xf>
    <xf numFmtId="2" fontId="10" fillId="11" borderId="0" xfId="0" applyNumberFormat="1" applyFont="1" applyFill="1" applyAlignment="1">
      <alignment horizontal="center" vertical="center"/>
    </xf>
    <xf numFmtId="2" fontId="10" fillId="11" borderId="0" xfId="0" applyNumberFormat="1" applyFont="1" applyFill="1" applyAlignment="1">
      <alignment horizontal="center"/>
    </xf>
    <xf numFmtId="2" fontId="0" fillId="11" borderId="0" xfId="2" applyNumberFormat="1" applyFont="1" applyFill="1" applyBorder="1" applyAlignment="1">
      <alignment horizontal="center" vertical="center" wrapText="1"/>
    </xf>
    <xf numFmtId="0" fontId="0" fillId="11" borderId="0" xfId="0" applyNumberFormat="1" applyFont="1" applyFill="1" applyBorder="1" applyAlignment="1">
      <alignment horizontal="center" vertical="center" wrapText="1"/>
    </xf>
    <xf numFmtId="0" fontId="0" fillId="11" borderId="0" xfId="0" applyFont="1" applyFill="1" applyBorder="1" applyAlignment="1">
      <alignment horizontal="center" vertical="center"/>
    </xf>
    <xf numFmtId="9" fontId="0" fillId="11" borderId="0" xfId="2" applyFont="1" applyFill="1" applyBorder="1" applyAlignment="1">
      <alignment horizontal="center" vertical="center"/>
    </xf>
    <xf numFmtId="2" fontId="8" fillId="38" borderId="37" xfId="0" applyNumberFormat="1" applyFont="1" applyFill="1" applyBorder="1" applyAlignment="1">
      <alignment horizontal="center"/>
    </xf>
    <xf numFmtId="9" fontId="8" fillId="38" borderId="37" xfId="2" applyFont="1" applyFill="1" applyBorder="1" applyAlignment="1">
      <alignment horizontal="center"/>
    </xf>
    <xf numFmtId="2" fontId="8" fillId="38" borderId="11" xfId="0" applyNumberFormat="1" applyFont="1" applyFill="1" applyBorder="1" applyAlignment="1">
      <alignment horizontal="center"/>
    </xf>
    <xf numFmtId="0" fontId="8" fillId="38" borderId="10" xfId="0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center"/>
    </xf>
    <xf numFmtId="0" fontId="0" fillId="11" borderId="0" xfId="0" applyFont="1" applyFill="1"/>
    <xf numFmtId="0" fontId="0" fillId="11" borderId="0" xfId="0" applyFont="1" applyFill="1" applyAlignment="1"/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52" fillId="18" borderId="11" xfId="7" applyFont="1" applyFill="1" applyBorder="1" applyAlignment="1" applyProtection="1">
      <alignment horizontal="center" vertical="center" wrapText="1"/>
    </xf>
    <xf numFmtId="2" fontId="7" fillId="18" borderId="11" xfId="1" applyNumberFormat="1" applyFont="1" applyFill="1" applyBorder="1" applyAlignment="1">
      <alignment horizontal="center" vertical="center"/>
    </xf>
    <xf numFmtId="2" fontId="0" fillId="14" borderId="11" xfId="1" applyNumberFormat="1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2" fontId="7" fillId="14" borderId="11" xfId="0" applyNumberFormat="1" applyFont="1" applyFill="1" applyBorder="1" applyAlignment="1">
      <alignment horizontal="center" vertical="center"/>
    </xf>
    <xf numFmtId="2" fontId="7" fillId="14" borderId="11" xfId="1" applyNumberFormat="1" applyFont="1" applyFill="1" applyBorder="1" applyAlignment="1">
      <alignment horizontal="center" vertical="center"/>
    </xf>
    <xf numFmtId="0" fontId="0" fillId="5" borderId="11" xfId="0" applyNumberFormat="1" applyFont="1" applyFill="1" applyBorder="1" applyAlignment="1">
      <alignment horizontal="center" vertical="center"/>
    </xf>
    <xf numFmtId="2" fontId="16" fillId="11" borderId="11" xfId="0" applyNumberFormat="1" applyFont="1" applyFill="1" applyBorder="1" applyAlignment="1">
      <alignment horizontal="center"/>
    </xf>
    <xf numFmtId="2" fontId="16" fillId="11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/>
    </xf>
    <xf numFmtId="0" fontId="7" fillId="5" borderId="11" xfId="1" applyNumberFormat="1" applyFont="1" applyFill="1" applyBorder="1" applyAlignment="1">
      <alignment horizontal="center" vertical="center"/>
    </xf>
    <xf numFmtId="2" fontId="0" fillId="14" borderId="11" xfId="1" applyNumberFormat="1" applyFont="1" applyFill="1" applyBorder="1" applyAlignment="1">
      <alignment horizontal="center" vertical="center" wrapText="1"/>
    </xf>
    <xf numFmtId="167" fontId="7" fillId="14" borderId="11" xfId="0" applyNumberFormat="1" applyFont="1" applyFill="1" applyBorder="1" applyAlignment="1">
      <alignment horizontal="center" vertical="center"/>
    </xf>
    <xf numFmtId="169" fontId="7" fillId="38" borderId="37" xfId="0" applyNumberFormat="1" applyFont="1" applyFill="1" applyBorder="1" applyAlignment="1">
      <alignment horizontal="center"/>
    </xf>
    <xf numFmtId="2" fontId="16" fillId="11" borderId="11" xfId="1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/>
    </xf>
    <xf numFmtId="168" fontId="19" fillId="4" borderId="11" xfId="0" applyNumberFormat="1" applyFont="1" applyFill="1" applyBorder="1" applyAlignment="1">
      <alignment horizontal="right"/>
    </xf>
    <xf numFmtId="9" fontId="32" fillId="42" borderId="11" xfId="2" applyFont="1" applyFill="1" applyBorder="1" applyAlignment="1">
      <alignment horizontal="right"/>
    </xf>
    <xf numFmtId="0" fontId="19" fillId="43" borderId="11" xfId="0" applyFont="1" applyFill="1" applyBorder="1" applyAlignment="1">
      <alignment horizontal="center"/>
    </xf>
    <xf numFmtId="14" fontId="19" fillId="43" borderId="11" xfId="0" applyNumberFormat="1" applyFont="1" applyFill="1" applyBorder="1" applyAlignment="1">
      <alignment horizontal="center"/>
    </xf>
    <xf numFmtId="0" fontId="19" fillId="43" borderId="11" xfId="0" applyFont="1" applyFill="1" applyBorder="1" applyAlignment="1">
      <alignment horizontal="left"/>
    </xf>
    <xf numFmtId="168" fontId="19" fillId="43" borderId="11" xfId="0" applyNumberFormat="1" applyFont="1" applyFill="1" applyBorder="1" applyAlignment="1">
      <alignment horizontal="right"/>
    </xf>
    <xf numFmtId="0" fontId="19" fillId="43" borderId="11" xfId="0" applyFont="1" applyFill="1" applyBorder="1" applyAlignment="1">
      <alignment horizontal="right"/>
    </xf>
    <xf numFmtId="9" fontId="32" fillId="44" borderId="11" xfId="2" applyFont="1" applyFill="1" applyBorder="1" applyAlignment="1">
      <alignment horizontal="right"/>
    </xf>
    <xf numFmtId="0" fontId="32" fillId="21" borderId="8" xfId="0" applyFont="1" applyFill="1" applyBorder="1" applyAlignment="1"/>
    <xf numFmtId="0" fontId="32" fillId="21" borderId="11" xfId="0" applyFont="1" applyFill="1" applyBorder="1" applyAlignment="1">
      <alignment horizontal="center"/>
    </xf>
    <xf numFmtId="168" fontId="32" fillId="32" borderId="11" xfId="0" applyNumberFormat="1" applyFont="1" applyFill="1" applyBorder="1" applyAlignment="1">
      <alignment horizontal="right"/>
    </xf>
    <xf numFmtId="0" fontId="53" fillId="29" borderId="11" xfId="0" applyFont="1" applyFill="1" applyBorder="1" applyAlignment="1">
      <alignment horizontal="center" vertical="center"/>
    </xf>
    <xf numFmtId="0" fontId="3" fillId="5" borderId="11" xfId="0" applyFont="1" applyFill="1" applyBorder="1"/>
    <xf numFmtId="0" fontId="16" fillId="5" borderId="0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left" vertical="center" wrapText="1"/>
    </xf>
    <xf numFmtId="2" fontId="16" fillId="5" borderId="0" xfId="1" applyNumberFormat="1" applyFont="1" applyFill="1" applyBorder="1" applyAlignment="1">
      <alignment horizontal="center" vertical="center" wrapText="1"/>
    </xf>
    <xf numFmtId="0" fontId="16" fillId="5" borderId="0" xfId="1" applyNumberFormat="1" applyFont="1" applyFill="1" applyBorder="1" applyAlignment="1">
      <alignment horizontal="center" vertical="center" wrapText="1"/>
    </xf>
    <xf numFmtId="9" fontId="16" fillId="5" borderId="0" xfId="2" applyFont="1" applyFill="1" applyBorder="1" applyAlignment="1">
      <alignment horizontal="center" vertical="center" wrapText="1"/>
    </xf>
    <xf numFmtId="0" fontId="16" fillId="5" borderId="0" xfId="0" applyFont="1" applyFill="1" applyBorder="1"/>
    <xf numFmtId="9" fontId="16" fillId="5" borderId="0" xfId="2" applyFont="1" applyFill="1" applyBorder="1"/>
    <xf numFmtId="0" fontId="7" fillId="24" borderId="37" xfId="0" applyFont="1" applyFill="1" applyBorder="1" applyAlignment="1">
      <alignment horizontal="left" wrapText="1"/>
    </xf>
    <xf numFmtId="0" fontId="7" fillId="24" borderId="11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vertical="center" wrapText="1"/>
    </xf>
    <xf numFmtId="0" fontId="16" fillId="5" borderId="0" xfId="0" applyFont="1" applyFill="1" applyBorder="1" applyAlignment="1">
      <alignment vertical="center" wrapText="1"/>
    </xf>
    <xf numFmtId="0" fontId="7" fillId="5" borderId="0" xfId="0" applyFont="1" applyFill="1" applyBorder="1" applyAlignment="1">
      <alignment vertical="center" wrapText="1"/>
    </xf>
    <xf numFmtId="0" fontId="7" fillId="12" borderId="11" xfId="0" applyFont="1" applyFill="1" applyBorder="1" applyAlignment="1">
      <alignment horizontal="center" wrapText="1"/>
    </xf>
    <xf numFmtId="0" fontId="0" fillId="5" borderId="0" xfId="0" applyFont="1" applyFill="1"/>
    <xf numFmtId="2" fontId="16" fillId="5" borderId="0" xfId="1" applyNumberFormat="1" applyFont="1" applyFill="1" applyBorder="1" applyAlignment="1">
      <alignment horizontal="right" wrapText="1"/>
    </xf>
    <xf numFmtId="166" fontId="16" fillId="5" borderId="0" xfId="1" applyNumberFormat="1" applyFont="1" applyFill="1" applyBorder="1" applyAlignment="1">
      <alignment horizontal="right" wrapText="1"/>
    </xf>
    <xf numFmtId="167" fontId="16" fillId="5" borderId="0" xfId="0" applyNumberFormat="1" applyFont="1" applyFill="1" applyBorder="1" applyAlignment="1">
      <alignment horizontal="right" wrapText="1"/>
    </xf>
    <xf numFmtId="14" fontId="16" fillId="5" borderId="0" xfId="2" applyNumberFormat="1" applyFont="1" applyFill="1" applyBorder="1" applyAlignment="1">
      <alignment horizontal="right" wrapText="1"/>
    </xf>
    <xf numFmtId="168" fontId="16" fillId="5" borderId="0" xfId="0" applyNumberFormat="1" applyFont="1" applyFill="1" applyBorder="1" applyAlignment="1">
      <alignment wrapText="1"/>
    </xf>
    <xf numFmtId="166" fontId="16" fillId="5" borderId="0" xfId="1" applyNumberFormat="1" applyFont="1" applyFill="1" applyBorder="1" applyAlignment="1">
      <alignment wrapText="1"/>
    </xf>
    <xf numFmtId="14" fontId="7" fillId="5" borderId="0" xfId="0" applyNumberFormat="1" applyFont="1" applyFill="1" applyBorder="1" applyAlignment="1">
      <alignment wrapText="1"/>
    </xf>
    <xf numFmtId="0" fontId="0" fillId="5" borderId="0" xfId="0" applyFont="1" applyFill="1" applyAlignment="1"/>
    <xf numFmtId="168" fontId="0" fillId="5" borderId="0" xfId="0" applyNumberFormat="1" applyFont="1" applyFill="1" applyBorder="1"/>
    <xf numFmtId="2" fontId="7" fillId="5" borderId="0" xfId="1" applyNumberFormat="1" applyFont="1" applyFill="1" applyBorder="1" applyAlignment="1">
      <alignment horizontal="right" wrapText="1"/>
    </xf>
    <xf numFmtId="166" fontId="7" fillId="5" borderId="0" xfId="0" applyNumberFormat="1" applyFont="1" applyFill="1" applyBorder="1" applyAlignment="1">
      <alignment horizontal="right" wrapText="1"/>
    </xf>
    <xf numFmtId="0" fontId="0" fillId="5" borderId="0" xfId="0" applyFont="1" applyFill="1" applyBorder="1" applyAlignment="1">
      <alignment horizontal="left"/>
    </xf>
    <xf numFmtId="0" fontId="0" fillId="23" borderId="0" xfId="0" applyNumberFormat="1" applyFont="1" applyFill="1"/>
    <xf numFmtId="2" fontId="0" fillId="5" borderId="0" xfId="0" applyNumberFormat="1" applyFont="1" applyFill="1"/>
    <xf numFmtId="2" fontId="7" fillId="12" borderId="13" xfId="1" applyNumberFormat="1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2" fontId="7" fillId="5" borderId="15" xfId="1" applyNumberFormat="1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2" fontId="7" fillId="5" borderId="14" xfId="1" applyNumberFormat="1" applyFont="1" applyFill="1" applyBorder="1" applyAlignment="1">
      <alignment horizontal="center" vertical="center" wrapText="1"/>
    </xf>
    <xf numFmtId="2" fontId="7" fillId="12" borderId="5" xfId="1" applyNumberFormat="1" applyFont="1" applyFill="1" applyBorder="1" applyAlignment="1">
      <alignment horizontal="center" vertical="center" wrapText="1"/>
    </xf>
    <xf numFmtId="2" fontId="7" fillId="5" borderId="5" xfId="0" applyNumberFormat="1" applyFont="1" applyFill="1" applyBorder="1" applyAlignment="1">
      <alignment horizontal="center" vertical="center" wrapText="1"/>
    </xf>
    <xf numFmtId="2" fontId="7" fillId="5" borderId="9" xfId="1" applyNumberFormat="1" applyFont="1" applyFill="1" applyBorder="1" applyAlignment="1">
      <alignment horizontal="center" vertical="center" wrapText="1"/>
    </xf>
    <xf numFmtId="0" fontId="7" fillId="10" borderId="34" xfId="0" applyNumberFormat="1" applyFont="1" applyFill="1" applyBorder="1" applyAlignment="1">
      <alignment horizontal="center" vertical="center" wrapText="1"/>
    </xf>
    <xf numFmtId="166" fontId="16" fillId="5" borderId="0" xfId="1" applyNumberFormat="1" applyFont="1" applyFill="1" applyBorder="1" applyAlignment="1">
      <alignment horizontal="center" vertical="center" wrapText="1"/>
    </xf>
    <xf numFmtId="2" fontId="7" fillId="5" borderId="13" xfId="1" applyNumberFormat="1" applyFont="1" applyFill="1" applyBorder="1" applyAlignment="1">
      <alignment horizontal="center" vertical="center" wrapText="1"/>
    </xf>
    <xf numFmtId="0" fontId="7" fillId="5" borderId="28" xfId="1" applyNumberFormat="1" applyFont="1" applyFill="1" applyBorder="1" applyAlignment="1">
      <alignment horizontal="center" vertical="center" wrapText="1"/>
    </xf>
    <xf numFmtId="167" fontId="7" fillId="5" borderId="28" xfId="0" applyNumberFormat="1" applyFont="1" applyFill="1" applyBorder="1" applyAlignment="1">
      <alignment horizontal="center" vertical="center" wrapText="1"/>
    </xf>
    <xf numFmtId="2" fontId="7" fillId="5" borderId="5" xfId="1" applyNumberFormat="1" applyFont="1" applyFill="1" applyBorder="1" applyAlignment="1">
      <alignment horizontal="center" vertical="center" wrapText="1"/>
    </xf>
    <xf numFmtId="0" fontId="7" fillId="10" borderId="34" xfId="1" applyNumberFormat="1" applyFont="1" applyFill="1" applyBorder="1" applyAlignment="1">
      <alignment horizontal="center" vertical="center" wrapText="1"/>
    </xf>
    <xf numFmtId="2" fontId="7" fillId="24" borderId="10" xfId="1" applyNumberFormat="1" applyFont="1" applyFill="1" applyBorder="1" applyAlignment="1">
      <alignment horizontal="center" vertical="center" wrapText="1"/>
    </xf>
    <xf numFmtId="2" fontId="7" fillId="5" borderId="10" xfId="1" applyNumberFormat="1" applyFont="1" applyFill="1" applyBorder="1" applyAlignment="1">
      <alignment horizontal="center" vertical="center" wrapText="1"/>
    </xf>
    <xf numFmtId="0" fontId="0" fillId="5" borderId="37" xfId="0" applyNumberFormat="1" applyFont="1" applyFill="1" applyBorder="1" applyAlignment="1">
      <alignment horizontal="center" vertical="center"/>
    </xf>
    <xf numFmtId="2" fontId="7" fillId="5" borderId="37" xfId="1" applyNumberFormat="1" applyFont="1" applyFill="1" applyBorder="1" applyAlignment="1">
      <alignment horizontal="center" vertical="center" wrapText="1"/>
    </xf>
    <xf numFmtId="166" fontId="7" fillId="5" borderId="10" xfId="0" applyNumberFormat="1" applyFont="1" applyFill="1" applyBorder="1" applyAlignment="1">
      <alignment horizontal="center" vertical="center" wrapText="1"/>
    </xf>
    <xf numFmtId="2" fontId="16" fillId="5" borderId="0" xfId="0" applyNumberFormat="1" applyFont="1" applyFill="1" applyBorder="1" applyAlignment="1">
      <alignment horizontal="center" vertical="center" wrapText="1"/>
    </xf>
    <xf numFmtId="14" fontId="16" fillId="5" borderId="0" xfId="0" applyNumberFormat="1" applyFont="1" applyFill="1" applyBorder="1" applyAlignment="1">
      <alignment horizontal="center" vertical="center" wrapText="1"/>
    </xf>
    <xf numFmtId="2" fontId="7" fillId="12" borderId="10" xfId="1" applyNumberFormat="1" applyFont="1" applyFill="1" applyBorder="1" applyAlignment="1">
      <alignment horizontal="center" vertical="center" wrapText="1"/>
    </xf>
    <xf numFmtId="2" fontId="0" fillId="0" borderId="37" xfId="0" applyNumberFormat="1" applyFont="1" applyBorder="1" applyAlignment="1">
      <alignment horizontal="center" vertical="center"/>
    </xf>
    <xf numFmtId="14" fontId="7" fillId="24" borderId="11" xfId="2" applyNumberFormat="1" applyFont="1" applyFill="1" applyBorder="1" applyAlignment="1">
      <alignment horizontal="center" vertical="center" wrapText="1"/>
    </xf>
    <xf numFmtId="169" fontId="7" fillId="12" borderId="11" xfId="0" applyNumberFormat="1" applyFont="1" applyFill="1" applyBorder="1" applyAlignment="1">
      <alignment horizontal="center" vertical="center" wrapText="1"/>
    </xf>
    <xf numFmtId="2" fontId="7" fillId="12" borderId="10" xfId="1" applyNumberFormat="1" applyFont="1" applyFill="1" applyBorder="1" applyAlignment="1">
      <alignment horizontal="center" wrapText="1"/>
    </xf>
    <xf numFmtId="0" fontId="19" fillId="25" borderId="11" xfId="0" applyFont="1" applyFill="1" applyBorder="1" applyAlignment="1">
      <alignment horizontal="center"/>
    </xf>
    <xf numFmtId="0" fontId="7" fillId="25" borderId="11" xfId="0" applyFont="1" applyFill="1" applyBorder="1" applyAlignment="1">
      <alignment horizontal="center" vertical="center"/>
    </xf>
    <xf numFmtId="168" fontId="19" fillId="25" borderId="11" xfId="0" applyNumberFormat="1" applyFont="1" applyFill="1" applyBorder="1"/>
    <xf numFmtId="9" fontId="32" fillId="45" borderId="11" xfId="2" applyFont="1" applyFill="1" applyBorder="1" applyAlignment="1">
      <alignment horizontal="right"/>
    </xf>
    <xf numFmtId="0" fontId="19" fillId="27" borderId="11" xfId="0" applyFont="1" applyFill="1" applyBorder="1" applyAlignment="1">
      <alignment horizontal="center"/>
    </xf>
    <xf numFmtId="0" fontId="7" fillId="27" borderId="11" xfId="0" applyFont="1" applyFill="1" applyBorder="1" applyAlignment="1">
      <alignment horizontal="center" vertical="center"/>
    </xf>
    <xf numFmtId="168" fontId="19" fillId="27" borderId="11" xfId="0" applyNumberFormat="1" applyFont="1" applyFill="1" applyBorder="1"/>
    <xf numFmtId="168" fontId="19" fillId="27" borderId="11" xfId="0" applyNumberFormat="1" applyFont="1" applyFill="1" applyBorder="1" applyAlignment="1">
      <alignment horizontal="right"/>
    </xf>
    <xf numFmtId="9" fontId="32" fillId="46" borderId="11" xfId="2" applyFont="1" applyFill="1" applyBorder="1" applyAlignment="1">
      <alignment horizontal="right"/>
    </xf>
    <xf numFmtId="168" fontId="32" fillId="21" borderId="11" xfId="0" applyNumberFormat="1" applyFont="1" applyFill="1" applyBorder="1" applyAlignment="1"/>
    <xf numFmtId="9" fontId="7" fillId="5" borderId="13" xfId="2" applyFont="1" applyFill="1" applyBorder="1" applyAlignment="1">
      <alignment horizontal="center" vertical="center" wrapText="1"/>
    </xf>
    <xf numFmtId="9" fontId="7" fillId="5" borderId="5" xfId="2" applyFont="1" applyFill="1" applyBorder="1" applyAlignment="1">
      <alignment horizontal="center" vertical="center" wrapText="1"/>
    </xf>
    <xf numFmtId="0" fontId="8" fillId="41" borderId="11" xfId="0" applyFont="1" applyFill="1" applyBorder="1" applyAlignment="1">
      <alignment horizontal="center" vertical="center" wrapText="1"/>
    </xf>
    <xf numFmtId="0" fontId="19" fillId="41" borderId="11" xfId="0" applyFont="1" applyFill="1" applyBorder="1" applyAlignment="1">
      <alignment horizontal="center"/>
    </xf>
    <xf numFmtId="0" fontId="7" fillId="41" borderId="11" xfId="0" applyFont="1" applyFill="1" applyBorder="1" applyAlignment="1">
      <alignment horizontal="center" vertical="center"/>
    </xf>
    <xf numFmtId="168" fontId="19" fillId="41" borderId="11" xfId="0" applyNumberFormat="1" applyFont="1" applyFill="1" applyBorder="1"/>
    <xf numFmtId="168" fontId="19" fillId="41" borderId="11" xfId="0" applyNumberFormat="1" applyFont="1" applyFill="1" applyBorder="1" applyAlignment="1">
      <alignment horizontal="right"/>
    </xf>
    <xf numFmtId="9" fontId="32" fillId="47" borderId="11" xfId="2" applyFont="1" applyFill="1" applyBorder="1" applyAlignment="1">
      <alignment horizontal="right"/>
    </xf>
    <xf numFmtId="0" fontId="19" fillId="12" borderId="11" xfId="0" applyFont="1" applyFill="1" applyBorder="1" applyAlignment="1">
      <alignment horizontal="center"/>
    </xf>
    <xf numFmtId="0" fontId="7" fillId="12" borderId="11" xfId="0" applyFont="1" applyFill="1" applyBorder="1" applyAlignment="1">
      <alignment horizontal="center" vertical="center"/>
    </xf>
    <xf numFmtId="168" fontId="19" fillId="12" borderId="11" xfId="0" applyNumberFormat="1" applyFont="1" applyFill="1" applyBorder="1"/>
    <xf numFmtId="168" fontId="19" fillId="12" borderId="11" xfId="0" applyNumberFormat="1" applyFont="1" applyFill="1" applyBorder="1" applyAlignment="1">
      <alignment horizontal="right"/>
    </xf>
    <xf numFmtId="9" fontId="32" fillId="48" borderId="11" xfId="2" applyFont="1" applyFill="1" applyBorder="1" applyAlignment="1">
      <alignment horizontal="right"/>
    </xf>
    <xf numFmtId="0" fontId="32" fillId="32" borderId="5" xfId="0" applyFont="1" applyFill="1" applyBorder="1" applyAlignment="1">
      <alignment horizontal="center"/>
    </xf>
    <xf numFmtId="0" fontId="32" fillId="32" borderId="9" xfId="0" applyFont="1" applyFill="1" applyBorder="1" applyAlignment="1">
      <alignment horizontal="center"/>
    </xf>
    <xf numFmtId="0" fontId="0" fillId="5" borderId="3" xfId="0" applyFill="1" applyBorder="1" applyAlignment="1"/>
    <xf numFmtId="0" fontId="19" fillId="0" borderId="0" xfId="0" applyFont="1" applyAlignment="1"/>
    <xf numFmtId="0" fontId="0" fillId="18" borderId="3" xfId="0" applyFill="1" applyBorder="1" applyAlignment="1"/>
    <xf numFmtId="0" fontId="0" fillId="18" borderId="39" xfId="0" applyFill="1" applyBorder="1" applyAlignment="1"/>
    <xf numFmtId="0" fontId="0" fillId="14" borderId="0" xfId="0" applyNumberFormat="1" applyFill="1"/>
    <xf numFmtId="167" fontId="8" fillId="41" borderId="11" xfId="0" applyNumberFormat="1" applyFont="1" applyFill="1" applyBorder="1" applyAlignment="1">
      <alignment horizontal="center" vertical="center"/>
    </xf>
    <xf numFmtId="167" fontId="7" fillId="5" borderId="11" xfId="0" applyNumberFormat="1" applyFont="1" applyFill="1" applyBorder="1" applyAlignment="1">
      <alignment horizontal="center" vertical="center"/>
    </xf>
    <xf numFmtId="167" fontId="0" fillId="5" borderId="11" xfId="0" applyNumberFormat="1" applyFill="1" applyBorder="1" applyAlignment="1">
      <alignment horizontal="center"/>
    </xf>
    <xf numFmtId="167" fontId="0" fillId="5" borderId="11" xfId="2" applyNumberFormat="1" applyFont="1" applyFill="1" applyBorder="1" applyAlignment="1">
      <alignment horizontal="center"/>
    </xf>
    <xf numFmtId="167" fontId="8" fillId="29" borderId="11" xfId="0" applyNumberFormat="1" applyFont="1" applyFill="1" applyBorder="1" applyAlignment="1">
      <alignment horizontal="center" vertical="center"/>
    </xf>
    <xf numFmtId="167" fontId="53" fillId="41" borderId="11" xfId="0" applyNumberFormat="1" applyFont="1" applyFill="1" applyBorder="1" applyAlignment="1">
      <alignment horizontal="center" vertical="center"/>
    </xf>
    <xf numFmtId="167" fontId="49" fillId="40" borderId="11" xfId="0" applyNumberFormat="1" applyFont="1" applyFill="1" applyBorder="1" applyAlignment="1">
      <alignment horizontal="center"/>
    </xf>
    <xf numFmtId="167" fontId="0" fillId="5" borderId="11" xfId="0" applyNumberFormat="1" applyFont="1" applyFill="1" applyBorder="1" applyAlignment="1">
      <alignment horizontal="center"/>
    </xf>
    <xf numFmtId="167" fontId="1" fillId="5" borderId="11" xfId="2" applyNumberFormat="1" applyFont="1" applyFill="1" applyBorder="1" applyAlignment="1">
      <alignment horizontal="center"/>
    </xf>
    <xf numFmtId="0" fontId="7" fillId="5" borderId="11" xfId="0" applyFont="1" applyFill="1" applyBorder="1" applyAlignment="1">
      <alignment horizontal="left" vertical="center"/>
    </xf>
    <xf numFmtId="0" fontId="8" fillId="41" borderId="11" xfId="0" applyFont="1" applyFill="1" applyBorder="1" applyAlignment="1">
      <alignment horizontal="left" vertical="center"/>
    </xf>
    <xf numFmtId="0" fontId="8" fillId="29" borderId="10" xfId="0" applyFont="1" applyFill="1" applyBorder="1" applyAlignment="1">
      <alignment horizontal="left" vertical="center"/>
    </xf>
    <xf numFmtId="2" fontId="0" fillId="5" borderId="11" xfId="0" applyNumberFormat="1" applyFont="1" applyFill="1" applyBorder="1" applyAlignment="1">
      <alignment horizontal="center"/>
    </xf>
    <xf numFmtId="9" fontId="1" fillId="5" borderId="11" xfId="2" applyNumberFormat="1" applyFont="1" applyFill="1" applyBorder="1" applyAlignment="1">
      <alignment horizontal="center"/>
    </xf>
    <xf numFmtId="1" fontId="0" fillId="5" borderId="11" xfId="0" applyNumberFormat="1" applyFill="1" applyBorder="1" applyAlignment="1">
      <alignment horizontal="center"/>
    </xf>
    <xf numFmtId="2" fontId="0" fillId="5" borderId="0" xfId="0" applyNumberFormat="1" applyFill="1" applyAlignment="1">
      <alignment horizontal="center"/>
    </xf>
    <xf numFmtId="9" fontId="1" fillId="5" borderId="11" xfId="2" applyFont="1" applyFill="1" applyBorder="1" applyAlignment="1">
      <alignment horizontal="center"/>
    </xf>
    <xf numFmtId="10" fontId="15" fillId="0" borderId="23" xfId="2" applyNumberFormat="1" applyFont="1" applyBorder="1" applyAlignment="1">
      <alignment horizontal="center" vertical="center"/>
    </xf>
    <xf numFmtId="10" fontId="15" fillId="0" borderId="21" xfId="2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0" fontId="15" fillId="0" borderId="26" xfId="2" applyNumberFormat="1" applyFont="1" applyBorder="1" applyAlignment="1">
      <alignment horizontal="center" vertical="center"/>
    </xf>
    <xf numFmtId="10" fontId="15" fillId="0" borderId="27" xfId="2" applyNumberFormat="1" applyFont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10" fontId="15" fillId="5" borderId="12" xfId="0" applyNumberFormat="1" applyFont="1" applyFill="1" applyBorder="1" applyAlignment="1">
      <alignment horizontal="center" vertical="center"/>
    </xf>
    <xf numFmtId="10" fontId="15" fillId="5" borderId="20" xfId="0" applyNumberFormat="1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10" fontId="15" fillId="5" borderId="7" xfId="0" applyNumberFormat="1" applyFont="1" applyFill="1" applyBorder="1" applyAlignment="1">
      <alignment horizontal="center" vertical="center"/>
    </xf>
    <xf numFmtId="0" fontId="29" fillId="23" borderId="10" xfId="0" applyFont="1" applyFill="1" applyBorder="1" applyAlignment="1">
      <alignment horizontal="center" vertical="center"/>
    </xf>
    <xf numFmtId="9" fontId="8" fillId="41" borderId="11" xfId="2" applyNumberFormat="1" applyFont="1" applyFill="1" applyBorder="1" applyAlignment="1">
      <alignment horizontal="center" vertical="center"/>
    </xf>
    <xf numFmtId="9" fontId="0" fillId="5" borderId="11" xfId="2" applyNumberFormat="1" applyFont="1" applyFill="1" applyBorder="1" applyAlignment="1">
      <alignment horizontal="center"/>
    </xf>
    <xf numFmtId="9" fontId="8" fillId="41" borderId="11" xfId="0" applyNumberFormat="1" applyFont="1" applyFill="1" applyBorder="1" applyAlignment="1">
      <alignment horizontal="center" vertical="center"/>
    </xf>
    <xf numFmtId="0" fontId="48" fillId="24" borderId="11" xfId="0" applyFont="1" applyFill="1" applyBorder="1" applyAlignment="1">
      <alignment horizontal="center"/>
    </xf>
    <xf numFmtId="167" fontId="48" fillId="24" borderId="11" xfId="0" applyNumberFormat="1" applyFont="1" applyFill="1" applyBorder="1" applyAlignment="1">
      <alignment horizontal="center"/>
    </xf>
    <xf numFmtId="9" fontId="48" fillId="24" borderId="10" xfId="2" applyFont="1" applyFill="1" applyBorder="1" applyAlignment="1">
      <alignment horizontal="center"/>
    </xf>
    <xf numFmtId="167" fontId="48" fillId="24" borderId="11" xfId="2" applyNumberFormat="1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 vertical="center"/>
    </xf>
    <xf numFmtId="9" fontId="8" fillId="24" borderId="10" xfId="2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2" fontId="8" fillId="24" borderId="11" xfId="0" applyNumberFormat="1" applyFont="1" applyFill="1" applyBorder="1" applyAlignment="1">
      <alignment horizontal="center" vertical="center"/>
    </xf>
    <xf numFmtId="9" fontId="8" fillId="24" borderId="11" xfId="2" applyFont="1" applyFill="1" applyBorder="1" applyAlignment="1">
      <alignment horizontal="center" vertical="center"/>
    </xf>
    <xf numFmtId="1" fontId="8" fillId="24" borderId="10" xfId="0" applyNumberFormat="1" applyFont="1" applyFill="1" applyBorder="1" applyAlignment="1">
      <alignment horizontal="center" vertical="center"/>
    </xf>
    <xf numFmtId="0" fontId="32" fillId="21" borderId="11" xfId="0" applyFont="1" applyFill="1" applyBorder="1" applyAlignment="1"/>
    <xf numFmtId="0" fontId="29" fillId="26" borderId="15" xfId="0" applyFont="1" applyFill="1" applyBorder="1" applyAlignment="1">
      <alignment horizontal="center" vertical="center"/>
    </xf>
    <xf numFmtId="0" fontId="15" fillId="26" borderId="15" xfId="0" applyFont="1" applyFill="1" applyBorder="1" applyAlignment="1">
      <alignment horizontal="center"/>
    </xf>
    <xf numFmtId="14" fontId="15" fillId="26" borderId="15" xfId="0" applyNumberFormat="1" applyFont="1" applyFill="1" applyBorder="1" applyAlignment="1">
      <alignment horizontal="center"/>
    </xf>
    <xf numFmtId="0" fontId="15" fillId="5" borderId="11" xfId="0" applyFont="1" applyFill="1" applyBorder="1"/>
    <xf numFmtId="14" fontId="54" fillId="49" borderId="11" xfId="0" applyNumberFormat="1" applyFont="1" applyFill="1" applyBorder="1" applyAlignment="1">
      <alignment horizontal="center" vertical="top" wrapText="1"/>
    </xf>
    <xf numFmtId="0" fontId="29" fillId="5" borderId="11" xfId="0" applyFont="1" applyFill="1" applyBorder="1" applyAlignment="1">
      <alignment horizontal="center" vertical="center"/>
    </xf>
    <xf numFmtId="0" fontId="4" fillId="22" borderId="29" xfId="0" applyFont="1" applyFill="1" applyBorder="1" applyAlignment="1">
      <alignment horizontal="center"/>
    </xf>
    <xf numFmtId="0" fontId="4" fillId="22" borderId="24" xfId="0" applyFont="1" applyFill="1" applyBorder="1" applyAlignment="1">
      <alignment horizontal="center"/>
    </xf>
    <xf numFmtId="0" fontId="4" fillId="22" borderId="32" xfId="0" applyFont="1" applyFill="1" applyBorder="1" applyAlignment="1">
      <alignment horizontal="center"/>
    </xf>
    <xf numFmtId="0" fontId="4" fillId="22" borderId="0" xfId="0" applyFont="1" applyFill="1" applyBorder="1" applyAlignment="1">
      <alignment horizontal="center"/>
    </xf>
    <xf numFmtId="2" fontId="7" fillId="5" borderId="8" xfId="1" applyNumberFormat="1" applyFont="1" applyFill="1" applyBorder="1" applyAlignment="1">
      <alignment horizontal="center" vertical="center" wrapText="1"/>
    </xf>
    <xf numFmtId="2" fontId="46" fillId="5" borderId="5" xfId="0" applyNumberFormat="1" applyFont="1" applyFill="1" applyBorder="1" applyAlignment="1">
      <alignment horizontal="center" vertical="center" wrapText="1"/>
    </xf>
    <xf numFmtId="167" fontId="7" fillId="5" borderId="11" xfId="0" applyNumberFormat="1" applyFont="1" applyFill="1" applyBorder="1" applyAlignment="1">
      <alignment horizontal="center"/>
    </xf>
    <xf numFmtId="2" fontId="30" fillId="5" borderId="9" xfId="0" applyNumberFormat="1" applyFont="1" applyFill="1" applyBorder="1" applyAlignment="1">
      <alignment horizontal="right" vertical="center" wrapText="1"/>
    </xf>
    <xf numFmtId="0" fontId="55" fillId="24" borderId="11" xfId="0" applyFont="1" applyFill="1" applyBorder="1" applyAlignment="1">
      <alignment horizontal="center"/>
    </xf>
    <xf numFmtId="14" fontId="55" fillId="24" borderId="11" xfId="0" applyNumberFormat="1" applyFont="1" applyFill="1" applyBorder="1" applyAlignment="1">
      <alignment horizontal="center"/>
    </xf>
    <xf numFmtId="0" fontId="46" fillId="24" borderId="11" xfId="0" applyFont="1" applyFill="1" applyBorder="1" applyAlignment="1">
      <alignment horizontal="left"/>
    </xf>
    <xf numFmtId="0" fontId="55" fillId="24" borderId="11" xfId="0" applyFont="1" applyFill="1" applyBorder="1" applyAlignment="1">
      <alignment horizontal="left"/>
    </xf>
    <xf numFmtId="168" fontId="55" fillId="24" borderId="11" xfId="0" applyNumberFormat="1" applyFont="1" applyFill="1" applyBorder="1" applyAlignment="1">
      <alignment horizontal="right"/>
    </xf>
    <xf numFmtId="0" fontId="55" fillId="5" borderId="11" xfId="0" applyFont="1" applyFill="1" applyBorder="1" applyAlignment="1">
      <alignment horizontal="right"/>
    </xf>
    <xf numFmtId="0" fontId="55" fillId="0" borderId="11" xfId="0" applyFont="1" applyBorder="1"/>
    <xf numFmtId="9" fontId="56" fillId="21" borderId="11" xfId="2" applyFont="1" applyFill="1" applyBorder="1" applyAlignment="1">
      <alignment horizontal="right"/>
    </xf>
    <xf numFmtId="0" fontId="0" fillId="50" borderId="0" xfId="0" applyNumberFormat="1" applyFill="1"/>
    <xf numFmtId="0" fontId="0" fillId="0" borderId="11" xfId="0" applyBorder="1" applyAlignment="1">
      <alignment horizontal="left" indent="1"/>
    </xf>
    <xf numFmtId="0" fontId="0" fillId="20" borderId="0" xfId="0" applyNumberFormat="1" applyFill="1"/>
    <xf numFmtId="0" fontId="0" fillId="20" borderId="0" xfId="0" applyFill="1"/>
    <xf numFmtId="0" fontId="19" fillId="28" borderId="11" xfId="0" applyFont="1" applyFill="1" applyBorder="1" applyAlignment="1">
      <alignment horizontal="left" wrapText="1"/>
    </xf>
    <xf numFmtId="0" fontId="15" fillId="28" borderId="11" xfId="0" applyFont="1" applyFill="1" applyBorder="1" applyAlignment="1">
      <alignment horizontal="center" vertical="center"/>
    </xf>
    <xf numFmtId="170" fontId="15" fillId="28" borderId="10" xfId="0" applyNumberFormat="1" applyFont="1" applyFill="1" applyBorder="1" applyAlignment="1">
      <alignment horizontal="right" vertical="center"/>
    </xf>
    <xf numFmtId="167" fontId="46" fillId="5" borderId="11" xfId="0" applyNumberFormat="1" applyFont="1" applyFill="1" applyBorder="1" applyAlignment="1">
      <alignment horizontal="center"/>
    </xf>
    <xf numFmtId="0" fontId="46" fillId="18" borderId="3" xfId="0" applyFont="1" applyFill="1" applyBorder="1" applyAlignment="1"/>
    <xf numFmtId="0" fontId="0" fillId="12" borderId="0" xfId="0" applyNumberFormat="1" applyFont="1" applyFill="1"/>
    <xf numFmtId="0" fontId="0" fillId="0" borderId="0" xfId="0" applyNumberFormat="1"/>
    <xf numFmtId="0" fontId="19" fillId="0" borderId="4" xfId="0" applyFont="1" applyBorder="1"/>
    <xf numFmtId="0" fontId="15" fillId="0" borderId="46" xfId="0" applyFont="1" applyFill="1" applyBorder="1" applyAlignment="1">
      <alignment horizontal="left" vertical="center" wrapText="1"/>
    </xf>
    <xf numFmtId="0" fontId="15" fillId="0" borderId="47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right" vertical="center"/>
    </xf>
    <xf numFmtId="0" fontId="15" fillId="0" borderId="46" xfId="0" applyFont="1" applyFill="1" applyBorder="1" applyAlignment="1">
      <alignment horizontal="right" vertical="center"/>
    </xf>
    <xf numFmtId="164" fontId="15" fillId="0" borderId="47" xfId="0" applyNumberFormat="1" applyFont="1" applyFill="1" applyBorder="1" applyAlignment="1">
      <alignment horizontal="right" vertical="center"/>
    </xf>
    <xf numFmtId="10" fontId="15" fillId="0" borderId="7" xfId="2" applyNumberFormat="1" applyFont="1" applyFill="1" applyBorder="1" applyAlignment="1">
      <alignment horizontal="right" vertical="center"/>
    </xf>
    <xf numFmtId="10" fontId="15" fillId="0" borderId="23" xfId="2" applyNumberFormat="1" applyFont="1" applyFill="1" applyBorder="1" applyAlignment="1">
      <alignment horizontal="right" vertical="center"/>
    </xf>
    <xf numFmtId="10" fontId="15" fillId="0" borderId="49" xfId="2" applyNumberFormat="1" applyFont="1" applyFill="1" applyBorder="1" applyAlignment="1">
      <alignment horizontal="right" vertical="center"/>
    </xf>
    <xf numFmtId="0" fontId="15" fillId="0" borderId="4" xfId="0" applyFont="1" applyFill="1" applyBorder="1" applyAlignment="1">
      <alignment horizontal="center" vertical="center"/>
    </xf>
    <xf numFmtId="0" fontId="22" fillId="18" borderId="30" xfId="0" applyFont="1" applyFill="1" applyBorder="1" applyAlignment="1">
      <alignment horizontal="right" vertical="center"/>
    </xf>
    <xf numFmtId="10" fontId="15" fillId="5" borderId="15" xfId="2" applyNumberFormat="1" applyFont="1" applyFill="1" applyBorder="1" applyAlignment="1">
      <alignment horizontal="right" vertical="center"/>
    </xf>
    <xf numFmtId="1" fontId="15" fillId="19" borderId="30" xfId="0" applyNumberFormat="1" applyFont="1" applyFill="1" applyBorder="1" applyAlignment="1">
      <alignment horizontal="right" vertical="center"/>
    </xf>
    <xf numFmtId="0" fontId="9" fillId="19" borderId="30" xfId="0" applyFont="1" applyFill="1" applyBorder="1" applyAlignment="1">
      <alignment horizontal="right" vertical="center"/>
    </xf>
    <xf numFmtId="0" fontId="15" fillId="19" borderId="55" xfId="0" applyFont="1" applyFill="1" applyBorder="1" applyAlignment="1">
      <alignment horizontal="right" vertical="center"/>
    </xf>
    <xf numFmtId="164" fontId="15" fillId="19" borderId="55" xfId="0" applyNumberFormat="1" applyFont="1" applyFill="1" applyBorder="1" applyAlignment="1">
      <alignment horizontal="right" vertical="center"/>
    </xf>
    <xf numFmtId="10" fontId="15" fillId="19" borderId="57" xfId="2" applyNumberFormat="1" applyFont="1" applyFill="1" applyBorder="1" applyAlignment="1">
      <alignment horizontal="right" vertical="center"/>
    </xf>
    <xf numFmtId="0" fontId="18" fillId="0" borderId="15" xfId="0" applyFont="1" applyFill="1" applyBorder="1" applyAlignment="1"/>
    <xf numFmtId="0" fontId="22" fillId="19" borderId="30" xfId="0" applyFont="1" applyFill="1" applyBorder="1" applyAlignment="1">
      <alignment horizontal="right" vertical="center"/>
    </xf>
    <xf numFmtId="0" fontId="57" fillId="19" borderId="30" xfId="0" applyFont="1" applyFill="1" applyBorder="1" applyAlignment="1">
      <alignment horizontal="right" vertical="center"/>
    </xf>
    <xf numFmtId="0" fontId="22" fillId="19" borderId="55" xfId="0" applyFont="1" applyFill="1" applyBorder="1" applyAlignment="1">
      <alignment horizontal="right" vertical="center"/>
    </xf>
    <xf numFmtId="10" fontId="22" fillId="19" borderId="57" xfId="2" applyNumberFormat="1" applyFont="1" applyFill="1" applyBorder="1" applyAlignment="1">
      <alignment horizontal="right" vertical="center"/>
    </xf>
    <xf numFmtId="0" fontId="22" fillId="18" borderId="31" xfId="0" applyFont="1" applyFill="1" applyBorder="1" applyAlignment="1">
      <alignment horizontal="right" vertical="center"/>
    </xf>
    <xf numFmtId="164" fontId="22" fillId="18" borderId="55" xfId="0" applyNumberFormat="1" applyFont="1" applyFill="1" applyBorder="1" applyAlignment="1">
      <alignment horizontal="right" vertical="center"/>
    </xf>
    <xf numFmtId="0" fontId="22" fillId="18" borderId="55" xfId="0" applyFont="1" applyFill="1" applyBorder="1" applyAlignment="1">
      <alignment horizontal="right" vertical="center"/>
    </xf>
    <xf numFmtId="10" fontId="22" fillId="18" borderId="57" xfId="2" applyNumberFormat="1" applyFont="1" applyFill="1" applyBorder="1" applyAlignment="1">
      <alignment horizontal="right" vertical="center"/>
    </xf>
    <xf numFmtId="0" fontId="22" fillId="18" borderId="52" xfId="0" applyFont="1" applyFill="1" applyBorder="1" applyAlignment="1">
      <alignment horizontal="right" vertical="center"/>
    </xf>
    <xf numFmtId="0" fontId="58" fillId="18" borderId="19" xfId="0" applyFont="1" applyFill="1" applyBorder="1" applyAlignment="1">
      <alignment horizontal="right" vertical="center"/>
    </xf>
    <xf numFmtId="0" fontId="22" fillId="18" borderId="51" xfId="0" applyFont="1" applyFill="1" applyBorder="1" applyAlignment="1">
      <alignment horizontal="right" vertical="center"/>
    </xf>
    <xf numFmtId="0" fontId="22" fillId="18" borderId="19" xfId="0" applyFont="1" applyFill="1" applyBorder="1" applyAlignment="1">
      <alignment horizontal="right" vertical="center"/>
    </xf>
    <xf numFmtId="10" fontId="22" fillId="18" borderId="53" xfId="2" applyNumberFormat="1" applyFont="1" applyFill="1" applyBorder="1" applyAlignment="1">
      <alignment horizontal="right" vertical="center"/>
    </xf>
    <xf numFmtId="2" fontId="19" fillId="0" borderId="15" xfId="0" applyNumberFormat="1" applyFont="1" applyBorder="1"/>
    <xf numFmtId="0" fontId="19" fillId="12" borderId="30" xfId="0" applyFont="1" applyFill="1" applyBorder="1"/>
    <xf numFmtId="10" fontId="19" fillId="12" borderId="30" xfId="2" applyNumberFormat="1" applyFont="1" applyFill="1" applyBorder="1"/>
    <xf numFmtId="0" fontId="17" fillId="12" borderId="11" xfId="0" applyFont="1" applyFill="1" applyBorder="1" applyAlignment="1">
      <alignment vertical="center"/>
    </xf>
    <xf numFmtId="0" fontId="17" fillId="12" borderId="11" xfId="0" applyFont="1" applyFill="1" applyBorder="1" applyAlignment="1">
      <alignment horizontal="left" vertical="center" wrapText="1"/>
    </xf>
    <xf numFmtId="0" fontId="17" fillId="12" borderId="11" xfId="0" applyFont="1" applyFill="1" applyBorder="1" applyAlignment="1">
      <alignment horizontal="center" vertical="center"/>
    </xf>
    <xf numFmtId="0" fontId="17" fillId="12" borderId="11" xfId="0" applyNumberFormat="1" applyFont="1" applyFill="1" applyBorder="1" applyAlignment="1">
      <alignment horizontal="center" vertical="center"/>
    </xf>
    <xf numFmtId="9" fontId="17" fillId="12" borderId="11" xfId="2" applyFont="1" applyFill="1" applyBorder="1" applyAlignment="1">
      <alignment horizontal="center" vertical="center"/>
    </xf>
    <xf numFmtId="169" fontId="17" fillId="12" borderId="11" xfId="2" applyNumberFormat="1" applyFont="1" applyFill="1" applyBorder="1" applyAlignment="1">
      <alignment horizontal="center" vertical="center"/>
    </xf>
    <xf numFmtId="169" fontId="17" fillId="12" borderId="11" xfId="0" applyNumberFormat="1" applyFont="1" applyFill="1" applyBorder="1" applyAlignment="1">
      <alignment horizontal="center" vertical="center"/>
    </xf>
    <xf numFmtId="169" fontId="19" fillId="0" borderId="11" xfId="0" applyNumberFormat="1" applyFont="1" applyBorder="1" applyAlignment="1">
      <alignment horizontal="center"/>
    </xf>
    <xf numFmtId="169" fontId="19" fillId="0" borderId="15" xfId="0" applyNumberFormat="1" applyFont="1" applyBorder="1" applyAlignment="1">
      <alignment horizontal="center"/>
    </xf>
    <xf numFmtId="169" fontId="19" fillId="26" borderId="30" xfId="0" applyNumberFormat="1" applyFont="1" applyFill="1" applyBorder="1" applyAlignment="1">
      <alignment horizontal="center"/>
    </xf>
    <xf numFmtId="169" fontId="19" fillId="0" borderId="9" xfId="0" applyNumberFormat="1" applyFont="1" applyBorder="1" applyAlignment="1">
      <alignment horizontal="center"/>
    </xf>
    <xf numFmtId="169" fontId="19" fillId="24" borderId="30" xfId="0" applyNumberFormat="1" applyFont="1" applyFill="1" applyBorder="1" applyAlignment="1">
      <alignment horizontal="center"/>
    </xf>
    <xf numFmtId="169" fontId="19" fillId="0" borderId="0" xfId="0" applyNumberFormat="1" applyFont="1" applyAlignment="1">
      <alignment horizontal="center"/>
    </xf>
    <xf numFmtId="0" fontId="29" fillId="5" borderId="11" xfId="0" applyFont="1" applyFill="1" applyBorder="1" applyAlignment="1">
      <alignment horizontal="center" vertical="center"/>
    </xf>
    <xf numFmtId="2" fontId="30" fillId="24" borderId="9" xfId="0" applyNumberFormat="1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right" vertical="center"/>
    </xf>
    <xf numFmtId="0" fontId="29" fillId="5" borderId="10" xfId="0" applyFont="1" applyFill="1" applyBorder="1" applyAlignment="1">
      <alignment horizontal="center" vertical="center"/>
    </xf>
    <xf numFmtId="0" fontId="30" fillId="5" borderId="34" xfId="0" applyFont="1" applyFill="1" applyBorder="1" applyAlignment="1">
      <alignment vertical="center"/>
    </xf>
    <xf numFmtId="0" fontId="28" fillId="49" borderId="15" xfId="7" applyFill="1" applyBorder="1" applyAlignment="1" applyProtection="1">
      <alignment vertical="top" wrapText="1"/>
    </xf>
    <xf numFmtId="0" fontId="15" fillId="18" borderId="15" xfId="0" applyFont="1" applyFill="1" applyBorder="1" applyAlignment="1">
      <alignment horizontal="right" vertical="center"/>
    </xf>
    <xf numFmtId="0" fontId="15" fillId="18" borderId="4" xfId="0" applyFont="1" applyFill="1" applyBorder="1" applyAlignment="1">
      <alignment horizontal="right" vertical="center"/>
    </xf>
    <xf numFmtId="0" fontId="15" fillId="28" borderId="0" xfId="0" applyFont="1" applyFill="1"/>
    <xf numFmtId="0" fontId="8" fillId="29" borderId="15" xfId="0" applyFont="1" applyFill="1" applyBorder="1" applyAlignment="1">
      <alignment horizontal="center" vertical="center" wrapText="1"/>
    </xf>
    <xf numFmtId="0" fontId="8" fillId="29" borderId="4" xfId="0" applyFont="1" applyFill="1" applyBorder="1" applyAlignment="1">
      <alignment horizontal="center" vertical="center" wrapText="1"/>
    </xf>
    <xf numFmtId="0" fontId="8" fillId="29" borderId="9" xfId="0" applyFont="1" applyFill="1" applyBorder="1" applyAlignment="1">
      <alignment horizontal="center" vertical="center" wrapText="1"/>
    </xf>
    <xf numFmtId="0" fontId="8" fillId="41" borderId="13" xfId="0" applyFont="1" applyFill="1" applyBorder="1" applyAlignment="1">
      <alignment horizontal="center" vertical="center"/>
    </xf>
    <xf numFmtId="0" fontId="8" fillId="41" borderId="14" xfId="0" applyFont="1" applyFill="1" applyBorder="1" applyAlignment="1">
      <alignment horizontal="center" vertical="center"/>
    </xf>
    <xf numFmtId="0" fontId="8" fillId="41" borderId="28" xfId="0" applyFont="1" applyFill="1" applyBorder="1" applyAlignment="1">
      <alignment horizontal="center" vertical="center"/>
    </xf>
    <xf numFmtId="0" fontId="8" fillId="41" borderId="5" xfId="0" applyFont="1" applyFill="1" applyBorder="1" applyAlignment="1">
      <alignment horizontal="center" vertical="center"/>
    </xf>
    <xf numFmtId="0" fontId="8" fillId="41" borderId="8" xfId="0" applyFont="1" applyFill="1" applyBorder="1" applyAlignment="1">
      <alignment horizontal="center" vertical="center"/>
    </xf>
    <xf numFmtId="0" fontId="8" fillId="41" borderId="34" xfId="0" applyFont="1" applyFill="1" applyBorder="1" applyAlignment="1">
      <alignment horizontal="center" vertical="center"/>
    </xf>
    <xf numFmtId="0" fontId="8" fillId="29" borderId="13" xfId="0" applyFont="1" applyFill="1" applyBorder="1" applyAlignment="1">
      <alignment horizontal="center" vertical="center"/>
    </xf>
    <xf numFmtId="0" fontId="8" fillId="29" borderId="14" xfId="0" applyFont="1" applyFill="1" applyBorder="1" applyAlignment="1">
      <alignment horizontal="center" vertical="center"/>
    </xf>
    <xf numFmtId="0" fontId="8" fillId="29" borderId="5" xfId="0" applyFont="1" applyFill="1" applyBorder="1" applyAlignment="1">
      <alignment horizontal="center" vertical="center"/>
    </xf>
    <xf numFmtId="0" fontId="8" fillId="29" borderId="8" xfId="0" applyFont="1" applyFill="1" applyBorder="1" applyAlignment="1">
      <alignment horizontal="center" vertical="center"/>
    </xf>
    <xf numFmtId="2" fontId="24" fillId="10" borderId="13" xfId="0" applyNumberFormat="1" applyFont="1" applyFill="1" applyBorder="1" applyAlignment="1">
      <alignment horizontal="center" vertical="center"/>
    </xf>
    <xf numFmtId="2" fontId="24" fillId="10" borderId="14" xfId="0" applyNumberFormat="1" applyFont="1" applyFill="1" applyBorder="1" applyAlignment="1">
      <alignment horizontal="center" vertical="center"/>
    </xf>
    <xf numFmtId="2" fontId="24" fillId="10" borderId="28" xfId="0" applyNumberFormat="1" applyFont="1" applyFill="1" applyBorder="1" applyAlignment="1">
      <alignment horizontal="center" vertical="center"/>
    </xf>
    <xf numFmtId="165" fontId="25" fillId="10" borderId="5" xfId="0" applyNumberFormat="1" applyFont="1" applyFill="1" applyBorder="1" applyAlignment="1">
      <alignment horizontal="center" vertical="center"/>
    </xf>
    <xf numFmtId="165" fontId="25" fillId="10" borderId="8" xfId="0" applyNumberFormat="1" applyFont="1" applyFill="1" applyBorder="1" applyAlignment="1">
      <alignment horizontal="center" vertical="center"/>
    </xf>
    <xf numFmtId="165" fontId="25" fillId="10" borderId="34" xfId="0" applyNumberFormat="1" applyFont="1" applyFill="1" applyBorder="1" applyAlignment="1">
      <alignment horizontal="center" vertical="center"/>
    </xf>
    <xf numFmtId="0" fontId="48" fillId="39" borderId="11" xfId="0" applyFont="1" applyFill="1" applyBorder="1" applyAlignment="1">
      <alignment horizontal="center" vertical="center" wrapText="1"/>
    </xf>
    <xf numFmtId="0" fontId="48" fillId="39" borderId="13" xfId="0" applyFont="1" applyFill="1" applyBorder="1" applyAlignment="1">
      <alignment horizontal="center" vertical="center"/>
    </xf>
    <xf numFmtId="0" fontId="48" fillId="39" borderId="14" xfId="0" applyFont="1" applyFill="1" applyBorder="1" applyAlignment="1">
      <alignment horizontal="center" vertical="center"/>
    </xf>
    <xf numFmtId="0" fontId="48" fillId="39" borderId="28" xfId="0" applyFont="1" applyFill="1" applyBorder="1" applyAlignment="1">
      <alignment horizontal="center" vertical="center"/>
    </xf>
    <xf numFmtId="0" fontId="48" fillId="39" borderId="5" xfId="0" applyFont="1" applyFill="1" applyBorder="1" applyAlignment="1">
      <alignment horizontal="center" vertical="center"/>
    </xf>
    <xf numFmtId="0" fontId="48" fillId="39" borderId="8" xfId="0" applyFont="1" applyFill="1" applyBorder="1" applyAlignment="1">
      <alignment horizontal="center" vertical="center"/>
    </xf>
    <xf numFmtId="0" fontId="48" fillId="39" borderId="34" xfId="0" applyFont="1" applyFill="1" applyBorder="1" applyAlignment="1">
      <alignment horizontal="center" vertical="center"/>
    </xf>
    <xf numFmtId="0" fontId="8" fillId="41" borderId="15" xfId="0" applyFont="1" applyFill="1" applyBorder="1" applyAlignment="1">
      <alignment horizontal="center" vertical="center" wrapText="1"/>
    </xf>
    <xf numFmtId="0" fontId="8" fillId="41" borderId="4" xfId="0" applyFont="1" applyFill="1" applyBorder="1" applyAlignment="1">
      <alignment horizontal="center" vertical="center" wrapText="1"/>
    </xf>
    <xf numFmtId="0" fontId="8" fillId="41" borderId="9" xfId="0" applyFont="1" applyFill="1" applyBorder="1" applyAlignment="1">
      <alignment horizontal="center" vertical="center" wrapText="1"/>
    </xf>
    <xf numFmtId="0" fontId="29" fillId="5" borderId="11" xfId="0" applyFont="1" applyFill="1" applyBorder="1" applyAlignment="1">
      <alignment horizontal="center" vertical="center"/>
    </xf>
    <xf numFmtId="0" fontId="22" fillId="19" borderId="54" xfId="0" applyFont="1" applyFill="1" applyBorder="1" applyAlignment="1">
      <alignment horizontal="center" vertical="center" wrapText="1"/>
    </xf>
    <xf numFmtId="0" fontId="22" fillId="19" borderId="55" xfId="0" applyFont="1" applyFill="1" applyBorder="1" applyAlignment="1">
      <alignment horizontal="center" vertical="center" wrapText="1"/>
    </xf>
    <xf numFmtId="0" fontId="22" fillId="18" borderId="54" xfId="0" applyFont="1" applyFill="1" applyBorder="1" applyAlignment="1">
      <alignment horizontal="center" vertical="center" wrapText="1"/>
    </xf>
    <xf numFmtId="0" fontId="22" fillId="18" borderId="55" xfId="0" applyFont="1" applyFill="1" applyBorder="1" applyAlignment="1">
      <alignment horizontal="center" vertical="center" wrapText="1"/>
    </xf>
    <xf numFmtId="0" fontId="22" fillId="18" borderId="56" xfId="0" applyFont="1" applyFill="1" applyBorder="1" applyAlignment="1">
      <alignment horizontal="center" vertical="center" wrapText="1"/>
    </xf>
    <xf numFmtId="0" fontId="22" fillId="18" borderId="50" xfId="0" applyFont="1" applyFill="1" applyBorder="1" applyAlignment="1">
      <alignment horizontal="center" vertical="center" wrapText="1"/>
    </xf>
    <xf numFmtId="0" fontId="22" fillId="18" borderId="51" xfId="0" applyFont="1" applyFill="1" applyBorder="1" applyAlignment="1">
      <alignment horizontal="center" vertical="center" wrapText="1"/>
    </xf>
    <xf numFmtId="0" fontId="22" fillId="18" borderId="33" xfId="0" applyFont="1" applyFill="1" applyBorder="1" applyAlignment="1">
      <alignment horizontal="center" vertical="center" wrapText="1"/>
    </xf>
    <xf numFmtId="0" fontId="29" fillId="23" borderId="11" xfId="0" applyFont="1" applyFill="1" applyBorder="1" applyAlignment="1">
      <alignment horizontal="center" vertical="center"/>
    </xf>
    <xf numFmtId="0" fontId="22" fillId="18" borderId="15" xfId="0" applyFont="1" applyFill="1" applyBorder="1" applyAlignment="1">
      <alignment horizontal="center" vertical="center" textRotation="90" wrapText="1"/>
    </xf>
    <xf numFmtId="0" fontId="22" fillId="18" borderId="4" xfId="0" applyFont="1" applyFill="1" applyBorder="1" applyAlignment="1">
      <alignment horizontal="center" vertical="center" textRotation="90" wrapText="1"/>
    </xf>
    <xf numFmtId="0" fontId="15" fillId="0" borderId="28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22" fillId="18" borderId="22" xfId="0" applyFont="1" applyFill="1" applyBorder="1" applyAlignment="1">
      <alignment horizontal="center" vertical="center" textRotation="90" wrapText="1"/>
    </xf>
    <xf numFmtId="0" fontId="22" fillId="18" borderId="2" xfId="0" applyFont="1" applyFill="1" applyBorder="1" applyAlignment="1">
      <alignment horizontal="center" vertical="center" textRotation="90" wrapText="1"/>
    </xf>
    <xf numFmtId="0" fontId="22" fillId="18" borderId="48" xfId="0" applyFont="1" applyFill="1" applyBorder="1" applyAlignment="1">
      <alignment horizontal="center" vertical="center" textRotation="90" wrapText="1"/>
    </xf>
    <xf numFmtId="0" fontId="15" fillId="5" borderId="11" xfId="0" applyFont="1" applyFill="1" applyBorder="1" applyAlignment="1">
      <alignment horizontal="center" vertical="center"/>
    </xf>
    <xf numFmtId="0" fontId="26" fillId="19" borderId="13" xfId="0" applyNumberFormat="1" applyFont="1" applyFill="1" applyBorder="1" applyAlignment="1">
      <alignment horizontal="center" vertical="center" wrapText="1"/>
    </xf>
    <xf numFmtId="0" fontId="26" fillId="19" borderId="14" xfId="0" applyNumberFormat="1" applyFont="1" applyFill="1" applyBorder="1" applyAlignment="1">
      <alignment horizontal="center" vertical="center" wrapText="1"/>
    </xf>
    <xf numFmtId="0" fontId="26" fillId="19" borderId="28" xfId="0" applyNumberFormat="1" applyFont="1" applyFill="1" applyBorder="1" applyAlignment="1">
      <alignment horizontal="center" vertical="center" wrapText="1"/>
    </xf>
    <xf numFmtId="165" fontId="27" fillId="19" borderId="5" xfId="0" applyNumberFormat="1" applyFont="1" applyFill="1" applyBorder="1" applyAlignment="1">
      <alignment horizontal="center" vertical="center"/>
    </xf>
    <xf numFmtId="165" fontId="27" fillId="19" borderId="8" xfId="0" applyNumberFormat="1" applyFont="1" applyFill="1" applyBorder="1" applyAlignment="1">
      <alignment horizontal="center" vertical="center"/>
    </xf>
    <xf numFmtId="165" fontId="27" fillId="19" borderId="34" xfId="0" applyNumberFormat="1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left" vertical="center" wrapText="1"/>
    </xf>
    <xf numFmtId="0" fontId="15" fillId="5" borderId="9" xfId="0" applyFont="1" applyFill="1" applyBorder="1" applyAlignment="1">
      <alignment horizontal="left" vertical="center" wrapText="1"/>
    </xf>
    <xf numFmtId="0" fontId="15" fillId="5" borderId="37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left" vertical="center" wrapText="1"/>
    </xf>
    <xf numFmtId="0" fontId="15" fillId="5" borderId="38" xfId="0" applyFont="1" applyFill="1" applyBorder="1" applyAlignment="1">
      <alignment horizontal="center" vertical="center"/>
    </xf>
    <xf numFmtId="0" fontId="22" fillId="26" borderId="10" xfId="0" applyFont="1" applyFill="1" applyBorder="1" applyAlignment="1">
      <alignment horizontal="center" vertical="center" textRotation="90"/>
    </xf>
    <xf numFmtId="0" fontId="22" fillId="26" borderId="13" xfId="0" applyFont="1" applyFill="1" applyBorder="1" applyAlignment="1">
      <alignment horizontal="center" vertical="center" textRotation="90"/>
    </xf>
    <xf numFmtId="0" fontId="22" fillId="19" borderId="54" xfId="0" applyFont="1" applyFill="1" applyBorder="1" applyAlignment="1">
      <alignment horizontal="center" vertical="center"/>
    </xf>
    <xf numFmtId="0" fontId="22" fillId="19" borderId="55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22" fillId="26" borderId="3" xfId="0" applyFont="1" applyFill="1" applyBorder="1" applyAlignment="1">
      <alignment horizontal="center" vertical="center" textRotation="90" wrapText="1"/>
    </xf>
    <xf numFmtId="0" fontId="15" fillId="5" borderId="15" xfId="0" applyFont="1" applyFill="1" applyBorder="1" applyAlignment="1">
      <alignment vertical="center" wrapText="1"/>
    </xf>
    <xf numFmtId="0" fontId="15" fillId="5" borderId="4" xfId="0" applyFont="1" applyFill="1" applyBorder="1" applyAlignment="1">
      <alignment vertical="center" wrapText="1"/>
    </xf>
    <xf numFmtId="0" fontId="15" fillId="5" borderId="33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left" wrapText="1"/>
    </xf>
    <xf numFmtId="0" fontId="15" fillId="5" borderId="9" xfId="0" applyFont="1" applyFill="1" applyBorder="1" applyAlignment="1">
      <alignment horizontal="left" wrapText="1"/>
    </xf>
    <xf numFmtId="0" fontId="15" fillId="5" borderId="6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39" xfId="0" applyFont="1" applyFill="1" applyBorder="1" applyAlignment="1">
      <alignment horizontal="left" vertical="center" wrapText="1"/>
    </xf>
    <xf numFmtId="0" fontId="15" fillId="0" borderId="17" xfId="0" applyFont="1" applyBorder="1" applyAlignment="1">
      <alignment horizontal="center" vertical="center"/>
    </xf>
    <xf numFmtId="166" fontId="7" fillId="0" borderId="11" xfId="2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9" fontId="7" fillId="0" borderId="11" xfId="2" applyFont="1" applyFill="1" applyBorder="1" applyAlignment="1">
      <alignment horizontal="center" vertical="center" wrapText="1"/>
    </xf>
    <xf numFmtId="0" fontId="0" fillId="12" borderId="9" xfId="0" applyFont="1" applyFill="1" applyBorder="1" applyAlignment="1">
      <alignment vertical="center"/>
    </xf>
    <xf numFmtId="1" fontId="7" fillId="5" borderId="11" xfId="0" applyNumberFormat="1" applyFont="1" applyFill="1" applyBorder="1" applyAlignment="1">
      <alignment horizontal="center" vertical="center" wrapText="1"/>
    </xf>
    <xf numFmtId="2" fontId="7" fillId="0" borderId="11" xfId="2" applyNumberFormat="1" applyFont="1" applyFill="1" applyBorder="1" applyAlignment="1">
      <alignment horizontal="center" vertical="center" wrapText="1"/>
    </xf>
    <xf numFmtId="164" fontId="7" fillId="5" borderId="11" xfId="0" applyNumberFormat="1" applyFont="1" applyFill="1" applyBorder="1" applyAlignment="1">
      <alignment horizontal="center" vertical="center"/>
    </xf>
    <xf numFmtId="0" fontId="7" fillId="0" borderId="11" xfId="2" applyNumberFormat="1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left" vertical="center" wrapText="1"/>
    </xf>
    <xf numFmtId="0" fontId="7" fillId="12" borderId="9" xfId="0" applyFont="1" applyFill="1" applyBorder="1" applyAlignment="1">
      <alignment horizontal="left" vertical="center" wrapText="1"/>
    </xf>
    <xf numFmtId="0" fontId="20" fillId="18" borderId="13" xfId="0" applyFont="1" applyFill="1" applyBorder="1" applyAlignment="1">
      <alignment horizontal="center" vertical="center" wrapText="1"/>
    </xf>
    <xf numFmtId="0" fontId="20" fillId="18" borderId="14" xfId="0" applyFont="1" applyFill="1" applyBorder="1" applyAlignment="1">
      <alignment horizontal="center" vertical="center" wrapText="1"/>
    </xf>
    <xf numFmtId="0" fontId="20" fillId="18" borderId="28" xfId="0" applyFont="1" applyFill="1" applyBorder="1" applyAlignment="1">
      <alignment horizontal="center" vertical="center" wrapText="1"/>
    </xf>
    <xf numFmtId="0" fontId="7" fillId="18" borderId="15" xfId="0" applyFont="1" applyFill="1" applyBorder="1" applyAlignment="1">
      <alignment horizontal="center" vertical="center" wrapText="1"/>
    </xf>
    <xf numFmtId="0" fontId="7" fillId="18" borderId="9" xfId="0" applyFont="1" applyFill="1" applyBorder="1" applyAlignment="1">
      <alignment horizontal="center" vertical="center" wrapText="1"/>
    </xf>
    <xf numFmtId="0" fontId="7" fillId="18" borderId="15" xfId="0" applyFont="1" applyFill="1" applyBorder="1" applyAlignment="1">
      <alignment horizontal="center" wrapText="1"/>
    </xf>
    <xf numFmtId="0" fontId="7" fillId="18" borderId="9" xfId="0" applyFont="1" applyFill="1" applyBorder="1" applyAlignment="1">
      <alignment horizontal="center" wrapText="1"/>
    </xf>
    <xf numFmtId="2" fontId="0" fillId="14" borderId="11" xfId="2" applyNumberFormat="1" applyFont="1" applyFill="1" applyBorder="1" applyAlignment="1">
      <alignment horizontal="center" vertical="center" wrapText="1"/>
    </xf>
    <xf numFmtId="0" fontId="0" fillId="14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 vertical="center"/>
    </xf>
    <xf numFmtId="0" fontId="0" fillId="14" borderId="11" xfId="0" applyFont="1" applyFill="1" applyBorder="1" applyAlignment="1">
      <alignment horizontal="center" vertical="center"/>
    </xf>
    <xf numFmtId="9" fontId="0" fillId="14" borderId="11" xfId="2" applyFont="1" applyFill="1" applyBorder="1" applyAlignment="1">
      <alignment horizontal="center" vertical="center"/>
    </xf>
    <xf numFmtId="165" fontId="8" fillId="18" borderId="5" xfId="0" applyNumberFormat="1" applyFont="1" applyFill="1" applyBorder="1" applyAlignment="1">
      <alignment horizontal="center" vertical="center" wrapText="1"/>
    </xf>
    <xf numFmtId="165" fontId="8" fillId="18" borderId="8" xfId="0" applyNumberFormat="1" applyFont="1" applyFill="1" applyBorder="1" applyAlignment="1">
      <alignment horizontal="center" vertical="center" wrapText="1"/>
    </xf>
    <xf numFmtId="165" fontId="8" fillId="18" borderId="27" xfId="0" applyNumberFormat="1" applyFont="1" applyFill="1" applyBorder="1" applyAlignment="1">
      <alignment horizontal="center" vertical="center" wrapText="1"/>
    </xf>
    <xf numFmtId="165" fontId="8" fillId="18" borderId="43" xfId="0" applyNumberFormat="1" applyFont="1" applyFill="1" applyBorder="1" applyAlignment="1">
      <alignment horizontal="center" vertical="center" wrapText="1"/>
    </xf>
    <xf numFmtId="165" fontId="8" fillId="18" borderId="34" xfId="0" applyNumberFormat="1" applyFont="1" applyFill="1" applyBorder="1" applyAlignment="1">
      <alignment horizontal="center" vertical="center" wrapText="1"/>
    </xf>
    <xf numFmtId="0" fontId="32" fillId="32" borderId="11" xfId="0" applyFont="1" applyFill="1" applyBorder="1" applyAlignment="1">
      <alignment horizontal="center"/>
    </xf>
    <xf numFmtId="0" fontId="32" fillId="20" borderId="10" xfId="0" applyFont="1" applyFill="1" applyBorder="1" applyAlignment="1">
      <alignment horizontal="center"/>
    </xf>
    <xf numFmtId="0" fontId="32" fillId="20" borderId="37" xfId="0" applyFont="1" applyFill="1" applyBorder="1" applyAlignment="1">
      <alignment horizontal="center"/>
    </xf>
    <xf numFmtId="0" fontId="0" fillId="18" borderId="3" xfId="0" applyFill="1" applyBorder="1" applyAlignment="1"/>
    <xf numFmtId="0" fontId="0" fillId="18" borderId="39" xfId="0" applyFill="1" applyBorder="1" applyAlignment="1"/>
    <xf numFmtId="2" fontId="0" fillId="27" borderId="11" xfId="0" applyNumberFormat="1" applyFill="1" applyBorder="1" applyAlignment="1">
      <alignment horizontal="center"/>
    </xf>
    <xf numFmtId="0" fontId="7" fillId="12" borderId="11" xfId="0" applyFont="1" applyFill="1" applyBorder="1" applyAlignment="1">
      <alignment horizontal="center" vertical="center"/>
    </xf>
    <xf numFmtId="2" fontId="0" fillId="12" borderId="11" xfId="0" applyNumberFormat="1" applyFill="1" applyBorder="1" applyAlignment="1">
      <alignment horizontal="center"/>
    </xf>
    <xf numFmtId="0" fontId="7" fillId="25" borderId="11" xfId="0" applyFont="1" applyFill="1" applyBorder="1" applyAlignment="1">
      <alignment horizontal="center" vertical="center"/>
    </xf>
    <xf numFmtId="2" fontId="0" fillId="25" borderId="11" xfId="0" applyNumberFormat="1" applyFill="1" applyBorder="1" applyAlignment="1">
      <alignment horizontal="center"/>
    </xf>
    <xf numFmtId="0" fontId="23" fillId="21" borderId="13" xfId="0" applyFont="1" applyFill="1" applyBorder="1" applyAlignment="1">
      <alignment horizontal="center" vertical="center"/>
    </xf>
    <xf numFmtId="0" fontId="23" fillId="21" borderId="14" xfId="0" applyFont="1" applyFill="1" applyBorder="1" applyAlignment="1">
      <alignment horizontal="center" vertical="center"/>
    </xf>
    <xf numFmtId="0" fontId="23" fillId="21" borderId="28" xfId="0" applyFont="1" applyFill="1" applyBorder="1" applyAlignment="1">
      <alignment horizontal="center" vertical="center"/>
    </xf>
    <xf numFmtId="0" fontId="7" fillId="41" borderId="11" xfId="0" applyFont="1" applyFill="1" applyBorder="1" applyAlignment="1">
      <alignment horizontal="center" vertical="center"/>
    </xf>
    <xf numFmtId="0" fontId="7" fillId="27" borderId="11" xfId="0" applyFont="1" applyFill="1" applyBorder="1" applyAlignment="1">
      <alignment horizontal="center" vertical="center"/>
    </xf>
    <xf numFmtId="2" fontId="0" fillId="41" borderId="11" xfId="0" applyNumberFormat="1" applyFill="1" applyBorder="1" applyAlignment="1">
      <alignment horizontal="center"/>
    </xf>
    <xf numFmtId="0" fontId="32" fillId="21" borderId="10" xfId="0" applyFont="1" applyFill="1" applyBorder="1" applyAlignment="1">
      <alignment horizontal="center"/>
    </xf>
    <xf numFmtId="0" fontId="32" fillId="21" borderId="37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21" borderId="10" xfId="0" applyFont="1" applyFill="1" applyBorder="1" applyAlignment="1">
      <alignment horizontal="center"/>
    </xf>
    <xf numFmtId="0" fontId="3" fillId="21" borderId="35" xfId="0" applyFont="1" applyFill="1" applyBorder="1" applyAlignment="1">
      <alignment horizontal="center"/>
    </xf>
    <xf numFmtId="0" fontId="3" fillId="21" borderId="37" xfId="0" applyFont="1" applyFill="1" applyBorder="1" applyAlignment="1">
      <alignment horizontal="center"/>
    </xf>
    <xf numFmtId="0" fontId="4" fillId="22" borderId="0" xfId="0" applyFont="1" applyFill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 textRotation="90"/>
    </xf>
    <xf numFmtId="0" fontId="23" fillId="26" borderId="13" xfId="0" applyFont="1" applyFill="1" applyBorder="1" applyAlignment="1">
      <alignment horizontal="center" vertical="center" textRotation="90"/>
    </xf>
    <xf numFmtId="0" fontId="22" fillId="5" borderId="0" xfId="0" applyFont="1" applyFill="1" applyBorder="1" applyAlignment="1">
      <alignment horizontal="center" vertical="center" wrapText="1"/>
    </xf>
    <xf numFmtId="0" fontId="51" fillId="9" borderId="0" xfId="0" applyNumberFormat="1" applyFont="1" applyFill="1" applyBorder="1" applyAlignment="1">
      <alignment horizontal="center" vertical="center" wrapText="1"/>
    </xf>
    <xf numFmtId="0" fontId="51" fillId="9" borderId="39" xfId="0" applyNumberFormat="1" applyFont="1" applyFill="1" applyBorder="1" applyAlignment="1">
      <alignment horizontal="center" vertical="center" wrapText="1"/>
    </xf>
    <xf numFmtId="0" fontId="22" fillId="18" borderId="9" xfId="0" applyFont="1" applyFill="1" applyBorder="1" applyAlignment="1">
      <alignment horizontal="center" vertical="center" textRotation="90" wrapText="1"/>
    </xf>
    <xf numFmtId="0" fontId="7" fillId="51" borderId="11" xfId="0" applyFont="1" applyFill="1" applyBorder="1" applyAlignment="1">
      <alignment horizontal="center" vertical="center" wrapText="1"/>
    </xf>
    <xf numFmtId="165" fontId="4" fillId="9" borderId="0" xfId="0" applyNumberFormat="1" applyFont="1" applyFill="1" applyBorder="1" applyAlignment="1">
      <alignment horizontal="center" vertical="center" wrapText="1"/>
    </xf>
    <xf numFmtId="165" fontId="4" fillId="9" borderId="39" xfId="0" applyNumberFormat="1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8" borderId="11" xfId="0" applyNumberFormat="1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wrapText="1"/>
    </xf>
    <xf numFmtId="0" fontId="7" fillId="12" borderId="15" xfId="0" applyFont="1" applyFill="1" applyBorder="1" applyAlignment="1">
      <alignment horizontal="center" vertical="center" wrapText="1"/>
    </xf>
    <xf numFmtId="167" fontId="46" fillId="5" borderId="34" xfId="0" applyNumberFormat="1" applyFont="1" applyFill="1" applyBorder="1" applyAlignment="1">
      <alignment horizontal="center" vertical="center" wrapText="1"/>
    </xf>
    <xf numFmtId="2" fontId="7" fillId="51" borderId="11" xfId="0" applyNumberFormat="1" applyFont="1" applyFill="1" applyBorder="1" applyAlignment="1">
      <alignment horizontal="center" vertical="center" wrapText="1"/>
    </xf>
    <xf numFmtId="9" fontId="7" fillId="51" borderId="11" xfId="2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24" borderId="45" xfId="0" applyFont="1" applyFill="1" applyBorder="1" applyAlignment="1">
      <alignment horizontal="center" wrapText="1"/>
    </xf>
    <xf numFmtId="0" fontId="7" fillId="12" borderId="9" xfId="0" applyFont="1" applyFill="1" applyBorder="1" applyAlignment="1">
      <alignment horizontal="center" vertical="center" wrapText="1"/>
    </xf>
    <xf numFmtId="168" fontId="7" fillId="51" borderId="11" xfId="0" applyNumberFormat="1" applyFont="1" applyFill="1" applyBorder="1" applyAlignment="1">
      <alignment horizontal="center" vertical="center" wrapText="1"/>
    </xf>
    <xf numFmtId="0" fontId="0" fillId="21" borderId="0" xfId="0" applyFont="1" applyFill="1" applyBorder="1"/>
    <xf numFmtId="0" fontId="0" fillId="21" borderId="0" xfId="0" applyFont="1" applyFill="1" applyBorder="1" applyAlignment="1">
      <alignment horizontal="left"/>
    </xf>
    <xf numFmtId="0" fontId="0" fillId="21" borderId="0" xfId="0" applyNumberFormat="1" applyFont="1" applyFill="1" applyBorder="1" applyAlignment="1">
      <alignment horizontal="center"/>
    </xf>
    <xf numFmtId="0" fontId="7" fillId="9" borderId="15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9" borderId="37" xfId="0" applyFont="1" applyFill="1" applyBorder="1" applyAlignment="1">
      <alignment horizontal="center" vertical="center" wrapText="1"/>
    </xf>
    <xf numFmtId="14" fontId="4" fillId="9" borderId="11" xfId="0" applyNumberFormat="1" applyFont="1" applyFill="1" applyBorder="1" applyAlignment="1">
      <alignment horizontal="center" vertical="center" wrapText="1"/>
    </xf>
  </cellXfs>
  <cellStyles count="9">
    <cellStyle name="Buena" xfId="3" builtinId="26"/>
    <cellStyle name="Hipervínculo" xfId="7" builtinId="8"/>
    <cellStyle name="Millares" xfId="1" builtinId="3"/>
    <cellStyle name="Normal" xfId="0" builtinId="0"/>
    <cellStyle name="Normal 3" xfId="4"/>
    <cellStyle name="Normal 4" xfId="5"/>
    <cellStyle name="Normal 7" xfId="6"/>
    <cellStyle name="Porcentual" xfId="2" builtinId="5"/>
    <cellStyle name="Porcentual 2" xfId="8"/>
  </cellStyles>
  <dxfs count="1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25FF88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3204</xdr:colOff>
      <xdr:row>1</xdr:row>
      <xdr:rowOff>23392</xdr:rowOff>
    </xdr:from>
    <xdr:to>
      <xdr:col>2</xdr:col>
      <xdr:colOff>1393902</xdr:colOff>
      <xdr:row>2</xdr:row>
      <xdr:rowOff>259234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6273" y="667151"/>
          <a:ext cx="1390698" cy="459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3</xdr:col>
      <xdr:colOff>169488</xdr:colOff>
      <xdr:row>2</xdr:row>
      <xdr:rowOff>172720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" y="193040"/>
          <a:ext cx="1393902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41140</xdr:colOff>
      <xdr:row>0</xdr:row>
      <xdr:rowOff>1</xdr:rowOff>
    </xdr:from>
    <xdr:to>
      <xdr:col>2</xdr:col>
      <xdr:colOff>766119</xdr:colOff>
      <xdr:row>1</xdr:row>
      <xdr:rowOff>226542</xdr:rowOff>
    </xdr:to>
    <xdr:pic>
      <xdr:nvPicPr>
        <xdr:cNvPr id="3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032" y="1"/>
          <a:ext cx="1466384" cy="4118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738555</xdr:colOff>
      <xdr:row>1</xdr:row>
      <xdr:rowOff>34295</xdr:rowOff>
    </xdr:from>
    <xdr:to>
      <xdr:col>2</xdr:col>
      <xdr:colOff>1109004</xdr:colOff>
      <xdr:row>2</xdr:row>
      <xdr:rowOff>153968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8555" y="219910"/>
          <a:ext cx="1107830" cy="344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121920</xdr:colOff>
      <xdr:row>1</xdr:row>
      <xdr:rowOff>40640</xdr:rowOff>
    </xdr:from>
    <xdr:to>
      <xdr:col>1</xdr:col>
      <xdr:colOff>1515822</xdr:colOff>
      <xdr:row>1</xdr:row>
      <xdr:rowOff>401131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8800" y="193040"/>
          <a:ext cx="1393902" cy="360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22860</xdr:rowOff>
    </xdr:from>
    <xdr:to>
      <xdr:col>1</xdr:col>
      <xdr:colOff>419100</xdr:colOff>
      <xdr:row>0</xdr:row>
      <xdr:rowOff>286267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2860"/>
          <a:ext cx="838200" cy="263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ubpesca.cl/portal/615/w3-article-104845.html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249977111117893"/>
  </sheetPr>
  <dimension ref="A1:V568"/>
  <sheetViews>
    <sheetView zoomScale="58" zoomScaleNormal="58" workbookViewId="0">
      <selection activeCell="C30" sqref="C30:C39"/>
    </sheetView>
  </sheetViews>
  <sheetFormatPr baseColWidth="10" defaultRowHeight="14.4"/>
  <cols>
    <col min="1" max="1" width="7" style="316" customWidth="1"/>
    <col min="2" max="2" width="11.6640625" style="346" customWidth="1"/>
    <col min="3" max="3" width="28.44140625" style="346" customWidth="1"/>
    <col min="4" max="4" width="45.109375" customWidth="1"/>
    <col min="5" max="5" width="19.33203125" customWidth="1"/>
    <col min="6" max="6" width="18.6640625" customWidth="1"/>
    <col min="7" max="7" width="16.33203125" customWidth="1"/>
    <col min="8" max="8" width="16" customWidth="1"/>
    <col min="9" max="9" width="15.5546875" customWidth="1"/>
    <col min="10" max="10" width="13.88671875" customWidth="1"/>
    <col min="11" max="11" width="11.5546875" customWidth="1"/>
    <col min="12" max="22" width="11.44140625" style="19"/>
  </cols>
  <sheetData>
    <row r="1" spans="1:22" s="18" customFormat="1" ht="20.25" customHeight="1">
      <c r="A1" s="315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s="19" customFormat="1" ht="18">
      <c r="A2" s="316"/>
      <c r="C2" s="676" t="s">
        <v>94</v>
      </c>
      <c r="D2" s="677"/>
      <c r="E2" s="677"/>
      <c r="F2" s="677"/>
      <c r="G2" s="677"/>
      <c r="H2" s="677"/>
      <c r="I2" s="677"/>
      <c r="J2" s="677"/>
      <c r="K2" s="678"/>
    </row>
    <row r="3" spans="1:22" s="19" customFormat="1" ht="21.6" customHeight="1">
      <c r="A3" s="316"/>
      <c r="C3" s="679">
        <v>43740</v>
      </c>
      <c r="D3" s="680"/>
      <c r="E3" s="680"/>
      <c r="F3" s="680"/>
      <c r="G3" s="680"/>
      <c r="H3" s="680"/>
      <c r="I3" s="680"/>
      <c r="J3" s="680"/>
      <c r="K3" s="681"/>
    </row>
    <row r="4" spans="1:22" s="19" customFormat="1" ht="16.2" customHeight="1">
      <c r="A4" s="316"/>
      <c r="F4" s="20"/>
    </row>
    <row r="5" spans="1:22" s="19" customFormat="1">
      <c r="A5" s="316"/>
      <c r="C5" s="683" t="s">
        <v>239</v>
      </c>
      <c r="D5" s="684"/>
      <c r="E5" s="684"/>
      <c r="F5" s="684"/>
      <c r="G5" s="684"/>
      <c r="H5" s="684"/>
      <c r="I5" s="684"/>
      <c r="J5" s="684"/>
      <c r="K5" s="685"/>
    </row>
    <row r="6" spans="1:22" s="19" customFormat="1">
      <c r="A6" s="316"/>
      <c r="C6" s="686"/>
      <c r="D6" s="687"/>
      <c r="E6" s="687"/>
      <c r="F6" s="687"/>
      <c r="G6" s="687"/>
      <c r="H6" s="687"/>
      <c r="I6" s="687"/>
      <c r="J6" s="687"/>
      <c r="K6" s="688"/>
    </row>
    <row r="7" spans="1:22" s="19" customFormat="1" ht="18.600000000000001" customHeight="1">
      <c r="A7" s="316"/>
    </row>
    <row r="8" spans="1:22" s="19" customFormat="1" ht="28.8" customHeight="1">
      <c r="A8" s="316"/>
      <c r="C8" s="357" t="s">
        <v>309</v>
      </c>
      <c r="D8" s="358" t="s">
        <v>242</v>
      </c>
      <c r="E8" s="381" t="s">
        <v>232</v>
      </c>
      <c r="F8" s="381" t="s">
        <v>27</v>
      </c>
      <c r="G8" s="381" t="s">
        <v>5</v>
      </c>
      <c r="H8" s="381" t="s">
        <v>28</v>
      </c>
      <c r="I8" s="381" t="s">
        <v>29</v>
      </c>
      <c r="J8" s="381" t="s">
        <v>233</v>
      </c>
      <c r="K8" s="381" t="s">
        <v>31</v>
      </c>
    </row>
    <row r="9" spans="1:22" s="19" customFormat="1">
      <c r="A9" s="316"/>
      <c r="C9" s="682" t="s">
        <v>234</v>
      </c>
      <c r="D9" s="563" t="s">
        <v>244</v>
      </c>
      <c r="E9" s="564">
        <f>+E24+E23+E18+E13+E12+E10</f>
        <v>754359.99800000002</v>
      </c>
      <c r="F9" s="564">
        <f>+F24+F23+F18+F13+F12+F10</f>
        <v>-44252.263999999996</v>
      </c>
      <c r="G9" s="564">
        <f>+E9+F9</f>
        <v>710107.73400000005</v>
      </c>
      <c r="H9" s="564">
        <f>+H24+H23+H18+H13+H12+H10</f>
        <v>448789.58299999981</v>
      </c>
      <c r="I9" s="564">
        <f>+I24+I23+I18+I13+I12+I10</f>
        <v>262425.96000000031</v>
      </c>
      <c r="J9" s="565">
        <f>+H9/G9</f>
        <v>0.63200210547206881</v>
      </c>
      <c r="K9" s="566"/>
    </row>
    <row r="10" spans="1:22" s="347" customFormat="1" ht="17.399999999999999" customHeight="1">
      <c r="A10" s="316"/>
      <c r="C10" s="682"/>
      <c r="D10" s="537" t="s">
        <v>237</v>
      </c>
      <c r="E10" s="534">
        <v>200</v>
      </c>
      <c r="F10" s="535">
        <v>0</v>
      </c>
      <c r="G10" s="535">
        <f>+E10+F10</f>
        <v>200</v>
      </c>
      <c r="H10" s="535">
        <v>0</v>
      </c>
      <c r="I10" s="535">
        <f>+G10-H10</f>
        <v>200</v>
      </c>
      <c r="J10" s="536">
        <f>H10/G10</f>
        <v>0</v>
      </c>
      <c r="K10" s="360"/>
    </row>
    <row r="11" spans="1:22" s="347" customFormat="1">
      <c r="A11" s="316"/>
      <c r="C11" s="682"/>
      <c r="D11" s="537" t="s">
        <v>235</v>
      </c>
      <c r="E11" s="534">
        <v>0</v>
      </c>
      <c r="F11" s="535">
        <v>0</v>
      </c>
      <c r="G11" s="535">
        <f t="shared" ref="G11" si="0">+E11+F11</f>
        <v>0</v>
      </c>
      <c r="H11" s="535">
        <v>0</v>
      </c>
      <c r="I11" s="535">
        <f t="shared" ref="I11:I12" si="1">+G11-H11</f>
        <v>0</v>
      </c>
      <c r="J11" s="536">
        <v>0</v>
      </c>
      <c r="K11" s="360"/>
    </row>
    <row r="12" spans="1:22" s="347" customFormat="1">
      <c r="A12" s="316"/>
      <c r="C12" s="682"/>
      <c r="D12" s="537" t="s">
        <v>236</v>
      </c>
      <c r="E12" s="534">
        <v>7494</v>
      </c>
      <c r="F12" s="585">
        <v>-7494</v>
      </c>
      <c r="G12" s="535">
        <f>+E12+F12</f>
        <v>0</v>
      </c>
      <c r="H12" s="535">
        <v>0</v>
      </c>
      <c r="I12" s="535">
        <f t="shared" si="1"/>
        <v>0</v>
      </c>
      <c r="J12" s="536">
        <v>0</v>
      </c>
      <c r="K12" s="360"/>
    </row>
    <row r="13" spans="1:22" s="347" customFormat="1">
      <c r="A13" s="316"/>
      <c r="C13" s="682"/>
      <c r="D13" s="538" t="s">
        <v>291</v>
      </c>
      <c r="E13" s="528">
        <f>SUM(E14:E17)</f>
        <v>112456</v>
      </c>
      <c r="F13" s="528">
        <f>SUM(F14:F17)</f>
        <v>38898.47</v>
      </c>
      <c r="G13" s="528">
        <f>+E13+F13</f>
        <v>151354.47</v>
      </c>
      <c r="H13" s="528">
        <f>+H14+H15+H16+H17</f>
        <v>125297.406</v>
      </c>
      <c r="I13" s="528">
        <f>+G13-H13</f>
        <v>26057.063999999998</v>
      </c>
      <c r="J13" s="368">
        <f>H13/G13</f>
        <v>0.82784080311602293</v>
      </c>
      <c r="K13" s="369"/>
    </row>
    <row r="14" spans="1:22" s="347" customFormat="1">
      <c r="A14" s="316"/>
      <c r="C14" s="682"/>
      <c r="D14" s="356" t="s">
        <v>283</v>
      </c>
      <c r="E14" s="529">
        <f>'Anchoveta Artesanal'!F7</f>
        <v>80927</v>
      </c>
      <c r="F14" s="586">
        <f>+'Anchoveta Artesanal'!N5</f>
        <v>7494</v>
      </c>
      <c r="G14" s="530">
        <f>+'Anchoveta Artesanal'!O5</f>
        <v>88421</v>
      </c>
      <c r="H14" s="530">
        <f>+'Anchoveta Artesanal'!P5</f>
        <v>81305.34600000002</v>
      </c>
      <c r="I14" s="586">
        <f>+'Anchoveta Artesanal'!Q5</f>
        <v>7115.6539999999804</v>
      </c>
      <c r="J14" s="379">
        <f t="shared" ref="J14:J24" si="2">H14/G14</f>
        <v>0.91952529376505598</v>
      </c>
      <c r="K14" s="370" t="str">
        <f>+'Anchoveta Artesanal'!L5</f>
        <v>-</v>
      </c>
    </row>
    <row r="15" spans="1:22" s="347" customFormat="1">
      <c r="A15" s="316"/>
      <c r="C15" s="682"/>
      <c r="D15" s="356" t="s">
        <v>284</v>
      </c>
      <c r="E15" s="529">
        <f>'Anchoveta Artesanal'!F10</f>
        <v>30529</v>
      </c>
      <c r="F15" s="530">
        <f>+'Anchoveta Artesanal'!N8</f>
        <v>0</v>
      </c>
      <c r="G15" s="530">
        <f>+'Anchoveta Artesanal'!O8</f>
        <v>30529</v>
      </c>
      <c r="H15" s="530">
        <f>+'Anchoveta Artesanal'!P8</f>
        <v>31803.230999999985</v>
      </c>
      <c r="I15" s="603">
        <f>+'Anchoveta Artesanal'!Q8</f>
        <v>-1274.2309999999852</v>
      </c>
      <c r="J15" s="379">
        <f t="shared" si="2"/>
        <v>1.0417383799010771</v>
      </c>
      <c r="K15" s="370">
        <f>+'Anchoveta Artesanal'!L8</f>
        <v>43668</v>
      </c>
    </row>
    <row r="16" spans="1:22" s="347" customFormat="1">
      <c r="A16" s="316"/>
      <c r="C16" s="682"/>
      <c r="D16" s="356" t="s">
        <v>287</v>
      </c>
      <c r="E16" s="529">
        <f>+'Anchoveta Artesanal'!F13</f>
        <v>1000</v>
      </c>
      <c r="F16" s="530">
        <v>0</v>
      </c>
      <c r="G16" s="530">
        <f>F16+E16</f>
        <v>1000</v>
      </c>
      <c r="H16" s="530">
        <f>+'Anchoveta Artesanal'!I13</f>
        <v>0</v>
      </c>
      <c r="I16" s="530">
        <f>+'Anchoveta Artesanal'!Q9</f>
        <v>0</v>
      </c>
      <c r="J16" s="379">
        <f t="shared" si="2"/>
        <v>0</v>
      </c>
      <c r="K16" s="370"/>
    </row>
    <row r="17" spans="1:11" s="347" customFormat="1">
      <c r="A17" s="316"/>
      <c r="C17" s="682"/>
      <c r="D17" s="356" t="s">
        <v>286</v>
      </c>
      <c r="E17" s="529">
        <v>0</v>
      </c>
      <c r="F17" s="530">
        <f>+Cesiones_a_artesanales!H5</f>
        <v>31404.47</v>
      </c>
      <c r="G17" s="530">
        <f>+E17+F17</f>
        <v>31404.47</v>
      </c>
      <c r="H17" s="530">
        <f>+Cesiones_a_artesanales!I5</f>
        <v>12188.828999999996</v>
      </c>
      <c r="I17" s="530">
        <f>+G17-H17</f>
        <v>19215.641000000003</v>
      </c>
      <c r="J17" s="379">
        <f t="shared" si="2"/>
        <v>0.38812401546658792</v>
      </c>
      <c r="K17" s="370"/>
    </row>
    <row r="18" spans="1:11" s="347" customFormat="1">
      <c r="A18" s="316"/>
      <c r="C18" s="682"/>
      <c r="D18" s="539" t="s">
        <v>292</v>
      </c>
      <c r="E18" s="532">
        <f>SUM(E19:E22)</f>
        <v>3515</v>
      </c>
      <c r="F18" s="532">
        <f>SUM(F19:F22)</f>
        <v>0</v>
      </c>
      <c r="G18" s="532">
        <f>+E18+F18</f>
        <v>3515</v>
      </c>
      <c r="H18" s="532">
        <f>+H19+H20+H22</f>
        <v>407.46300000000002</v>
      </c>
      <c r="I18" s="532">
        <f>+G18-H18</f>
        <v>3107.5369999999998</v>
      </c>
      <c r="J18" s="374">
        <f t="shared" si="2"/>
        <v>0.11592119487908963</v>
      </c>
      <c r="K18" s="374"/>
    </row>
    <row r="19" spans="1:11" s="347" customFormat="1">
      <c r="A19" s="316"/>
      <c r="C19" s="682"/>
      <c r="D19" s="356" t="s">
        <v>283</v>
      </c>
      <c r="E19" s="529">
        <v>714</v>
      </c>
      <c r="F19" s="530">
        <f>'Sardina Española Artesanal'!G8</f>
        <v>0</v>
      </c>
      <c r="G19" s="530">
        <f>'Sardina Española Artesanal'!H8</f>
        <v>1250</v>
      </c>
      <c r="H19" s="530">
        <f>'Sardina Española Artesanal'!I8</f>
        <v>0</v>
      </c>
      <c r="I19" s="530">
        <f>'Sardina Española Artesanal'!J8</f>
        <v>1250</v>
      </c>
      <c r="J19" s="531">
        <f t="shared" si="2"/>
        <v>0</v>
      </c>
      <c r="K19" s="175"/>
    </row>
    <row r="20" spans="1:11" s="347" customFormat="1">
      <c r="A20" s="316"/>
      <c r="C20" s="682"/>
      <c r="D20" s="356" t="s">
        <v>284</v>
      </c>
      <c r="E20" s="529">
        <v>2701</v>
      </c>
      <c r="F20" s="530">
        <f>'Sardina Española Artesanal'!G11</f>
        <v>0</v>
      </c>
      <c r="G20" s="530">
        <f>'Sardina Española Artesanal'!H11</f>
        <v>4319.5370000000003</v>
      </c>
      <c r="H20" s="530">
        <f>'Sardina Española Artesanal'!I11</f>
        <v>407.46300000000002</v>
      </c>
      <c r="I20" s="530">
        <f>'Sardina Española Artesanal'!J11</f>
        <v>3912.0740000000005</v>
      </c>
      <c r="J20" s="531">
        <f t="shared" si="2"/>
        <v>9.4330248820649068E-2</v>
      </c>
      <c r="K20" s="175"/>
    </row>
    <row r="21" spans="1:11" s="347" customFormat="1">
      <c r="A21" s="316"/>
      <c r="C21" s="682"/>
      <c r="D21" s="356" t="s">
        <v>286</v>
      </c>
      <c r="E21" s="529">
        <v>0</v>
      </c>
      <c r="F21" s="530">
        <f>+Cesiones_a_artesanales!H6</f>
        <v>0</v>
      </c>
      <c r="G21" s="530">
        <f>+E21+F21</f>
        <v>0</v>
      </c>
      <c r="H21" s="530">
        <f>+Cesiones_a_artesanales!I6</f>
        <v>0</v>
      </c>
      <c r="I21" s="530">
        <f>+G21-H21</f>
        <v>0</v>
      </c>
      <c r="J21" s="531">
        <v>0</v>
      </c>
      <c r="K21" s="175"/>
    </row>
    <row r="22" spans="1:11" s="347" customFormat="1">
      <c r="A22" s="316"/>
      <c r="C22" s="682"/>
      <c r="D22" s="361" t="s">
        <v>285</v>
      </c>
      <c r="E22" s="529">
        <f>+'Sardina Española Artesanal'!F14</f>
        <v>100</v>
      </c>
      <c r="F22" s="530">
        <v>0</v>
      </c>
      <c r="G22" s="530">
        <f>+E22+F22</f>
        <v>100</v>
      </c>
      <c r="H22" s="530">
        <f>'Sardina Española Artesanal'!I14</f>
        <v>0</v>
      </c>
      <c r="I22" s="530">
        <f>'Sardina Española Artesanal'!J18</f>
        <v>36.734999999999957</v>
      </c>
      <c r="J22" s="531">
        <f t="shared" si="2"/>
        <v>0</v>
      </c>
      <c r="K22" s="175"/>
    </row>
    <row r="23" spans="1:11" s="347" customFormat="1">
      <c r="A23" s="316"/>
      <c r="C23" s="682"/>
      <c r="D23" s="538" t="s">
        <v>238</v>
      </c>
      <c r="E23" s="528">
        <f>+'Anchoveta-Sardina Española LTP'!F16</f>
        <v>629209.99900000007</v>
      </c>
      <c r="F23" s="533">
        <f>'Anchoveta-Sardina Española LTP'!G16</f>
        <v>-75656.733999999997</v>
      </c>
      <c r="G23" s="528">
        <f>'Anchoveta-Sardina Española LTP'!H16</f>
        <v>553553.26500000013</v>
      </c>
      <c r="H23" s="528">
        <f>+'Anchoveta-Sardina Española LTP'!I16</f>
        <v>323078.52299999981</v>
      </c>
      <c r="I23" s="528">
        <f>'Anchoveta-Sardina Española LTP'!J16</f>
        <v>230474.74200000032</v>
      </c>
      <c r="J23" s="368">
        <f t="shared" si="2"/>
        <v>0.58364486929726578</v>
      </c>
      <c r="K23" s="362"/>
    </row>
    <row r="24" spans="1:11" s="347" customFormat="1">
      <c r="A24" s="316"/>
      <c r="C24" s="682"/>
      <c r="D24" s="539" t="s">
        <v>240</v>
      </c>
      <c r="E24" s="532">
        <f>+'Anchoveta-Sardina Española LTP'!F43</f>
        <v>1484.999</v>
      </c>
      <c r="F24" s="532">
        <f>'Anchoveta-Sardina Española LTP'!G43</f>
        <v>0</v>
      </c>
      <c r="G24" s="532">
        <f>'Anchoveta-Sardina Española LTP'!H43</f>
        <v>2592.808</v>
      </c>
      <c r="H24" s="532">
        <f>'Anchoveta-Sardina Española LTP'!I43</f>
        <v>6.1909999999999998</v>
      </c>
      <c r="I24" s="532">
        <f>'Anchoveta-Sardina Española LTP'!J43</f>
        <v>2586.6170000000002</v>
      </c>
      <c r="J24" s="373">
        <f t="shared" si="2"/>
        <v>2.3877587542155067E-3</v>
      </c>
      <c r="K24" s="374"/>
    </row>
    <row r="25" spans="1:11" s="347" customFormat="1">
      <c r="A25" s="316"/>
    </row>
    <row r="26" spans="1:11" s="347" customFormat="1">
      <c r="A26" s="316"/>
    </row>
    <row r="27" spans="1:11" s="347" customFormat="1">
      <c r="A27" s="316"/>
      <c r="C27" s="666" t="s">
        <v>247</v>
      </c>
      <c r="D27" s="667"/>
      <c r="E27" s="667"/>
      <c r="F27" s="667"/>
      <c r="G27" s="667"/>
      <c r="H27" s="667"/>
      <c r="I27" s="667"/>
      <c r="J27" s="667"/>
      <c r="K27" s="668"/>
    </row>
    <row r="28" spans="1:11" s="347" customFormat="1">
      <c r="A28" s="316"/>
      <c r="C28" s="669"/>
      <c r="D28" s="670"/>
      <c r="E28" s="670"/>
      <c r="F28" s="670"/>
      <c r="G28" s="670"/>
      <c r="H28" s="670"/>
      <c r="I28" s="670"/>
      <c r="J28" s="670"/>
      <c r="K28" s="671"/>
    </row>
    <row r="29" spans="1:11" s="347" customFormat="1" ht="34.799999999999997" customHeight="1">
      <c r="A29" s="316"/>
      <c r="C29" s="362" t="s">
        <v>309</v>
      </c>
      <c r="D29" s="362" t="s">
        <v>242</v>
      </c>
      <c r="E29" s="510" t="s">
        <v>232</v>
      </c>
      <c r="F29" s="362" t="s">
        <v>27</v>
      </c>
      <c r="G29" s="510" t="s">
        <v>5</v>
      </c>
      <c r="H29" s="362" t="s">
        <v>28</v>
      </c>
      <c r="I29" s="362" t="s">
        <v>29</v>
      </c>
      <c r="J29" s="362" t="s">
        <v>233</v>
      </c>
      <c r="K29" s="362" t="s">
        <v>31</v>
      </c>
    </row>
    <row r="30" spans="1:11" s="347" customFormat="1" ht="18" customHeight="1">
      <c r="A30" s="316"/>
      <c r="C30" s="689" t="s">
        <v>245</v>
      </c>
      <c r="D30" s="569" t="s">
        <v>244</v>
      </c>
      <c r="E30" s="569">
        <f>+E31+E32+E33+E34+E39</f>
        <v>75982</v>
      </c>
      <c r="F30" s="570">
        <f>+F34+F39</f>
        <v>-0.30000000000291038</v>
      </c>
      <c r="G30" s="570">
        <f>+E30+F30</f>
        <v>75981.7</v>
      </c>
      <c r="H30" s="570" t="e">
        <f>+H31+H32+H33+H34+H39</f>
        <v>#REF!</v>
      </c>
      <c r="I30" s="569" t="e">
        <f>G30-H30</f>
        <v>#REF!</v>
      </c>
      <c r="J30" s="571" t="e">
        <f>+H30/G30</f>
        <v>#REF!</v>
      </c>
      <c r="K30" s="569"/>
    </row>
    <row r="31" spans="1:11" s="347" customFormat="1">
      <c r="A31" s="316"/>
      <c r="C31" s="690"/>
      <c r="D31" s="537" t="s">
        <v>237</v>
      </c>
      <c r="E31" s="359">
        <v>100</v>
      </c>
      <c r="F31" s="540">
        <v>0</v>
      </c>
      <c r="G31" s="540">
        <f>+E31+F31</f>
        <v>100</v>
      </c>
      <c r="H31" s="540">
        <v>0</v>
      </c>
      <c r="I31" s="540">
        <f>+G31-H31</f>
        <v>100</v>
      </c>
      <c r="J31" s="541">
        <f>H31/G31</f>
        <v>0</v>
      </c>
      <c r="K31" s="360"/>
    </row>
    <row r="32" spans="1:11" s="347" customFormat="1">
      <c r="A32" s="316"/>
      <c r="C32" s="690"/>
      <c r="D32" s="537" t="s">
        <v>235</v>
      </c>
      <c r="E32" s="359">
        <v>0</v>
      </c>
      <c r="F32" s="540">
        <v>0</v>
      </c>
      <c r="G32" s="540">
        <f t="shared" ref="G32:G33" si="3">+E32+F32</f>
        <v>0</v>
      </c>
      <c r="H32" s="540">
        <v>0</v>
      </c>
      <c r="I32" s="540">
        <f t="shared" ref="I32:I33" si="4">+G32-H32</f>
        <v>0</v>
      </c>
      <c r="J32" s="541">
        <v>0</v>
      </c>
      <c r="K32" s="360"/>
    </row>
    <row r="33" spans="1:11" s="347" customFormat="1">
      <c r="A33" s="316"/>
      <c r="C33" s="690"/>
      <c r="D33" s="537" t="s">
        <v>236</v>
      </c>
      <c r="E33" s="359">
        <v>0</v>
      </c>
      <c r="F33" s="540">
        <v>0</v>
      </c>
      <c r="G33" s="540">
        <f t="shared" si="3"/>
        <v>0</v>
      </c>
      <c r="H33" s="540">
        <v>0</v>
      </c>
      <c r="I33" s="540">
        <f t="shared" si="4"/>
        <v>0</v>
      </c>
      <c r="J33" s="541">
        <v>0</v>
      </c>
      <c r="K33" s="360"/>
    </row>
    <row r="34" spans="1:11" s="347" customFormat="1">
      <c r="A34" s="316"/>
      <c r="C34" s="690"/>
      <c r="D34" s="538" t="s">
        <v>291</v>
      </c>
      <c r="E34" s="362">
        <f>+E35+E36+E37+E38</f>
        <v>37941</v>
      </c>
      <c r="F34" s="367">
        <f>+F35+F36+F37+F38</f>
        <v>34962.426999999996</v>
      </c>
      <c r="G34" s="367">
        <f>+E34+F34</f>
        <v>72903.426999999996</v>
      </c>
      <c r="H34" s="362" t="e">
        <f t="shared" ref="H34" si="5">+H35+H36+H37+H38</f>
        <v>#REF!</v>
      </c>
      <c r="I34" s="362" t="e">
        <f>G34-H34</f>
        <v>#REF!</v>
      </c>
      <c r="J34" s="560" t="e">
        <f>+H34/G34</f>
        <v>#REF!</v>
      </c>
      <c r="K34" s="367"/>
    </row>
    <row r="35" spans="1:11" s="347" customFormat="1" ht="15.6">
      <c r="A35" s="316"/>
      <c r="C35" s="690"/>
      <c r="D35" s="376" t="s">
        <v>255</v>
      </c>
      <c r="E35" s="359">
        <f>'Anchoveta Artesanal'!F17</f>
        <v>26209</v>
      </c>
      <c r="F35" s="542">
        <f>'Anchoveta Artesanal'!G17</f>
        <v>0</v>
      </c>
      <c r="G35" s="542">
        <f>'Anchoveta Artesanal'!H17</f>
        <v>26209</v>
      </c>
      <c r="H35" s="542">
        <f>'Anchoveta Artesanal'!I17</f>
        <v>25855.380000000008</v>
      </c>
      <c r="I35" s="542">
        <f>'Anchoveta Artesanal'!J17</f>
        <v>353.61999999999171</v>
      </c>
      <c r="J35" s="561">
        <f>H35/G35</f>
        <v>0.98650768819871071</v>
      </c>
      <c r="K35" s="375" t="str">
        <f>+'Anchoveta Artesanal'!L16</f>
        <v>-</v>
      </c>
    </row>
    <row r="36" spans="1:11" s="347" customFormat="1" ht="15.6">
      <c r="A36" s="316"/>
      <c r="C36" s="690"/>
      <c r="D36" s="376" t="s">
        <v>252</v>
      </c>
      <c r="E36" s="359">
        <f>'Anchoveta Artesanal'!F20</f>
        <v>11232</v>
      </c>
      <c r="F36" s="542">
        <f>'Anchoveta Artesanal'!G20</f>
        <v>0</v>
      </c>
      <c r="G36" s="542">
        <f>'Anchoveta Artesanal'!H20</f>
        <v>11232</v>
      </c>
      <c r="H36" s="542">
        <f>'Anchoveta Artesanal'!I20</f>
        <v>11112.848</v>
      </c>
      <c r="I36" s="542">
        <f>'Anchoveta Artesanal'!J20</f>
        <v>119.15200000000004</v>
      </c>
      <c r="J36" s="561">
        <f>H36/G36</f>
        <v>0.98939173789173784</v>
      </c>
      <c r="K36" s="366"/>
    </row>
    <row r="37" spans="1:11" s="347" customFormat="1">
      <c r="A37" s="316"/>
      <c r="C37" s="690"/>
      <c r="D37" s="356" t="s">
        <v>243</v>
      </c>
      <c r="E37" s="359">
        <v>0</v>
      </c>
      <c r="F37" s="542">
        <f>+Cesiones_a_artesanales!H8+Cesiones_a_artesanales!H9</f>
        <v>34962.426999999996</v>
      </c>
      <c r="G37" s="542">
        <f t="shared" ref="G37" si="6">+E37+F37</f>
        <v>34962.426999999996</v>
      </c>
      <c r="H37" s="542">
        <f>+Cesiones_a_artesanales!I8+Cesiones_a_artesanales!I9</f>
        <v>23443.266</v>
      </c>
      <c r="I37" s="542">
        <f t="shared" ref="I37" si="7">+G37-H37</f>
        <v>11519.160999999996</v>
      </c>
      <c r="J37" s="561">
        <f t="shared" ref="J37" si="8">H37/G37</f>
        <v>0.67052742076515459</v>
      </c>
      <c r="K37" s="366"/>
    </row>
    <row r="38" spans="1:11" s="347" customFormat="1">
      <c r="A38" s="316"/>
      <c r="C38" s="690"/>
      <c r="D38" s="356" t="s">
        <v>288</v>
      </c>
      <c r="E38" s="359">
        <v>500</v>
      </c>
      <c r="F38" s="542">
        <v>0</v>
      </c>
      <c r="G38" s="542" t="e">
        <f>+'Anchoveta Artesanal'!#REF!</f>
        <v>#REF!</v>
      </c>
      <c r="H38" s="542" t="e">
        <f>+'Anchoveta Artesanal'!#REF!</f>
        <v>#REF!</v>
      </c>
      <c r="I38" s="542">
        <f>'Anchoveta Artesanal'!J21</f>
        <v>18032.44000000001</v>
      </c>
      <c r="J38" s="561">
        <v>0</v>
      </c>
      <c r="K38" s="366"/>
    </row>
    <row r="39" spans="1:11" s="347" customFormat="1">
      <c r="A39" s="316"/>
      <c r="C39" s="691"/>
      <c r="D39" s="538" t="s">
        <v>293</v>
      </c>
      <c r="E39" s="362">
        <f>'Anchoveta-Sardina Española LTP'!F35</f>
        <v>37941.000000000007</v>
      </c>
      <c r="F39" s="362">
        <f>'Anchoveta-Sardina Española LTP'!G35</f>
        <v>-34962.726999999999</v>
      </c>
      <c r="G39" s="362">
        <f>'Anchoveta-Sardina Española LTP'!H35</f>
        <v>2978.2730000000083</v>
      </c>
      <c r="H39" s="367">
        <f>+'Anchoveta-Sardina Española LTP'!I35</f>
        <v>0</v>
      </c>
      <c r="I39" s="367">
        <f>'Anchoveta-Sardina Española LTP'!J35</f>
        <v>2978.2730000000083</v>
      </c>
      <c r="J39" s="562">
        <f>H39/G39</f>
        <v>0</v>
      </c>
      <c r="K39" s="367"/>
    </row>
    <row r="40" spans="1:11" s="347" customFormat="1">
      <c r="A40" s="316"/>
      <c r="F40" s="543">
        <f>+F39+F34</f>
        <v>-0.30000000000291038</v>
      </c>
    </row>
    <row r="41" spans="1:11" s="347" customFormat="1">
      <c r="A41" s="316"/>
    </row>
    <row r="42" spans="1:11" s="347" customFormat="1">
      <c r="A42" s="316"/>
      <c r="C42" s="672" t="s">
        <v>248</v>
      </c>
      <c r="D42" s="673"/>
      <c r="E42" s="673"/>
      <c r="F42" s="673"/>
      <c r="G42" s="673"/>
      <c r="H42" s="673"/>
      <c r="I42" s="673"/>
      <c r="J42" s="673"/>
      <c r="K42" s="673"/>
    </row>
    <row r="43" spans="1:11" s="347" customFormat="1">
      <c r="A43" s="316"/>
      <c r="C43" s="674"/>
      <c r="D43" s="675"/>
      <c r="E43" s="675"/>
      <c r="F43" s="675"/>
      <c r="G43" s="675"/>
      <c r="H43" s="675"/>
      <c r="I43" s="675"/>
      <c r="J43" s="675"/>
      <c r="K43" s="675"/>
    </row>
    <row r="44" spans="1:11" s="347" customFormat="1">
      <c r="A44" s="316"/>
      <c r="C44" s="371" t="s">
        <v>241</v>
      </c>
      <c r="D44" s="371" t="s">
        <v>242</v>
      </c>
      <c r="E44" s="371" t="s">
        <v>232</v>
      </c>
      <c r="F44" s="371" t="s">
        <v>27</v>
      </c>
      <c r="G44" s="371" t="s">
        <v>5</v>
      </c>
      <c r="H44" s="371" t="s">
        <v>28</v>
      </c>
      <c r="I44" s="371" t="s">
        <v>29</v>
      </c>
      <c r="J44" s="371" t="s">
        <v>233</v>
      </c>
      <c r="K44" s="371" t="s">
        <v>31</v>
      </c>
    </row>
    <row r="45" spans="1:11" s="347" customFormat="1" ht="14.4" customHeight="1">
      <c r="A45" s="316"/>
      <c r="C45" s="663" t="s">
        <v>246</v>
      </c>
      <c r="D45" s="567" t="s">
        <v>244</v>
      </c>
      <c r="E45" s="572">
        <f>+E49+E54</f>
        <v>1750.0009999999997</v>
      </c>
      <c r="F45" s="572">
        <f>+F49+F54</f>
        <v>0</v>
      </c>
      <c r="G45" s="572">
        <f t="shared" ref="G45:J45" si="9">+G49+G54</f>
        <v>1750.0009999999997</v>
      </c>
      <c r="H45" s="572">
        <f t="shared" si="9"/>
        <v>922.04200000000003</v>
      </c>
      <c r="I45" s="572">
        <f t="shared" si="9"/>
        <v>827.95899999999983</v>
      </c>
      <c r="J45" s="568">
        <f t="shared" si="9"/>
        <v>0.72222818394517585</v>
      </c>
      <c r="K45" s="567"/>
    </row>
    <row r="46" spans="1:11" s="347" customFormat="1">
      <c r="A46" s="316"/>
      <c r="C46" s="664"/>
      <c r="D46" s="537" t="s">
        <v>237</v>
      </c>
      <c r="E46" s="359">
        <v>100</v>
      </c>
      <c r="F46" s="540">
        <v>0</v>
      </c>
      <c r="G46" s="540">
        <f>+E46+F46</f>
        <v>100</v>
      </c>
      <c r="H46" s="540">
        <v>0</v>
      </c>
      <c r="I46" s="540">
        <f>+G46-H46</f>
        <v>100</v>
      </c>
      <c r="J46" s="544">
        <f>H46/G46</f>
        <v>0</v>
      </c>
      <c r="K46" s="442"/>
    </row>
    <row r="47" spans="1:11" s="347" customFormat="1">
      <c r="A47" s="316"/>
      <c r="C47" s="664"/>
      <c r="D47" s="537" t="s">
        <v>235</v>
      </c>
      <c r="E47" s="359">
        <v>0</v>
      </c>
      <c r="F47" s="540">
        <v>0</v>
      </c>
      <c r="G47" s="540">
        <f t="shared" ref="G47:G48" si="10">+E47+F47</f>
        <v>0</v>
      </c>
      <c r="H47" s="540">
        <v>0</v>
      </c>
      <c r="I47" s="540">
        <f t="shared" ref="I47:I48" si="11">+G47-H47</f>
        <v>0</v>
      </c>
      <c r="J47" s="544">
        <v>0</v>
      </c>
      <c r="K47" s="442"/>
    </row>
    <row r="48" spans="1:11" s="347" customFormat="1">
      <c r="A48" s="316"/>
      <c r="C48" s="664"/>
      <c r="D48" s="537" t="s">
        <v>236</v>
      </c>
      <c r="E48" s="359">
        <v>0</v>
      </c>
      <c r="F48" s="540">
        <v>0</v>
      </c>
      <c r="G48" s="540">
        <f t="shared" si="10"/>
        <v>0</v>
      </c>
      <c r="H48" s="540">
        <v>0</v>
      </c>
      <c r="I48" s="540">
        <f t="shared" si="11"/>
        <v>0</v>
      </c>
      <c r="J48" s="544">
        <v>0</v>
      </c>
      <c r="K48" s="442"/>
    </row>
    <row r="49" spans="1:11" s="347" customFormat="1">
      <c r="A49" s="316"/>
      <c r="C49" s="664"/>
      <c r="D49" s="539" t="s">
        <v>294</v>
      </c>
      <c r="E49" s="378">
        <f>+E50+E51+E52+E53</f>
        <v>875</v>
      </c>
      <c r="F49" s="378">
        <f>+F50+F51+F52+F53</f>
        <v>401.66300000000001</v>
      </c>
      <c r="G49" s="378">
        <f t="shared" ref="G49:H49" si="12">+G50+G51+G52+G53</f>
        <v>1276.663</v>
      </c>
      <c r="H49" s="378">
        <f t="shared" si="12"/>
        <v>922.04200000000003</v>
      </c>
      <c r="I49" s="372">
        <f>+G49-H49</f>
        <v>354.62099999999998</v>
      </c>
      <c r="J49" s="373">
        <f>H49/G49</f>
        <v>0.72222818394517585</v>
      </c>
      <c r="K49" s="374"/>
    </row>
    <row r="50" spans="1:11" s="347" customFormat="1">
      <c r="A50" s="316"/>
      <c r="C50" s="664"/>
      <c r="D50" s="356" t="s">
        <v>289</v>
      </c>
      <c r="E50" s="364">
        <f>+'Sardina Española Artesanal'!F18</f>
        <v>387.5</v>
      </c>
      <c r="F50" s="363">
        <f>'Sardina Española Artesanal'!G19</f>
        <v>0</v>
      </c>
      <c r="G50" s="364">
        <f>'Sardina Española Artesanal'!H19</f>
        <v>387.5</v>
      </c>
      <c r="H50" s="365">
        <f>'Sardina Española Artesanal'!I19</f>
        <v>350.76500000000004</v>
      </c>
      <c r="I50" s="364">
        <f>'Sardina Española Artesanal'!J19</f>
        <v>36.734999999999957</v>
      </c>
      <c r="J50" s="380">
        <f>H50/G50</f>
        <v>0.90520000000000012</v>
      </c>
      <c r="K50" s="377" t="str">
        <f>+'Sardina Española Artesanal'!L18</f>
        <v>-</v>
      </c>
    </row>
    <row r="51" spans="1:11" s="347" customFormat="1">
      <c r="A51" s="316"/>
      <c r="C51" s="664"/>
      <c r="D51" s="356" t="s">
        <v>290</v>
      </c>
      <c r="E51" s="355">
        <f>+'Sardina Española Artesanal'!F20</f>
        <v>387.5</v>
      </c>
      <c r="F51" s="359">
        <f>'Sardina Española Artesanal'!G21</f>
        <v>0</v>
      </c>
      <c r="G51" s="348">
        <f>'Sardina Española Artesanal'!H21</f>
        <v>387.5</v>
      </c>
      <c r="H51" s="348">
        <f>'Sardina Española Artesanal'!I21</f>
        <v>203.18799999999999</v>
      </c>
      <c r="I51" s="348">
        <f>'Sardina Española Artesanal'!J21</f>
        <v>184.31200000000001</v>
      </c>
      <c r="J51" s="379">
        <f>H51/G51</f>
        <v>0.52435612903225803</v>
      </c>
      <c r="K51" s="175"/>
    </row>
    <row r="52" spans="1:11" s="347" customFormat="1">
      <c r="A52" s="316"/>
      <c r="C52" s="664"/>
      <c r="D52" s="356" t="s">
        <v>243</v>
      </c>
      <c r="E52" s="355">
        <v>0</v>
      </c>
      <c r="F52" s="359">
        <f>+Cesiones_a_artesanales!H10+Cesiones_a_artesanales!H11</f>
        <v>401.66300000000001</v>
      </c>
      <c r="G52" s="348">
        <f>+F52+E52</f>
        <v>401.66300000000001</v>
      </c>
      <c r="H52" s="348">
        <f>+Cesiones_a_artesanales!I10+Cesiones_a_artesanales!I11</f>
        <v>296.46800000000002</v>
      </c>
      <c r="I52" s="348">
        <f t="shared" ref="I52:I53" si="13">+G52-H52</f>
        <v>105.19499999999999</v>
      </c>
      <c r="J52" s="379">
        <f>H52/G52</f>
        <v>0.73810134366371816</v>
      </c>
      <c r="K52" s="175"/>
    </row>
    <row r="53" spans="1:11" s="347" customFormat="1">
      <c r="A53" s="316"/>
      <c r="C53" s="664"/>
      <c r="D53" s="356" t="s">
        <v>288</v>
      </c>
      <c r="E53" s="355">
        <f>+'Sardina Española Artesanal'!F24</f>
        <v>100</v>
      </c>
      <c r="F53" s="359">
        <f>+'Sardina Española Artesanal'!G24</f>
        <v>0</v>
      </c>
      <c r="G53" s="348">
        <f>+'Sardina Española Artesanal'!H24</f>
        <v>100</v>
      </c>
      <c r="H53" s="348">
        <f>+'Sardina Española Artesanal'!I24</f>
        <v>71.620999999999995</v>
      </c>
      <c r="I53" s="348">
        <f t="shared" si="13"/>
        <v>28.379000000000005</v>
      </c>
      <c r="J53" s="379">
        <f>H53/G53</f>
        <v>0.7162099999999999</v>
      </c>
      <c r="K53" s="175"/>
    </row>
    <row r="54" spans="1:11" s="347" customFormat="1" ht="18.600000000000001" customHeight="1">
      <c r="A54" s="316"/>
      <c r="C54" s="665"/>
      <c r="D54" s="539" t="s">
        <v>295</v>
      </c>
      <c r="E54" s="372">
        <f>+'Anchoveta-Sardina Española LTP'!F54</f>
        <v>875.00099999999986</v>
      </c>
      <c r="F54" s="441">
        <f>+'Anchoveta-Sardina Española LTP'!G54</f>
        <v>-401.66300000000001</v>
      </c>
      <c r="G54" s="372">
        <f>+'Anchoveta-Sardina Española LTP'!H54</f>
        <v>473.33799999999985</v>
      </c>
      <c r="H54" s="372">
        <f>+'Anchoveta-Sardina Española LTP'!I54</f>
        <v>0</v>
      </c>
      <c r="I54" s="372">
        <f>+'Anchoveta-Sardina Española LTP'!J54</f>
        <v>473.33799999999985</v>
      </c>
      <c r="J54" s="374">
        <f>+'Anchoveta-Sardina Española LTP'!K54</f>
        <v>0</v>
      </c>
      <c r="K54" s="374"/>
    </row>
    <row r="55" spans="1:11" s="347" customFormat="1">
      <c r="A55" s="316"/>
    </row>
    <row r="56" spans="1:11" s="347" customFormat="1">
      <c r="A56" s="316"/>
      <c r="F56" s="543"/>
    </row>
    <row r="57" spans="1:11" s="347" customFormat="1">
      <c r="A57" s="316"/>
    </row>
    <row r="58" spans="1:11" s="347" customFormat="1">
      <c r="A58" s="316"/>
    </row>
    <row r="59" spans="1:11" s="347" customFormat="1">
      <c r="A59" s="316"/>
    </row>
    <row r="60" spans="1:11" s="347" customFormat="1">
      <c r="A60" s="316"/>
    </row>
    <row r="61" spans="1:11" s="347" customFormat="1">
      <c r="A61" s="316"/>
    </row>
    <row r="62" spans="1:11" s="347" customFormat="1">
      <c r="A62" s="316"/>
    </row>
    <row r="63" spans="1:11" s="347" customFormat="1">
      <c r="A63" s="316"/>
    </row>
    <row r="64" spans="1:11" s="347" customFormat="1">
      <c r="A64" s="316"/>
    </row>
    <row r="65" spans="1:1" s="347" customFormat="1">
      <c r="A65" s="316"/>
    </row>
    <row r="66" spans="1:1" s="347" customFormat="1">
      <c r="A66" s="316"/>
    </row>
    <row r="67" spans="1:1" s="347" customFormat="1">
      <c r="A67" s="316"/>
    </row>
    <row r="68" spans="1:1" s="347" customFormat="1">
      <c r="A68" s="316"/>
    </row>
    <row r="69" spans="1:1" s="347" customFormat="1">
      <c r="A69" s="316"/>
    </row>
    <row r="70" spans="1:1" s="347" customFormat="1">
      <c r="A70" s="316"/>
    </row>
    <row r="71" spans="1:1" s="347" customFormat="1">
      <c r="A71" s="316"/>
    </row>
    <row r="72" spans="1:1" s="347" customFormat="1">
      <c r="A72" s="316"/>
    </row>
    <row r="73" spans="1:1" s="347" customFormat="1">
      <c r="A73" s="316"/>
    </row>
    <row r="74" spans="1:1" s="347" customFormat="1">
      <c r="A74" s="316"/>
    </row>
    <row r="75" spans="1:1" s="347" customFormat="1">
      <c r="A75" s="316"/>
    </row>
    <row r="76" spans="1:1" s="347" customFormat="1">
      <c r="A76" s="316"/>
    </row>
    <row r="77" spans="1:1" s="347" customFormat="1">
      <c r="A77" s="316"/>
    </row>
    <row r="78" spans="1:1" s="347" customFormat="1">
      <c r="A78" s="316"/>
    </row>
    <row r="79" spans="1:1" s="347" customFormat="1">
      <c r="A79" s="316"/>
    </row>
    <row r="80" spans="1:1" s="347" customFormat="1">
      <c r="A80" s="316"/>
    </row>
    <row r="81" spans="1:1" s="347" customFormat="1">
      <c r="A81" s="316"/>
    </row>
    <row r="82" spans="1:1" s="347" customFormat="1">
      <c r="A82" s="316"/>
    </row>
    <row r="83" spans="1:1" s="347" customFormat="1">
      <c r="A83" s="316"/>
    </row>
    <row r="84" spans="1:1" s="347" customFormat="1">
      <c r="A84" s="316"/>
    </row>
    <row r="85" spans="1:1" s="347" customFormat="1">
      <c r="A85" s="316"/>
    </row>
    <row r="86" spans="1:1" s="347" customFormat="1">
      <c r="A86" s="316"/>
    </row>
    <row r="87" spans="1:1" s="347" customFormat="1">
      <c r="A87" s="316"/>
    </row>
    <row r="88" spans="1:1" s="347" customFormat="1">
      <c r="A88" s="316"/>
    </row>
    <row r="89" spans="1:1" s="347" customFormat="1">
      <c r="A89" s="316"/>
    </row>
    <row r="90" spans="1:1" s="347" customFormat="1">
      <c r="A90" s="316"/>
    </row>
    <row r="91" spans="1:1" s="347" customFormat="1">
      <c r="A91" s="316"/>
    </row>
    <row r="92" spans="1:1" s="347" customFormat="1">
      <c r="A92" s="316"/>
    </row>
    <row r="93" spans="1:1" s="347" customFormat="1">
      <c r="A93" s="316"/>
    </row>
    <row r="94" spans="1:1" s="347" customFormat="1">
      <c r="A94" s="316"/>
    </row>
    <row r="95" spans="1:1" s="347" customFormat="1">
      <c r="A95" s="316"/>
    </row>
    <row r="96" spans="1:1" s="347" customFormat="1">
      <c r="A96" s="316"/>
    </row>
    <row r="97" spans="1:1" s="347" customFormat="1">
      <c r="A97" s="316"/>
    </row>
    <row r="98" spans="1:1" s="347" customFormat="1">
      <c r="A98" s="316"/>
    </row>
    <row r="99" spans="1:1" s="347" customFormat="1">
      <c r="A99" s="316"/>
    </row>
    <row r="100" spans="1:1" s="347" customFormat="1">
      <c r="A100" s="316"/>
    </row>
    <row r="101" spans="1:1" s="347" customFormat="1">
      <c r="A101" s="316"/>
    </row>
    <row r="102" spans="1:1" s="347" customFormat="1">
      <c r="A102" s="316"/>
    </row>
    <row r="103" spans="1:1" s="347" customFormat="1">
      <c r="A103" s="316"/>
    </row>
    <row r="104" spans="1:1" s="347" customFormat="1">
      <c r="A104" s="316"/>
    </row>
    <row r="105" spans="1:1" s="347" customFormat="1">
      <c r="A105" s="316"/>
    </row>
    <row r="106" spans="1:1" s="347" customFormat="1">
      <c r="A106" s="316"/>
    </row>
    <row r="107" spans="1:1" s="347" customFormat="1">
      <c r="A107" s="316"/>
    </row>
    <row r="108" spans="1:1" s="347" customFormat="1">
      <c r="A108" s="316"/>
    </row>
    <row r="109" spans="1:1" s="347" customFormat="1">
      <c r="A109" s="316"/>
    </row>
    <row r="110" spans="1:1" s="347" customFormat="1">
      <c r="A110" s="316"/>
    </row>
    <row r="111" spans="1:1" s="347" customFormat="1">
      <c r="A111" s="316"/>
    </row>
    <row r="112" spans="1:1" s="347" customFormat="1">
      <c r="A112" s="316"/>
    </row>
    <row r="113" spans="1:1" s="347" customFormat="1">
      <c r="A113" s="316"/>
    </row>
    <row r="114" spans="1:1" s="347" customFormat="1">
      <c r="A114" s="316"/>
    </row>
    <row r="115" spans="1:1" s="347" customFormat="1">
      <c r="A115" s="316"/>
    </row>
    <row r="116" spans="1:1" s="347" customFormat="1">
      <c r="A116" s="316"/>
    </row>
    <row r="117" spans="1:1" s="347" customFormat="1">
      <c r="A117" s="316"/>
    </row>
    <row r="118" spans="1:1" s="347" customFormat="1">
      <c r="A118" s="316"/>
    </row>
    <row r="119" spans="1:1" s="347" customFormat="1">
      <c r="A119" s="316"/>
    </row>
    <row r="120" spans="1:1" s="347" customFormat="1">
      <c r="A120" s="316"/>
    </row>
    <row r="121" spans="1:1" s="347" customFormat="1">
      <c r="A121" s="316"/>
    </row>
    <row r="122" spans="1:1" s="347" customFormat="1">
      <c r="A122" s="316"/>
    </row>
    <row r="123" spans="1:1" s="347" customFormat="1">
      <c r="A123" s="316"/>
    </row>
    <row r="124" spans="1:1" s="347" customFormat="1">
      <c r="A124" s="316"/>
    </row>
    <row r="125" spans="1:1" s="347" customFormat="1">
      <c r="A125" s="316"/>
    </row>
    <row r="126" spans="1:1" s="347" customFormat="1">
      <c r="A126" s="316"/>
    </row>
    <row r="127" spans="1:1" s="347" customFormat="1">
      <c r="A127" s="316"/>
    </row>
    <row r="128" spans="1:1" s="347" customFormat="1">
      <c r="A128" s="316"/>
    </row>
    <row r="129" spans="1:1" s="347" customFormat="1">
      <c r="A129" s="316"/>
    </row>
    <row r="130" spans="1:1" s="347" customFormat="1">
      <c r="A130" s="316"/>
    </row>
    <row r="131" spans="1:1" s="347" customFormat="1">
      <c r="A131" s="316"/>
    </row>
    <row r="132" spans="1:1" s="347" customFormat="1">
      <c r="A132" s="316"/>
    </row>
    <row r="133" spans="1:1" s="347" customFormat="1">
      <c r="A133" s="316"/>
    </row>
    <row r="134" spans="1:1" s="347" customFormat="1">
      <c r="A134" s="316"/>
    </row>
    <row r="135" spans="1:1" s="347" customFormat="1">
      <c r="A135" s="316"/>
    </row>
    <row r="136" spans="1:1" s="347" customFormat="1">
      <c r="A136" s="316"/>
    </row>
    <row r="137" spans="1:1" s="347" customFormat="1">
      <c r="A137" s="316"/>
    </row>
    <row r="138" spans="1:1" s="347" customFormat="1">
      <c r="A138" s="316"/>
    </row>
    <row r="139" spans="1:1" s="347" customFormat="1">
      <c r="A139" s="316"/>
    </row>
    <row r="140" spans="1:1" s="347" customFormat="1">
      <c r="A140" s="316"/>
    </row>
    <row r="141" spans="1:1" s="347" customFormat="1">
      <c r="A141" s="316"/>
    </row>
    <row r="142" spans="1:1" s="347" customFormat="1">
      <c r="A142" s="316"/>
    </row>
    <row r="143" spans="1:1" s="347" customFormat="1">
      <c r="A143" s="316"/>
    </row>
    <row r="144" spans="1:1" s="347" customFormat="1">
      <c r="A144" s="316"/>
    </row>
    <row r="145" spans="1:1" s="347" customFormat="1">
      <c r="A145" s="316"/>
    </row>
    <row r="146" spans="1:1" s="347" customFormat="1">
      <c r="A146" s="316"/>
    </row>
    <row r="147" spans="1:1" s="347" customFormat="1">
      <c r="A147" s="316"/>
    </row>
    <row r="148" spans="1:1" s="347" customFormat="1">
      <c r="A148" s="316"/>
    </row>
    <row r="149" spans="1:1" s="347" customFormat="1">
      <c r="A149" s="316"/>
    </row>
    <row r="150" spans="1:1" s="347" customFormat="1">
      <c r="A150" s="316"/>
    </row>
    <row r="151" spans="1:1" s="347" customFormat="1">
      <c r="A151" s="316"/>
    </row>
    <row r="152" spans="1:1" s="347" customFormat="1">
      <c r="A152" s="316"/>
    </row>
    <row r="153" spans="1:1" s="347" customFormat="1">
      <c r="A153" s="316"/>
    </row>
    <row r="154" spans="1:1" s="347" customFormat="1">
      <c r="A154" s="316"/>
    </row>
    <row r="155" spans="1:1" s="347" customFormat="1">
      <c r="A155" s="316"/>
    </row>
    <row r="156" spans="1:1" s="347" customFormat="1">
      <c r="A156" s="316"/>
    </row>
    <row r="157" spans="1:1" s="347" customFormat="1">
      <c r="A157" s="316"/>
    </row>
    <row r="158" spans="1:1" s="347" customFormat="1">
      <c r="A158" s="316"/>
    </row>
    <row r="159" spans="1:1" s="347" customFormat="1">
      <c r="A159" s="316"/>
    </row>
    <row r="160" spans="1:1" s="347" customFormat="1">
      <c r="A160" s="316"/>
    </row>
    <row r="161" spans="1:1" s="347" customFormat="1">
      <c r="A161" s="316"/>
    </row>
    <row r="162" spans="1:1" s="347" customFormat="1">
      <c r="A162" s="316"/>
    </row>
    <row r="163" spans="1:1" s="347" customFormat="1">
      <c r="A163" s="316"/>
    </row>
    <row r="164" spans="1:1" s="347" customFormat="1">
      <c r="A164" s="316"/>
    </row>
    <row r="165" spans="1:1" s="347" customFormat="1">
      <c r="A165" s="316"/>
    </row>
    <row r="166" spans="1:1" s="347" customFormat="1">
      <c r="A166" s="316"/>
    </row>
    <row r="167" spans="1:1" s="347" customFormat="1">
      <c r="A167" s="316"/>
    </row>
    <row r="168" spans="1:1" s="347" customFormat="1">
      <c r="A168" s="316"/>
    </row>
    <row r="169" spans="1:1" s="347" customFormat="1">
      <c r="A169" s="316"/>
    </row>
    <row r="170" spans="1:1" s="347" customFormat="1">
      <c r="A170" s="316"/>
    </row>
    <row r="171" spans="1:1" s="347" customFormat="1">
      <c r="A171" s="316"/>
    </row>
    <row r="172" spans="1:1" s="347" customFormat="1">
      <c r="A172" s="316"/>
    </row>
    <row r="173" spans="1:1" s="347" customFormat="1">
      <c r="A173" s="316"/>
    </row>
    <row r="174" spans="1:1" s="347" customFormat="1">
      <c r="A174" s="316"/>
    </row>
    <row r="175" spans="1:1" s="347" customFormat="1">
      <c r="A175" s="316"/>
    </row>
    <row r="176" spans="1:1" s="347" customFormat="1">
      <c r="A176" s="316"/>
    </row>
    <row r="177" spans="1:1" s="347" customFormat="1">
      <c r="A177" s="316"/>
    </row>
    <row r="178" spans="1:1" s="347" customFormat="1">
      <c r="A178" s="316"/>
    </row>
    <row r="179" spans="1:1" s="347" customFormat="1">
      <c r="A179" s="316"/>
    </row>
    <row r="180" spans="1:1" s="347" customFormat="1">
      <c r="A180" s="316"/>
    </row>
    <row r="181" spans="1:1" s="347" customFormat="1">
      <c r="A181" s="316"/>
    </row>
    <row r="182" spans="1:1" s="347" customFormat="1">
      <c r="A182" s="316"/>
    </row>
    <row r="183" spans="1:1" s="347" customFormat="1">
      <c r="A183" s="316"/>
    </row>
    <row r="184" spans="1:1" s="347" customFormat="1">
      <c r="A184" s="316"/>
    </row>
    <row r="185" spans="1:1" s="347" customFormat="1">
      <c r="A185" s="316"/>
    </row>
    <row r="186" spans="1:1" s="347" customFormat="1">
      <c r="A186" s="316"/>
    </row>
    <row r="187" spans="1:1" s="347" customFormat="1">
      <c r="A187" s="316"/>
    </row>
    <row r="188" spans="1:1" s="347" customFormat="1">
      <c r="A188" s="316"/>
    </row>
    <row r="189" spans="1:1" s="347" customFormat="1">
      <c r="A189" s="316"/>
    </row>
    <row r="190" spans="1:1" s="347" customFormat="1">
      <c r="A190" s="316"/>
    </row>
    <row r="191" spans="1:1" s="347" customFormat="1">
      <c r="A191" s="316"/>
    </row>
    <row r="192" spans="1:1" s="347" customFormat="1">
      <c r="A192" s="316"/>
    </row>
    <row r="193" spans="1:1" s="347" customFormat="1">
      <c r="A193" s="316"/>
    </row>
    <row r="194" spans="1:1" s="347" customFormat="1">
      <c r="A194" s="316"/>
    </row>
    <row r="195" spans="1:1" s="347" customFormat="1">
      <c r="A195" s="316"/>
    </row>
    <row r="196" spans="1:1" s="347" customFormat="1">
      <c r="A196" s="316"/>
    </row>
    <row r="197" spans="1:1" s="347" customFormat="1">
      <c r="A197" s="316"/>
    </row>
    <row r="198" spans="1:1" s="347" customFormat="1">
      <c r="A198" s="316"/>
    </row>
    <row r="199" spans="1:1" s="347" customFormat="1">
      <c r="A199" s="316"/>
    </row>
    <row r="200" spans="1:1" s="347" customFormat="1">
      <c r="A200" s="316"/>
    </row>
    <row r="201" spans="1:1" s="347" customFormat="1">
      <c r="A201" s="316"/>
    </row>
    <row r="202" spans="1:1" s="347" customFormat="1">
      <c r="A202" s="316"/>
    </row>
    <row r="203" spans="1:1" s="347" customFormat="1">
      <c r="A203" s="316"/>
    </row>
    <row r="204" spans="1:1" s="347" customFormat="1">
      <c r="A204" s="316"/>
    </row>
    <row r="205" spans="1:1" s="347" customFormat="1">
      <c r="A205" s="316"/>
    </row>
    <row r="206" spans="1:1" s="347" customFormat="1">
      <c r="A206" s="316"/>
    </row>
    <row r="207" spans="1:1" s="347" customFormat="1">
      <c r="A207" s="316"/>
    </row>
    <row r="208" spans="1:1" s="347" customFormat="1">
      <c r="A208" s="316"/>
    </row>
    <row r="209" spans="1:1" s="347" customFormat="1">
      <c r="A209" s="316"/>
    </row>
    <row r="210" spans="1:1" s="347" customFormat="1">
      <c r="A210" s="316"/>
    </row>
    <row r="211" spans="1:1" s="347" customFormat="1">
      <c r="A211" s="316"/>
    </row>
    <row r="212" spans="1:1" s="347" customFormat="1">
      <c r="A212" s="316"/>
    </row>
    <row r="213" spans="1:1" s="347" customFormat="1">
      <c r="A213" s="316"/>
    </row>
    <row r="214" spans="1:1" s="347" customFormat="1">
      <c r="A214" s="316"/>
    </row>
    <row r="215" spans="1:1" s="347" customFormat="1">
      <c r="A215" s="316"/>
    </row>
    <row r="216" spans="1:1" s="347" customFormat="1">
      <c r="A216" s="316"/>
    </row>
    <row r="217" spans="1:1" s="347" customFormat="1">
      <c r="A217" s="316"/>
    </row>
    <row r="218" spans="1:1" s="347" customFormat="1">
      <c r="A218" s="316"/>
    </row>
    <row r="219" spans="1:1" s="347" customFormat="1">
      <c r="A219" s="316"/>
    </row>
    <row r="220" spans="1:1" s="347" customFormat="1">
      <c r="A220" s="316"/>
    </row>
    <row r="221" spans="1:1" s="347" customFormat="1">
      <c r="A221" s="316"/>
    </row>
    <row r="222" spans="1:1" s="347" customFormat="1">
      <c r="A222" s="316"/>
    </row>
    <row r="223" spans="1:1" s="347" customFormat="1">
      <c r="A223" s="316"/>
    </row>
    <row r="224" spans="1:1" s="347" customFormat="1">
      <c r="A224" s="316"/>
    </row>
    <row r="225" spans="1:1" s="347" customFormat="1">
      <c r="A225" s="316"/>
    </row>
    <row r="226" spans="1:1" s="347" customFormat="1">
      <c r="A226" s="316"/>
    </row>
    <row r="227" spans="1:1" s="347" customFormat="1">
      <c r="A227" s="316"/>
    </row>
    <row r="228" spans="1:1" s="347" customFormat="1">
      <c r="A228" s="316"/>
    </row>
    <row r="229" spans="1:1" s="347" customFormat="1">
      <c r="A229" s="316"/>
    </row>
    <row r="230" spans="1:1" s="347" customFormat="1">
      <c r="A230" s="316"/>
    </row>
    <row r="231" spans="1:1" s="347" customFormat="1">
      <c r="A231" s="316"/>
    </row>
    <row r="232" spans="1:1" s="347" customFormat="1">
      <c r="A232" s="316"/>
    </row>
    <row r="233" spans="1:1" s="347" customFormat="1">
      <c r="A233" s="316"/>
    </row>
    <row r="234" spans="1:1" s="347" customFormat="1">
      <c r="A234" s="316"/>
    </row>
    <row r="235" spans="1:1" s="347" customFormat="1">
      <c r="A235" s="316"/>
    </row>
    <row r="236" spans="1:1" s="347" customFormat="1">
      <c r="A236" s="316"/>
    </row>
    <row r="237" spans="1:1" s="347" customFormat="1">
      <c r="A237" s="316"/>
    </row>
    <row r="238" spans="1:1" s="347" customFormat="1">
      <c r="A238" s="316"/>
    </row>
    <row r="239" spans="1:1" s="347" customFormat="1">
      <c r="A239" s="316"/>
    </row>
    <row r="240" spans="1:1" s="347" customFormat="1">
      <c r="A240" s="316"/>
    </row>
    <row r="241" spans="1:1" s="347" customFormat="1">
      <c r="A241" s="316"/>
    </row>
    <row r="242" spans="1:1" s="347" customFormat="1">
      <c r="A242" s="316"/>
    </row>
    <row r="243" spans="1:1" s="347" customFormat="1">
      <c r="A243" s="316"/>
    </row>
    <row r="244" spans="1:1" s="347" customFormat="1">
      <c r="A244" s="316"/>
    </row>
    <row r="245" spans="1:1" s="347" customFormat="1">
      <c r="A245" s="316"/>
    </row>
    <row r="246" spans="1:1" s="347" customFormat="1">
      <c r="A246" s="316"/>
    </row>
    <row r="247" spans="1:1" s="347" customFormat="1">
      <c r="A247" s="316"/>
    </row>
    <row r="248" spans="1:1" s="347" customFormat="1">
      <c r="A248" s="316"/>
    </row>
    <row r="249" spans="1:1" s="347" customFormat="1">
      <c r="A249" s="316"/>
    </row>
    <row r="250" spans="1:1" s="347" customFormat="1">
      <c r="A250" s="316"/>
    </row>
    <row r="251" spans="1:1" s="347" customFormat="1">
      <c r="A251" s="316"/>
    </row>
    <row r="252" spans="1:1" s="347" customFormat="1">
      <c r="A252" s="316"/>
    </row>
    <row r="253" spans="1:1" s="347" customFormat="1">
      <c r="A253" s="316"/>
    </row>
    <row r="254" spans="1:1" s="347" customFormat="1">
      <c r="A254" s="316"/>
    </row>
    <row r="255" spans="1:1" s="347" customFormat="1">
      <c r="A255" s="316"/>
    </row>
    <row r="256" spans="1:1" s="347" customFormat="1">
      <c r="A256" s="316"/>
    </row>
    <row r="257" spans="1:1" s="347" customFormat="1">
      <c r="A257" s="316"/>
    </row>
    <row r="258" spans="1:1" s="347" customFormat="1">
      <c r="A258" s="316"/>
    </row>
    <row r="259" spans="1:1" s="347" customFormat="1">
      <c r="A259" s="316"/>
    </row>
    <row r="260" spans="1:1" s="347" customFormat="1">
      <c r="A260" s="316"/>
    </row>
    <row r="261" spans="1:1" s="347" customFormat="1">
      <c r="A261" s="316"/>
    </row>
    <row r="262" spans="1:1" s="347" customFormat="1">
      <c r="A262" s="316"/>
    </row>
    <row r="263" spans="1:1" s="347" customFormat="1">
      <c r="A263" s="316"/>
    </row>
    <row r="264" spans="1:1" s="347" customFormat="1">
      <c r="A264" s="316"/>
    </row>
    <row r="265" spans="1:1" s="347" customFormat="1">
      <c r="A265" s="316"/>
    </row>
    <row r="266" spans="1:1" s="347" customFormat="1">
      <c r="A266" s="316"/>
    </row>
    <row r="267" spans="1:1" s="347" customFormat="1">
      <c r="A267" s="316"/>
    </row>
    <row r="268" spans="1:1" s="347" customFormat="1">
      <c r="A268" s="316"/>
    </row>
    <row r="269" spans="1:1" s="347" customFormat="1">
      <c r="A269" s="316"/>
    </row>
    <row r="270" spans="1:1" s="347" customFormat="1">
      <c r="A270" s="316"/>
    </row>
    <row r="271" spans="1:1" s="347" customFormat="1">
      <c r="A271" s="316"/>
    </row>
    <row r="272" spans="1:1" s="347" customFormat="1">
      <c r="A272" s="316"/>
    </row>
    <row r="273" spans="1:1" s="347" customFormat="1">
      <c r="A273" s="316"/>
    </row>
    <row r="274" spans="1:1" s="347" customFormat="1">
      <c r="A274" s="316"/>
    </row>
    <row r="275" spans="1:1" s="347" customFormat="1">
      <c r="A275" s="316"/>
    </row>
    <row r="276" spans="1:1" s="347" customFormat="1">
      <c r="A276" s="316"/>
    </row>
    <row r="277" spans="1:1" s="347" customFormat="1">
      <c r="A277" s="316"/>
    </row>
    <row r="278" spans="1:1" s="347" customFormat="1">
      <c r="A278" s="316"/>
    </row>
    <row r="279" spans="1:1" s="347" customFormat="1">
      <c r="A279" s="316"/>
    </row>
    <row r="280" spans="1:1" s="347" customFormat="1">
      <c r="A280" s="316"/>
    </row>
    <row r="281" spans="1:1" s="347" customFormat="1">
      <c r="A281" s="316"/>
    </row>
    <row r="282" spans="1:1" s="347" customFormat="1">
      <c r="A282" s="316"/>
    </row>
    <row r="283" spans="1:1" s="347" customFormat="1">
      <c r="A283" s="316"/>
    </row>
    <row r="284" spans="1:1" s="347" customFormat="1">
      <c r="A284" s="316"/>
    </row>
    <row r="285" spans="1:1" s="347" customFormat="1">
      <c r="A285" s="316"/>
    </row>
    <row r="286" spans="1:1" s="347" customFormat="1">
      <c r="A286" s="316"/>
    </row>
    <row r="287" spans="1:1" s="347" customFormat="1">
      <c r="A287" s="316"/>
    </row>
    <row r="288" spans="1:1" s="347" customFormat="1">
      <c r="A288" s="316"/>
    </row>
    <row r="289" spans="1:1" s="347" customFormat="1">
      <c r="A289" s="316"/>
    </row>
    <row r="290" spans="1:1" s="347" customFormat="1">
      <c r="A290" s="316"/>
    </row>
    <row r="291" spans="1:1" s="347" customFormat="1">
      <c r="A291" s="316"/>
    </row>
    <row r="292" spans="1:1" s="347" customFormat="1">
      <c r="A292" s="316"/>
    </row>
    <row r="293" spans="1:1" s="347" customFormat="1">
      <c r="A293" s="316"/>
    </row>
    <row r="294" spans="1:1" s="347" customFormat="1">
      <c r="A294" s="316"/>
    </row>
    <row r="295" spans="1:1" s="347" customFormat="1">
      <c r="A295" s="316"/>
    </row>
    <row r="296" spans="1:1" s="347" customFormat="1">
      <c r="A296" s="316"/>
    </row>
    <row r="297" spans="1:1" s="347" customFormat="1">
      <c r="A297" s="316"/>
    </row>
    <row r="298" spans="1:1" s="347" customFormat="1">
      <c r="A298" s="316"/>
    </row>
    <row r="299" spans="1:1" s="347" customFormat="1">
      <c r="A299" s="316"/>
    </row>
    <row r="300" spans="1:1" s="347" customFormat="1">
      <c r="A300" s="316"/>
    </row>
    <row r="301" spans="1:1" s="347" customFormat="1">
      <c r="A301" s="316"/>
    </row>
    <row r="302" spans="1:1" s="347" customFormat="1">
      <c r="A302" s="316"/>
    </row>
    <row r="303" spans="1:1" s="347" customFormat="1">
      <c r="A303" s="316"/>
    </row>
    <row r="304" spans="1:1" s="347" customFormat="1">
      <c r="A304" s="316"/>
    </row>
    <row r="305" spans="1:1" s="347" customFormat="1">
      <c r="A305" s="316"/>
    </row>
    <row r="306" spans="1:1" s="347" customFormat="1">
      <c r="A306" s="316"/>
    </row>
    <row r="307" spans="1:1" s="347" customFormat="1">
      <c r="A307" s="316"/>
    </row>
    <row r="308" spans="1:1" s="347" customFormat="1">
      <c r="A308" s="316"/>
    </row>
    <row r="309" spans="1:1" s="347" customFormat="1">
      <c r="A309" s="316"/>
    </row>
    <row r="310" spans="1:1" s="347" customFormat="1">
      <c r="A310" s="316"/>
    </row>
    <row r="311" spans="1:1" s="347" customFormat="1">
      <c r="A311" s="316"/>
    </row>
    <row r="312" spans="1:1" s="347" customFormat="1">
      <c r="A312" s="316"/>
    </row>
    <row r="313" spans="1:1" s="347" customFormat="1">
      <c r="A313" s="316"/>
    </row>
    <row r="314" spans="1:1" s="347" customFormat="1">
      <c r="A314" s="316"/>
    </row>
    <row r="315" spans="1:1" s="347" customFormat="1">
      <c r="A315" s="316"/>
    </row>
    <row r="316" spans="1:1" s="347" customFormat="1">
      <c r="A316" s="316"/>
    </row>
    <row r="317" spans="1:1" s="347" customFormat="1">
      <c r="A317" s="316"/>
    </row>
    <row r="318" spans="1:1" s="347" customFormat="1">
      <c r="A318" s="316"/>
    </row>
    <row r="319" spans="1:1" s="347" customFormat="1">
      <c r="A319" s="316"/>
    </row>
    <row r="320" spans="1:1" s="347" customFormat="1">
      <c r="A320" s="316"/>
    </row>
    <row r="321" spans="1:1" s="347" customFormat="1">
      <c r="A321" s="316"/>
    </row>
    <row r="322" spans="1:1" s="347" customFormat="1">
      <c r="A322" s="316"/>
    </row>
    <row r="323" spans="1:1" s="347" customFormat="1">
      <c r="A323" s="316"/>
    </row>
    <row r="324" spans="1:1" s="347" customFormat="1">
      <c r="A324" s="316"/>
    </row>
    <row r="325" spans="1:1" s="347" customFormat="1">
      <c r="A325" s="316"/>
    </row>
    <row r="326" spans="1:1" s="347" customFormat="1">
      <c r="A326" s="316"/>
    </row>
    <row r="327" spans="1:1" s="347" customFormat="1">
      <c r="A327" s="316"/>
    </row>
    <row r="328" spans="1:1" s="347" customFormat="1">
      <c r="A328" s="316"/>
    </row>
    <row r="329" spans="1:1" s="347" customFormat="1">
      <c r="A329" s="316"/>
    </row>
    <row r="330" spans="1:1" s="347" customFormat="1">
      <c r="A330" s="316"/>
    </row>
    <row r="331" spans="1:1" s="347" customFormat="1">
      <c r="A331" s="316"/>
    </row>
    <row r="332" spans="1:1" s="347" customFormat="1">
      <c r="A332" s="316"/>
    </row>
    <row r="333" spans="1:1" s="347" customFormat="1">
      <c r="A333" s="316"/>
    </row>
    <row r="334" spans="1:1" s="347" customFormat="1">
      <c r="A334" s="316"/>
    </row>
    <row r="335" spans="1:1" s="347" customFormat="1">
      <c r="A335" s="316"/>
    </row>
    <row r="336" spans="1:1" s="347" customFormat="1">
      <c r="A336" s="316"/>
    </row>
    <row r="337" spans="1:1" s="347" customFormat="1">
      <c r="A337" s="316"/>
    </row>
    <row r="338" spans="1:1" s="347" customFormat="1">
      <c r="A338" s="316"/>
    </row>
    <row r="339" spans="1:1" s="347" customFormat="1">
      <c r="A339" s="316"/>
    </row>
    <row r="340" spans="1:1" s="347" customFormat="1">
      <c r="A340" s="316"/>
    </row>
    <row r="341" spans="1:1" s="347" customFormat="1">
      <c r="A341" s="316"/>
    </row>
    <row r="342" spans="1:1" s="347" customFormat="1">
      <c r="A342" s="316"/>
    </row>
    <row r="343" spans="1:1" s="347" customFormat="1">
      <c r="A343" s="316"/>
    </row>
    <row r="344" spans="1:1" s="347" customFormat="1">
      <c r="A344" s="316"/>
    </row>
    <row r="345" spans="1:1" s="347" customFormat="1">
      <c r="A345" s="316"/>
    </row>
    <row r="346" spans="1:1" s="347" customFormat="1">
      <c r="A346" s="316"/>
    </row>
    <row r="347" spans="1:1" s="347" customFormat="1">
      <c r="A347" s="316"/>
    </row>
    <row r="348" spans="1:1" s="347" customFormat="1">
      <c r="A348" s="316"/>
    </row>
    <row r="349" spans="1:1" s="347" customFormat="1">
      <c r="A349" s="316"/>
    </row>
    <row r="350" spans="1:1" s="347" customFormat="1">
      <c r="A350" s="316"/>
    </row>
    <row r="351" spans="1:1" s="347" customFormat="1">
      <c r="A351" s="316"/>
    </row>
    <row r="352" spans="1:1" s="347" customFormat="1">
      <c r="A352" s="316"/>
    </row>
    <row r="353" spans="1:1" s="347" customFormat="1">
      <c r="A353" s="316"/>
    </row>
    <row r="354" spans="1:1" s="347" customFormat="1">
      <c r="A354" s="316"/>
    </row>
    <row r="355" spans="1:1" s="347" customFormat="1">
      <c r="A355" s="316"/>
    </row>
    <row r="356" spans="1:1" s="347" customFormat="1">
      <c r="A356" s="316"/>
    </row>
    <row r="357" spans="1:1" s="347" customFormat="1">
      <c r="A357" s="316"/>
    </row>
    <row r="358" spans="1:1" s="347" customFormat="1">
      <c r="A358" s="316"/>
    </row>
    <row r="359" spans="1:1" s="347" customFormat="1">
      <c r="A359" s="316"/>
    </row>
    <row r="360" spans="1:1" s="347" customFormat="1">
      <c r="A360" s="316"/>
    </row>
    <row r="361" spans="1:1" s="347" customFormat="1">
      <c r="A361" s="316"/>
    </row>
    <row r="362" spans="1:1" s="347" customFormat="1">
      <c r="A362" s="316"/>
    </row>
    <row r="363" spans="1:1" s="347" customFormat="1">
      <c r="A363" s="316"/>
    </row>
    <row r="364" spans="1:1" s="347" customFormat="1">
      <c r="A364" s="316"/>
    </row>
    <row r="365" spans="1:1" s="347" customFormat="1">
      <c r="A365" s="316"/>
    </row>
    <row r="366" spans="1:1" s="347" customFormat="1">
      <c r="A366" s="316"/>
    </row>
    <row r="367" spans="1:1" s="347" customFormat="1">
      <c r="A367" s="316"/>
    </row>
    <row r="368" spans="1:1" s="347" customFormat="1">
      <c r="A368" s="316"/>
    </row>
    <row r="369" spans="1:1" s="347" customFormat="1">
      <c r="A369" s="316"/>
    </row>
    <row r="370" spans="1:1" s="347" customFormat="1">
      <c r="A370" s="316"/>
    </row>
    <row r="371" spans="1:1" s="347" customFormat="1">
      <c r="A371" s="316"/>
    </row>
    <row r="372" spans="1:1" s="347" customFormat="1">
      <c r="A372" s="316"/>
    </row>
    <row r="373" spans="1:1" s="347" customFormat="1">
      <c r="A373" s="316"/>
    </row>
    <row r="374" spans="1:1" s="347" customFormat="1">
      <c r="A374" s="316"/>
    </row>
    <row r="375" spans="1:1" s="347" customFormat="1">
      <c r="A375" s="316"/>
    </row>
    <row r="376" spans="1:1" s="347" customFormat="1">
      <c r="A376" s="316"/>
    </row>
    <row r="377" spans="1:1" s="347" customFormat="1">
      <c r="A377" s="316"/>
    </row>
    <row r="378" spans="1:1" s="347" customFormat="1">
      <c r="A378" s="316"/>
    </row>
    <row r="379" spans="1:1" s="347" customFormat="1">
      <c r="A379" s="316"/>
    </row>
    <row r="380" spans="1:1" s="347" customFormat="1">
      <c r="A380" s="316"/>
    </row>
    <row r="381" spans="1:1" s="347" customFormat="1">
      <c r="A381" s="316"/>
    </row>
    <row r="382" spans="1:1" s="347" customFormat="1">
      <c r="A382" s="316"/>
    </row>
    <row r="383" spans="1:1" s="347" customFormat="1">
      <c r="A383" s="316"/>
    </row>
    <row r="384" spans="1:1" s="347" customFormat="1">
      <c r="A384" s="316"/>
    </row>
    <row r="385" spans="1:1" s="347" customFormat="1">
      <c r="A385" s="316"/>
    </row>
    <row r="386" spans="1:1" s="347" customFormat="1">
      <c r="A386" s="316"/>
    </row>
    <row r="387" spans="1:1" s="347" customFormat="1">
      <c r="A387" s="316"/>
    </row>
    <row r="388" spans="1:1" s="347" customFormat="1">
      <c r="A388" s="316"/>
    </row>
    <row r="389" spans="1:1" s="347" customFormat="1">
      <c r="A389" s="316"/>
    </row>
    <row r="390" spans="1:1" s="347" customFormat="1">
      <c r="A390" s="316"/>
    </row>
    <row r="391" spans="1:1" s="347" customFormat="1">
      <c r="A391" s="316"/>
    </row>
    <row r="392" spans="1:1" s="347" customFormat="1">
      <c r="A392" s="316"/>
    </row>
    <row r="393" spans="1:1" s="347" customFormat="1">
      <c r="A393" s="316"/>
    </row>
    <row r="394" spans="1:1" s="347" customFormat="1">
      <c r="A394" s="316"/>
    </row>
    <row r="395" spans="1:1" s="347" customFormat="1">
      <c r="A395" s="316"/>
    </row>
    <row r="396" spans="1:1" s="347" customFormat="1">
      <c r="A396" s="316"/>
    </row>
    <row r="397" spans="1:1" s="347" customFormat="1">
      <c r="A397" s="316"/>
    </row>
    <row r="398" spans="1:1" s="347" customFormat="1">
      <c r="A398" s="316"/>
    </row>
    <row r="399" spans="1:1" s="347" customFormat="1">
      <c r="A399" s="316"/>
    </row>
    <row r="400" spans="1:1" s="347" customFormat="1">
      <c r="A400" s="316"/>
    </row>
    <row r="401" spans="1:1" s="347" customFormat="1">
      <c r="A401" s="316"/>
    </row>
    <row r="402" spans="1:1" s="347" customFormat="1">
      <c r="A402" s="316"/>
    </row>
    <row r="403" spans="1:1" s="347" customFormat="1">
      <c r="A403" s="316"/>
    </row>
    <row r="404" spans="1:1" s="347" customFormat="1">
      <c r="A404" s="316"/>
    </row>
    <row r="405" spans="1:1" s="347" customFormat="1">
      <c r="A405" s="316"/>
    </row>
    <row r="406" spans="1:1" s="347" customFormat="1">
      <c r="A406" s="316"/>
    </row>
    <row r="407" spans="1:1" s="347" customFormat="1">
      <c r="A407" s="316"/>
    </row>
    <row r="408" spans="1:1" s="347" customFormat="1">
      <c r="A408" s="316"/>
    </row>
    <row r="409" spans="1:1" s="347" customFormat="1">
      <c r="A409" s="316"/>
    </row>
    <row r="410" spans="1:1" s="347" customFormat="1">
      <c r="A410" s="316"/>
    </row>
    <row r="411" spans="1:1" s="347" customFormat="1">
      <c r="A411" s="316"/>
    </row>
    <row r="412" spans="1:1" s="347" customFormat="1">
      <c r="A412" s="316"/>
    </row>
    <row r="413" spans="1:1" s="347" customFormat="1">
      <c r="A413" s="316"/>
    </row>
    <row r="414" spans="1:1" s="347" customFormat="1">
      <c r="A414" s="316"/>
    </row>
    <row r="415" spans="1:1" s="347" customFormat="1">
      <c r="A415" s="316"/>
    </row>
    <row r="416" spans="1:1" s="347" customFormat="1">
      <c r="A416" s="316"/>
    </row>
    <row r="417" spans="1:1" s="347" customFormat="1">
      <c r="A417" s="316"/>
    </row>
    <row r="418" spans="1:1" s="347" customFormat="1">
      <c r="A418" s="316"/>
    </row>
    <row r="419" spans="1:1" s="347" customFormat="1">
      <c r="A419" s="316"/>
    </row>
    <row r="420" spans="1:1" s="347" customFormat="1">
      <c r="A420" s="316"/>
    </row>
    <row r="421" spans="1:1" s="347" customFormat="1">
      <c r="A421" s="316"/>
    </row>
    <row r="422" spans="1:1" s="347" customFormat="1">
      <c r="A422" s="316"/>
    </row>
    <row r="423" spans="1:1" s="347" customFormat="1">
      <c r="A423" s="316"/>
    </row>
    <row r="424" spans="1:1" s="347" customFormat="1">
      <c r="A424" s="316"/>
    </row>
    <row r="425" spans="1:1" s="347" customFormat="1">
      <c r="A425" s="316"/>
    </row>
    <row r="426" spans="1:1" s="347" customFormat="1">
      <c r="A426" s="316"/>
    </row>
    <row r="427" spans="1:1" s="347" customFormat="1">
      <c r="A427" s="316"/>
    </row>
    <row r="428" spans="1:1" s="347" customFormat="1">
      <c r="A428" s="316"/>
    </row>
    <row r="429" spans="1:1" s="347" customFormat="1">
      <c r="A429" s="316"/>
    </row>
    <row r="430" spans="1:1" s="347" customFormat="1">
      <c r="A430" s="316"/>
    </row>
    <row r="431" spans="1:1" s="347" customFormat="1">
      <c r="A431" s="316"/>
    </row>
    <row r="432" spans="1:1" s="347" customFormat="1">
      <c r="A432" s="316"/>
    </row>
    <row r="433" spans="1:1" s="347" customFormat="1">
      <c r="A433" s="316"/>
    </row>
    <row r="434" spans="1:1" s="347" customFormat="1">
      <c r="A434" s="316"/>
    </row>
    <row r="435" spans="1:1" s="347" customFormat="1">
      <c r="A435" s="316"/>
    </row>
    <row r="436" spans="1:1" s="347" customFormat="1">
      <c r="A436" s="316"/>
    </row>
    <row r="437" spans="1:1" s="347" customFormat="1">
      <c r="A437" s="316"/>
    </row>
    <row r="438" spans="1:1" s="347" customFormat="1">
      <c r="A438" s="316"/>
    </row>
    <row r="439" spans="1:1" s="347" customFormat="1">
      <c r="A439" s="316"/>
    </row>
    <row r="440" spans="1:1" s="347" customFormat="1">
      <c r="A440" s="316"/>
    </row>
    <row r="441" spans="1:1" s="347" customFormat="1">
      <c r="A441" s="316"/>
    </row>
    <row r="442" spans="1:1" s="347" customFormat="1">
      <c r="A442" s="316"/>
    </row>
    <row r="443" spans="1:1" s="347" customFormat="1">
      <c r="A443" s="316"/>
    </row>
    <row r="444" spans="1:1" s="347" customFormat="1">
      <c r="A444" s="316"/>
    </row>
    <row r="445" spans="1:1" s="347" customFormat="1">
      <c r="A445" s="316"/>
    </row>
    <row r="446" spans="1:1" s="347" customFormat="1">
      <c r="A446" s="316"/>
    </row>
    <row r="447" spans="1:1" s="347" customFormat="1">
      <c r="A447" s="316"/>
    </row>
    <row r="448" spans="1:1" s="347" customFormat="1">
      <c r="A448" s="316"/>
    </row>
    <row r="449" spans="1:1" s="347" customFormat="1">
      <c r="A449" s="316"/>
    </row>
    <row r="450" spans="1:1" s="347" customFormat="1">
      <c r="A450" s="316"/>
    </row>
    <row r="451" spans="1:1" s="347" customFormat="1">
      <c r="A451" s="316"/>
    </row>
    <row r="452" spans="1:1" s="347" customFormat="1">
      <c r="A452" s="316"/>
    </row>
    <row r="453" spans="1:1" s="347" customFormat="1">
      <c r="A453" s="316"/>
    </row>
    <row r="454" spans="1:1" s="347" customFormat="1">
      <c r="A454" s="316"/>
    </row>
    <row r="455" spans="1:1" s="347" customFormat="1">
      <c r="A455" s="316"/>
    </row>
    <row r="456" spans="1:1" s="347" customFormat="1">
      <c r="A456" s="316"/>
    </row>
    <row r="457" spans="1:1" s="347" customFormat="1">
      <c r="A457" s="316"/>
    </row>
    <row r="458" spans="1:1" s="347" customFormat="1">
      <c r="A458" s="316"/>
    </row>
    <row r="459" spans="1:1" s="347" customFormat="1">
      <c r="A459" s="316"/>
    </row>
    <row r="460" spans="1:1" s="347" customFormat="1">
      <c r="A460" s="316"/>
    </row>
    <row r="461" spans="1:1" s="347" customFormat="1">
      <c r="A461" s="316"/>
    </row>
    <row r="462" spans="1:1" s="347" customFormat="1">
      <c r="A462" s="316"/>
    </row>
    <row r="463" spans="1:1" s="347" customFormat="1">
      <c r="A463" s="316"/>
    </row>
    <row r="464" spans="1:1" s="347" customFormat="1">
      <c r="A464" s="316"/>
    </row>
    <row r="465" spans="1:1" s="347" customFormat="1">
      <c r="A465" s="316"/>
    </row>
    <row r="466" spans="1:1" s="347" customFormat="1">
      <c r="A466" s="316"/>
    </row>
    <row r="467" spans="1:1" s="347" customFormat="1">
      <c r="A467" s="316"/>
    </row>
    <row r="468" spans="1:1" s="347" customFormat="1">
      <c r="A468" s="316"/>
    </row>
    <row r="469" spans="1:1" s="347" customFormat="1">
      <c r="A469" s="316"/>
    </row>
    <row r="470" spans="1:1" s="347" customFormat="1">
      <c r="A470" s="316"/>
    </row>
    <row r="471" spans="1:1" s="347" customFormat="1">
      <c r="A471" s="316"/>
    </row>
    <row r="472" spans="1:1" s="347" customFormat="1">
      <c r="A472" s="316"/>
    </row>
    <row r="473" spans="1:1" s="347" customFormat="1">
      <c r="A473" s="316"/>
    </row>
    <row r="474" spans="1:1" s="347" customFormat="1">
      <c r="A474" s="316"/>
    </row>
    <row r="475" spans="1:1" s="347" customFormat="1">
      <c r="A475" s="316"/>
    </row>
    <row r="476" spans="1:1" s="347" customFormat="1">
      <c r="A476" s="316"/>
    </row>
    <row r="477" spans="1:1" s="347" customFormat="1">
      <c r="A477" s="316"/>
    </row>
    <row r="478" spans="1:1" s="347" customFormat="1">
      <c r="A478" s="316"/>
    </row>
    <row r="479" spans="1:1" s="347" customFormat="1">
      <c r="A479" s="316"/>
    </row>
    <row r="480" spans="1:1" s="347" customFormat="1">
      <c r="A480" s="316"/>
    </row>
    <row r="481" spans="1:1" s="347" customFormat="1">
      <c r="A481" s="316"/>
    </row>
    <row r="482" spans="1:1" s="347" customFormat="1">
      <c r="A482" s="316"/>
    </row>
    <row r="483" spans="1:1" s="347" customFormat="1">
      <c r="A483" s="316"/>
    </row>
    <row r="484" spans="1:1" s="347" customFormat="1">
      <c r="A484" s="316"/>
    </row>
    <row r="485" spans="1:1" s="347" customFormat="1">
      <c r="A485" s="316"/>
    </row>
    <row r="486" spans="1:1" s="347" customFormat="1">
      <c r="A486" s="316"/>
    </row>
    <row r="487" spans="1:1" s="347" customFormat="1">
      <c r="A487" s="316"/>
    </row>
    <row r="488" spans="1:1" s="347" customFormat="1">
      <c r="A488" s="316"/>
    </row>
    <row r="489" spans="1:1" s="347" customFormat="1">
      <c r="A489" s="316"/>
    </row>
    <row r="490" spans="1:1" s="347" customFormat="1">
      <c r="A490" s="316"/>
    </row>
    <row r="491" spans="1:1" s="347" customFormat="1">
      <c r="A491" s="316"/>
    </row>
    <row r="492" spans="1:1" s="347" customFormat="1">
      <c r="A492" s="316"/>
    </row>
    <row r="493" spans="1:1" s="347" customFormat="1">
      <c r="A493" s="316"/>
    </row>
    <row r="494" spans="1:1" s="347" customFormat="1">
      <c r="A494" s="316"/>
    </row>
    <row r="495" spans="1:1" s="347" customFormat="1">
      <c r="A495" s="316"/>
    </row>
    <row r="496" spans="1:1" s="347" customFormat="1">
      <c r="A496" s="316"/>
    </row>
    <row r="497" spans="1:1" s="347" customFormat="1">
      <c r="A497" s="316"/>
    </row>
    <row r="498" spans="1:1" s="347" customFormat="1">
      <c r="A498" s="316"/>
    </row>
    <row r="499" spans="1:1" s="347" customFormat="1">
      <c r="A499" s="316"/>
    </row>
    <row r="500" spans="1:1" s="347" customFormat="1">
      <c r="A500" s="316"/>
    </row>
    <row r="501" spans="1:1" s="347" customFormat="1">
      <c r="A501" s="316"/>
    </row>
    <row r="502" spans="1:1" s="347" customFormat="1">
      <c r="A502" s="316"/>
    </row>
    <row r="503" spans="1:1" s="347" customFormat="1">
      <c r="A503" s="316"/>
    </row>
    <row r="504" spans="1:1" s="347" customFormat="1">
      <c r="A504" s="316"/>
    </row>
    <row r="505" spans="1:1" s="347" customFormat="1">
      <c r="A505" s="316"/>
    </row>
    <row r="506" spans="1:1" s="347" customFormat="1">
      <c r="A506" s="316"/>
    </row>
    <row r="507" spans="1:1" s="347" customFormat="1">
      <c r="A507" s="316"/>
    </row>
    <row r="508" spans="1:1" s="347" customFormat="1">
      <c r="A508" s="316"/>
    </row>
    <row r="509" spans="1:1" s="347" customFormat="1">
      <c r="A509" s="316"/>
    </row>
    <row r="510" spans="1:1" s="347" customFormat="1">
      <c r="A510" s="316"/>
    </row>
    <row r="511" spans="1:1" s="347" customFormat="1">
      <c r="A511" s="316"/>
    </row>
    <row r="512" spans="1:1" s="347" customFormat="1">
      <c r="A512" s="316"/>
    </row>
    <row r="513" spans="1:1" s="347" customFormat="1">
      <c r="A513" s="316"/>
    </row>
    <row r="514" spans="1:1" s="347" customFormat="1">
      <c r="A514" s="316"/>
    </row>
    <row r="515" spans="1:1" s="347" customFormat="1">
      <c r="A515" s="316"/>
    </row>
    <row r="516" spans="1:1" s="347" customFormat="1">
      <c r="A516" s="316"/>
    </row>
    <row r="517" spans="1:1" s="347" customFormat="1">
      <c r="A517" s="316"/>
    </row>
    <row r="518" spans="1:1" s="347" customFormat="1">
      <c r="A518" s="316"/>
    </row>
    <row r="519" spans="1:1" s="347" customFormat="1">
      <c r="A519" s="316"/>
    </row>
    <row r="520" spans="1:1" s="347" customFormat="1">
      <c r="A520" s="316"/>
    </row>
    <row r="521" spans="1:1" s="347" customFormat="1">
      <c r="A521" s="316"/>
    </row>
    <row r="522" spans="1:1" s="347" customFormat="1">
      <c r="A522" s="316"/>
    </row>
    <row r="523" spans="1:1" s="347" customFormat="1">
      <c r="A523" s="316"/>
    </row>
    <row r="524" spans="1:1" s="347" customFormat="1">
      <c r="A524" s="316"/>
    </row>
    <row r="525" spans="1:1" s="347" customFormat="1">
      <c r="A525" s="316"/>
    </row>
    <row r="526" spans="1:1" s="347" customFormat="1">
      <c r="A526" s="316"/>
    </row>
    <row r="527" spans="1:1" s="347" customFormat="1">
      <c r="A527" s="316"/>
    </row>
    <row r="528" spans="1:1" s="347" customFormat="1">
      <c r="A528" s="316"/>
    </row>
    <row r="529" spans="1:1" s="347" customFormat="1">
      <c r="A529" s="316"/>
    </row>
    <row r="530" spans="1:1" s="347" customFormat="1">
      <c r="A530" s="316"/>
    </row>
    <row r="531" spans="1:1" s="347" customFormat="1">
      <c r="A531" s="316"/>
    </row>
    <row r="532" spans="1:1" s="347" customFormat="1">
      <c r="A532" s="316"/>
    </row>
    <row r="533" spans="1:1" s="347" customFormat="1">
      <c r="A533" s="316"/>
    </row>
    <row r="534" spans="1:1" s="347" customFormat="1">
      <c r="A534" s="316"/>
    </row>
    <row r="535" spans="1:1" s="347" customFormat="1">
      <c r="A535" s="316"/>
    </row>
    <row r="536" spans="1:1" s="347" customFormat="1">
      <c r="A536" s="316"/>
    </row>
    <row r="537" spans="1:1" s="347" customFormat="1">
      <c r="A537" s="316"/>
    </row>
    <row r="538" spans="1:1" s="347" customFormat="1">
      <c r="A538" s="316"/>
    </row>
    <row r="539" spans="1:1" s="347" customFormat="1">
      <c r="A539" s="316"/>
    </row>
    <row r="540" spans="1:1" s="347" customFormat="1">
      <c r="A540" s="316"/>
    </row>
    <row r="541" spans="1:1" s="347" customFormat="1">
      <c r="A541" s="316"/>
    </row>
    <row r="542" spans="1:1" s="347" customFormat="1">
      <c r="A542" s="316"/>
    </row>
    <row r="543" spans="1:1" s="347" customFormat="1">
      <c r="A543" s="316"/>
    </row>
    <row r="544" spans="1:1" s="347" customFormat="1">
      <c r="A544" s="316"/>
    </row>
    <row r="545" spans="1:1" s="347" customFormat="1">
      <c r="A545" s="316"/>
    </row>
    <row r="546" spans="1:1" s="347" customFormat="1">
      <c r="A546" s="316"/>
    </row>
    <row r="547" spans="1:1" s="347" customFormat="1">
      <c r="A547" s="316"/>
    </row>
    <row r="548" spans="1:1" s="347" customFormat="1">
      <c r="A548" s="316"/>
    </row>
    <row r="549" spans="1:1" s="347" customFormat="1">
      <c r="A549" s="316"/>
    </row>
    <row r="550" spans="1:1" s="347" customFormat="1">
      <c r="A550" s="316"/>
    </row>
    <row r="551" spans="1:1" s="347" customFormat="1">
      <c r="A551" s="316"/>
    </row>
    <row r="552" spans="1:1" s="347" customFormat="1">
      <c r="A552" s="316"/>
    </row>
    <row r="553" spans="1:1" s="347" customFormat="1">
      <c r="A553" s="316"/>
    </row>
    <row r="554" spans="1:1" s="347" customFormat="1">
      <c r="A554" s="316"/>
    </row>
    <row r="555" spans="1:1" s="347" customFormat="1">
      <c r="A555" s="316"/>
    </row>
    <row r="556" spans="1:1" s="347" customFormat="1">
      <c r="A556" s="316"/>
    </row>
    <row r="557" spans="1:1" s="347" customFormat="1">
      <c r="A557" s="316"/>
    </row>
    <row r="558" spans="1:1" s="347" customFormat="1">
      <c r="A558" s="316"/>
    </row>
    <row r="559" spans="1:1" s="347" customFormat="1">
      <c r="A559" s="316"/>
    </row>
    <row r="560" spans="1:1" s="347" customFormat="1">
      <c r="A560" s="316"/>
    </row>
    <row r="561" spans="1:8" s="347" customFormat="1">
      <c r="A561" s="316"/>
    </row>
    <row r="562" spans="1:8" s="347" customFormat="1">
      <c r="A562" s="316"/>
    </row>
    <row r="563" spans="1:8" s="347" customFormat="1">
      <c r="A563" s="316"/>
    </row>
    <row r="564" spans="1:8" s="347" customFormat="1">
      <c r="A564" s="316"/>
    </row>
    <row r="565" spans="1:8" s="347" customFormat="1">
      <c r="A565" s="316"/>
    </row>
    <row r="566" spans="1:8" s="347" customFormat="1">
      <c r="A566" s="316"/>
    </row>
    <row r="567" spans="1:8" s="347" customFormat="1">
      <c r="A567" s="316"/>
    </row>
    <row r="568" spans="1:8">
      <c r="C568" s="347"/>
      <c r="D568" s="347"/>
      <c r="E568" s="347"/>
      <c r="F568" s="347"/>
      <c r="G568" s="347"/>
      <c r="H568" s="347"/>
    </row>
  </sheetData>
  <mergeCells count="8">
    <mergeCell ref="C45:C54"/>
    <mergeCell ref="C27:K28"/>
    <mergeCell ref="C42:K43"/>
    <mergeCell ref="C2:K2"/>
    <mergeCell ref="C3:K3"/>
    <mergeCell ref="C9:C24"/>
    <mergeCell ref="C5:K6"/>
    <mergeCell ref="C30:C39"/>
  </mergeCells>
  <conditionalFormatting sqref="J46:J48 J31:J33 J10:J12 J19:J22 J35:J38 J14:J17 J50:J53">
    <cfRule type="cellIs" dxfId="18" priority="13" operator="greaterThan">
      <formula>0.95</formula>
    </cfRule>
  </conditionalFormatting>
  <conditionalFormatting sqref="J50 J35:J38">
    <cfRule type="cellIs" dxfId="17" priority="12" operator="greaterThan">
      <formula>0.91</formula>
    </cfRule>
  </conditionalFormatting>
  <hyperlinks>
    <hyperlink ref="D35" location="Anchoveta!B13" display="Anchoveta"/>
    <hyperlink ref="D36" location="Anchoveta!B16" display="Anchoveta"/>
  </hyperlink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X120"/>
  <sheetViews>
    <sheetView showGridLines="0" topLeftCell="A13" zoomScale="74" zoomScaleNormal="74" workbookViewId="0">
      <selection activeCell="C45" sqref="C45:C53"/>
    </sheetView>
  </sheetViews>
  <sheetFormatPr baseColWidth="10" defaultRowHeight="14.4"/>
  <cols>
    <col min="1" max="1" width="5.6640625" style="346" customWidth="1"/>
    <col min="2" max="2" width="5.88671875" customWidth="1"/>
    <col min="3" max="3" width="17.88671875" customWidth="1"/>
    <col min="4" max="4" width="13.6640625" customWidth="1"/>
    <col min="5" max="5" width="11.6640625" customWidth="1"/>
    <col min="6" max="6" width="11" customWidth="1"/>
    <col min="7" max="7" width="14" customWidth="1"/>
    <col min="8" max="8" width="20.77734375" customWidth="1"/>
    <col min="9" max="9" width="13.77734375" customWidth="1"/>
    <col min="10" max="10" width="12.5546875" customWidth="1"/>
    <col min="11" max="11" width="17.21875" customWidth="1"/>
    <col min="12" max="12" width="0.88671875" customWidth="1"/>
    <col min="13" max="13" width="14.44140625" customWidth="1"/>
    <col min="14" max="14" width="15.5546875" customWidth="1"/>
    <col min="15" max="15" width="14.6640625" customWidth="1"/>
    <col min="16" max="16" width="11.5546875" hidden="1" customWidth="1"/>
    <col min="17" max="17" width="10" hidden="1" customWidth="1"/>
    <col min="18" max="18" width="6.88671875" hidden="1" customWidth="1"/>
    <col min="19" max="19" width="8.5546875" hidden="1" customWidth="1"/>
    <col min="20" max="20" width="16.109375" hidden="1" customWidth="1"/>
    <col min="21" max="24" width="0" hidden="1" customWidth="1"/>
  </cols>
  <sheetData>
    <row r="1" spans="1:22" ht="15" thickBot="1"/>
    <row r="2" spans="1:22" ht="15" customHeight="1">
      <c r="C2" s="710" t="s">
        <v>92</v>
      </c>
      <c r="D2" s="711"/>
      <c r="E2" s="711"/>
      <c r="F2" s="711"/>
      <c r="G2" s="711"/>
      <c r="H2" s="711"/>
      <c r="I2" s="711"/>
      <c r="J2" s="711"/>
      <c r="K2" s="712"/>
      <c r="P2" s="29"/>
      <c r="Q2" s="29"/>
      <c r="R2" s="29"/>
      <c r="S2" s="30"/>
      <c r="T2" s="346"/>
      <c r="U2" s="346"/>
      <c r="V2" s="346"/>
    </row>
    <row r="3" spans="1:22" ht="16.2" thickBot="1">
      <c r="C3" s="713">
        <f>+'Resumen_Anch_Sard_Esp_XV-IV'!C3</f>
        <v>43740</v>
      </c>
      <c r="D3" s="714"/>
      <c r="E3" s="714"/>
      <c r="F3" s="714"/>
      <c r="G3" s="714"/>
      <c r="H3" s="714"/>
      <c r="I3" s="714"/>
      <c r="J3" s="714"/>
      <c r="K3" s="715"/>
      <c r="P3" s="31"/>
      <c r="Q3" s="31"/>
      <c r="R3" s="31"/>
      <c r="S3" s="32"/>
      <c r="T3" s="346"/>
      <c r="U3" s="346"/>
      <c r="V3" s="346"/>
    </row>
    <row r="4" spans="1:22" s="36" customFormat="1" ht="16.2" thickBot="1">
      <c r="A4" s="347"/>
      <c r="C4" s="37"/>
      <c r="D4" s="38"/>
      <c r="E4" s="38"/>
      <c r="F4" s="38"/>
      <c r="G4" s="38"/>
      <c r="H4" s="38"/>
      <c r="I4" s="341">
        <f>+I16+I35+I43+I54</f>
        <v>323084.7139999998</v>
      </c>
      <c r="J4" s="38"/>
      <c r="K4" s="39"/>
      <c r="P4" s="40"/>
      <c r="Q4" s="40"/>
      <c r="R4" s="40"/>
      <c r="S4" s="41"/>
      <c r="T4" s="347"/>
      <c r="U4" s="347"/>
      <c r="V4" s="347"/>
    </row>
    <row r="5" spans="1:22" ht="44.4" customHeight="1" thickBot="1">
      <c r="C5" s="129" t="s">
        <v>0</v>
      </c>
      <c r="D5" s="129" t="s">
        <v>1</v>
      </c>
      <c r="E5" s="130" t="s">
        <v>2</v>
      </c>
      <c r="F5" s="131" t="s">
        <v>3</v>
      </c>
      <c r="G5" s="132" t="s">
        <v>4</v>
      </c>
      <c r="H5" s="133" t="s">
        <v>5</v>
      </c>
      <c r="I5" s="134" t="s">
        <v>6</v>
      </c>
      <c r="J5" s="135" t="s">
        <v>7</v>
      </c>
      <c r="K5" s="136" t="s">
        <v>8</v>
      </c>
      <c r="P5" s="35" t="s">
        <v>9</v>
      </c>
      <c r="Q5" s="1" t="s">
        <v>4</v>
      </c>
      <c r="R5" s="1" t="s">
        <v>5</v>
      </c>
      <c r="S5" s="1" t="s">
        <v>6</v>
      </c>
      <c r="T5" s="1" t="s">
        <v>7</v>
      </c>
      <c r="U5" s="1" t="s">
        <v>8</v>
      </c>
      <c r="V5" s="346"/>
    </row>
    <row r="6" spans="1:22" s="44" customFormat="1" ht="12" customHeight="1">
      <c r="C6" s="729" t="s">
        <v>10</v>
      </c>
      <c r="D6" s="719" t="s">
        <v>63</v>
      </c>
      <c r="E6" s="42" t="s">
        <v>11</v>
      </c>
      <c r="F6" s="76">
        <f>3189.201+707.862</f>
        <v>3897.0630000000001</v>
      </c>
      <c r="G6" s="77"/>
      <c r="H6" s="76">
        <f>F6+G6</f>
        <v>3897.0630000000001</v>
      </c>
      <c r="I6" s="290"/>
      <c r="J6" s="78">
        <f t="shared" ref="J6:J9" si="0">H6-I6</f>
        <v>3897.0630000000001</v>
      </c>
      <c r="K6" s="79">
        <v>0</v>
      </c>
      <c r="P6" s="720">
        <f>F6+F7</f>
        <v>5196.0789999999997</v>
      </c>
      <c r="Q6" s="736">
        <f>G6+G7</f>
        <v>-4252.2640000000001</v>
      </c>
      <c r="R6" s="736">
        <f>P6+Q6</f>
        <v>943.8149999999996</v>
      </c>
      <c r="S6" s="736">
        <f>I6+I7</f>
        <v>0</v>
      </c>
      <c r="T6" s="557">
        <f>R6-S6</f>
        <v>943.8149999999996</v>
      </c>
      <c r="U6" s="558">
        <v>0</v>
      </c>
    </row>
    <row r="7" spans="1:22" s="44" customFormat="1" ht="12" customHeight="1">
      <c r="C7" s="729"/>
      <c r="D7" s="717"/>
      <c r="E7" s="45" t="s">
        <v>12</v>
      </c>
      <c r="F7" s="80">
        <f>1063.063+235.953</f>
        <v>1299.0160000000001</v>
      </c>
      <c r="G7" s="656">
        <v>-4252.2640000000001</v>
      </c>
      <c r="H7" s="82">
        <f>F7+G7+J6</f>
        <v>943.81500000000005</v>
      </c>
      <c r="I7" s="81"/>
      <c r="J7" s="82">
        <f t="shared" si="0"/>
        <v>943.81500000000005</v>
      </c>
      <c r="K7" s="83">
        <v>0</v>
      </c>
      <c r="P7" s="718"/>
      <c r="Q7" s="709"/>
      <c r="R7" s="709"/>
      <c r="S7" s="709"/>
      <c r="T7" s="553"/>
      <c r="U7" s="555"/>
    </row>
    <row r="8" spans="1:22" s="44" customFormat="1" ht="12" customHeight="1">
      <c r="C8" s="729"/>
      <c r="D8" s="716" t="s">
        <v>59</v>
      </c>
      <c r="E8" s="47" t="s">
        <v>11</v>
      </c>
      <c r="F8" s="84">
        <f>88488.46+5662.896</f>
        <v>94151.356</v>
      </c>
      <c r="G8" s="85"/>
      <c r="H8" s="84">
        <f>F8+G8</f>
        <v>94151.356</v>
      </c>
      <c r="I8" s="345">
        <v>47379.327000000005</v>
      </c>
      <c r="J8" s="86">
        <f t="shared" si="0"/>
        <v>46772.028999999995</v>
      </c>
      <c r="K8" s="83">
        <f t="shared" ref="K8:K32" si="1">I8/H8</f>
        <v>0.50322511552568616</v>
      </c>
      <c r="P8" s="718">
        <f>F8+F9</f>
        <v>125535.008</v>
      </c>
      <c r="Q8" s="709">
        <f>G8+G9</f>
        <v>0</v>
      </c>
      <c r="R8" s="709">
        <f>P8+Q8</f>
        <v>125535.008</v>
      </c>
      <c r="S8" s="709">
        <f>I8+I9</f>
        <v>65355.501999999993</v>
      </c>
      <c r="T8" s="553">
        <f>R8-S8</f>
        <v>60179.506000000008</v>
      </c>
      <c r="U8" s="555">
        <f>S8/R8</f>
        <v>0.52061574728222415</v>
      </c>
    </row>
    <row r="9" spans="1:22" s="44" customFormat="1" ht="12" customHeight="1">
      <c r="C9" s="729"/>
      <c r="D9" s="717"/>
      <c r="E9" s="45" t="s">
        <v>12</v>
      </c>
      <c r="F9" s="80">
        <f>29496.028+1887.624</f>
        <v>31383.651999999998</v>
      </c>
      <c r="G9" s="87"/>
      <c r="H9" s="82">
        <f>F9+G9+J8</f>
        <v>78155.680999999997</v>
      </c>
      <c r="I9" s="345">
        <v>17976.174999999992</v>
      </c>
      <c r="J9" s="82">
        <f t="shared" si="0"/>
        <v>60179.506000000008</v>
      </c>
      <c r="K9" s="83">
        <f t="shared" si="1"/>
        <v>0.23000471328501371</v>
      </c>
      <c r="P9" s="718"/>
      <c r="Q9" s="709"/>
      <c r="R9" s="709"/>
      <c r="S9" s="709"/>
      <c r="T9" s="553"/>
      <c r="U9" s="555"/>
    </row>
    <row r="10" spans="1:22" s="44" customFormat="1" ht="12" customHeight="1">
      <c r="C10" s="729"/>
      <c r="D10" s="716" t="s">
        <v>66</v>
      </c>
      <c r="E10" s="47" t="s">
        <v>11</v>
      </c>
      <c r="F10" s="84">
        <f>5662.896+3775.264</f>
        <v>9438.16</v>
      </c>
      <c r="G10" s="107">
        <f>-943.815-3460.655</f>
        <v>-4404.47</v>
      </c>
      <c r="H10" s="84">
        <f>F10+G10</f>
        <v>5033.6899999999996</v>
      </c>
      <c r="I10" s="290"/>
      <c r="J10" s="86">
        <f t="shared" ref="J10:J11" si="2">H10-I10</f>
        <v>5033.6899999999996</v>
      </c>
      <c r="K10" s="83">
        <f t="shared" ref="K10:K11" si="3">I10/H10</f>
        <v>0</v>
      </c>
      <c r="P10" s="718">
        <f>F10+F11</f>
        <v>12584.2</v>
      </c>
      <c r="Q10" s="709">
        <f>G10+G11</f>
        <v>-4404.47</v>
      </c>
      <c r="R10" s="709">
        <f>P10+Q10</f>
        <v>8179.7300000000005</v>
      </c>
      <c r="S10" s="709">
        <f>I10+I11</f>
        <v>0</v>
      </c>
      <c r="T10" s="553">
        <f>R10-S10</f>
        <v>8179.7300000000005</v>
      </c>
      <c r="U10" s="555">
        <f>S10/R10</f>
        <v>0</v>
      </c>
    </row>
    <row r="11" spans="1:22" s="44" customFormat="1" ht="12" customHeight="1">
      <c r="C11" s="729"/>
      <c r="D11" s="717"/>
      <c r="E11" s="45" t="s">
        <v>12</v>
      </c>
      <c r="F11" s="80">
        <f>1887.624+1258.416</f>
        <v>3146.04</v>
      </c>
      <c r="G11" s="87"/>
      <c r="H11" s="82">
        <f>F11+G11+J10</f>
        <v>8179.73</v>
      </c>
      <c r="I11" s="81"/>
      <c r="J11" s="82">
        <f t="shared" si="2"/>
        <v>8179.73</v>
      </c>
      <c r="K11" s="83">
        <f t="shared" si="3"/>
        <v>0</v>
      </c>
      <c r="P11" s="718"/>
      <c r="Q11" s="709"/>
      <c r="R11" s="709"/>
      <c r="S11" s="709"/>
      <c r="T11" s="553"/>
      <c r="U11" s="555"/>
    </row>
    <row r="12" spans="1:22" s="44" customFormat="1" ht="12" customHeight="1">
      <c r="C12" s="729"/>
      <c r="D12" s="734" t="s">
        <v>65</v>
      </c>
      <c r="E12" s="47" t="s">
        <v>11</v>
      </c>
      <c r="F12" s="84">
        <f>2359.54+471.908+4247.172+707.862</f>
        <v>7786.4819999999991</v>
      </c>
      <c r="G12" s="85"/>
      <c r="H12" s="84">
        <f>F12+G12</f>
        <v>7786.4819999999991</v>
      </c>
      <c r="I12" s="290"/>
      <c r="J12" s="86">
        <f t="shared" ref="J12:J13" si="4">H12-I12</f>
        <v>7786.4819999999991</v>
      </c>
      <c r="K12" s="83">
        <f t="shared" ref="K12:K13" si="5">I12/H12</f>
        <v>0</v>
      </c>
      <c r="P12" s="718">
        <f>F12+F13</f>
        <v>10381.965</v>
      </c>
      <c r="Q12" s="709">
        <f>G12+G13</f>
        <v>0</v>
      </c>
      <c r="R12" s="709">
        <f>P12+Q12</f>
        <v>10381.965</v>
      </c>
      <c r="S12" s="709">
        <f>I12+I13</f>
        <v>0</v>
      </c>
      <c r="T12" s="553">
        <f>R12-S12</f>
        <v>10381.965</v>
      </c>
      <c r="U12" s="555">
        <f>S12/R12</f>
        <v>0</v>
      </c>
    </row>
    <row r="13" spans="1:22" s="44" customFormat="1" ht="12" customHeight="1">
      <c r="C13" s="729"/>
      <c r="D13" s="735"/>
      <c r="E13" s="45" t="s">
        <v>12</v>
      </c>
      <c r="F13" s="80">
        <f>786.51+157.302+1415.718+235.953</f>
        <v>2595.4830000000002</v>
      </c>
      <c r="G13" s="87"/>
      <c r="H13" s="82">
        <f>F13+G13+J12</f>
        <v>10381.965</v>
      </c>
      <c r="I13" s="301"/>
      <c r="J13" s="82">
        <f t="shared" si="4"/>
        <v>10381.965</v>
      </c>
      <c r="K13" s="83">
        <f t="shared" si="5"/>
        <v>0</v>
      </c>
      <c r="P13" s="718"/>
      <c r="Q13" s="709"/>
      <c r="R13" s="709"/>
      <c r="S13" s="709"/>
      <c r="T13" s="553"/>
      <c r="U13" s="555"/>
    </row>
    <row r="14" spans="1:22" s="44" customFormat="1" ht="12" customHeight="1">
      <c r="C14" s="729"/>
      <c r="D14" s="730" t="s">
        <v>64</v>
      </c>
      <c r="E14" s="47" t="s">
        <v>11</v>
      </c>
      <c r="F14" s="76">
        <v>356634.93800000002</v>
      </c>
      <c r="G14" s="107">
        <f>-12000-15000</f>
        <v>-27000</v>
      </c>
      <c r="H14" s="76">
        <f>F14+G14</f>
        <v>329634.93800000002</v>
      </c>
      <c r="I14" s="345">
        <v>211686.68299999976</v>
      </c>
      <c r="J14" s="78">
        <f>H14-I14</f>
        <v>117948.25500000027</v>
      </c>
      <c r="K14" s="83">
        <f t="shared" si="1"/>
        <v>0.64218521338899992</v>
      </c>
      <c r="L14" s="44">
        <f>+I8+I14</f>
        <v>259066.00999999978</v>
      </c>
      <c r="P14" s="718">
        <f>F14+F15</f>
        <v>475512.74700000003</v>
      </c>
      <c r="Q14" s="709">
        <f>G14+G15</f>
        <v>-67000</v>
      </c>
      <c r="R14" s="709">
        <f>P14+Q14</f>
        <v>408512.74700000003</v>
      </c>
      <c r="S14" s="709">
        <f>I14+I15</f>
        <v>257723.02099999978</v>
      </c>
      <c r="T14" s="553">
        <f>R14-S14</f>
        <v>150789.72600000026</v>
      </c>
      <c r="U14" s="555">
        <f>S14/R14</f>
        <v>0.63088122192671692</v>
      </c>
    </row>
    <row r="15" spans="1:22" s="44" customFormat="1" ht="12" customHeight="1" thickBot="1">
      <c r="C15" s="729"/>
      <c r="D15" s="731"/>
      <c r="E15" s="42" t="s">
        <v>12</v>
      </c>
      <c r="F15" s="76">
        <v>118877.80899999999</v>
      </c>
      <c r="G15" s="107">
        <f>-40000</f>
        <v>-40000</v>
      </c>
      <c r="H15" s="78">
        <f>J14+F15+G15</f>
        <v>196826.06400000025</v>
      </c>
      <c r="I15" s="345">
        <v>46036.338000000018</v>
      </c>
      <c r="J15" s="78">
        <f>H15-I15</f>
        <v>150789.72600000023</v>
      </c>
      <c r="K15" s="618">
        <f t="shared" si="1"/>
        <v>0.23389350507969289</v>
      </c>
      <c r="L15" s="44">
        <f>+I9+I15</f>
        <v>64012.513000000006</v>
      </c>
      <c r="P15" s="732"/>
      <c r="Q15" s="733"/>
      <c r="R15" s="733"/>
      <c r="S15" s="733"/>
      <c r="T15" s="554"/>
      <c r="U15" s="556"/>
    </row>
    <row r="16" spans="1:22" s="50" customFormat="1" ht="12" customHeight="1" thickBot="1">
      <c r="C16" s="723" t="s">
        <v>91</v>
      </c>
      <c r="D16" s="724"/>
      <c r="E16" s="724"/>
      <c r="F16" s="619">
        <f>SUM(F6:F15)</f>
        <v>629209.99900000007</v>
      </c>
      <c r="G16" s="620">
        <f>SUM(G6:G15)</f>
        <v>-75656.733999999997</v>
      </c>
      <c r="H16" s="621">
        <f>+F16+G16</f>
        <v>553553.26500000013</v>
      </c>
      <c r="I16" s="625">
        <f>SUM(I6:I15)</f>
        <v>323078.52299999981</v>
      </c>
      <c r="J16" s="622">
        <f>H16-I16</f>
        <v>230474.74200000032</v>
      </c>
      <c r="K16" s="623">
        <f>I16/H16</f>
        <v>0.58364486929726578</v>
      </c>
      <c r="P16" s="48">
        <f>SUM(P6:P15)</f>
        <v>629209.99900000007</v>
      </c>
      <c r="Q16" s="48">
        <f>SUM(Q6:Q15)</f>
        <v>-75656.733999999997</v>
      </c>
      <c r="R16" s="48">
        <f>+P16+Q16</f>
        <v>553553.26500000013</v>
      </c>
      <c r="S16" s="48">
        <f>SUM(S6:S15)</f>
        <v>323078.52299999975</v>
      </c>
      <c r="T16" s="48">
        <f>SUM(T6:T15)</f>
        <v>230474.74200000026</v>
      </c>
      <c r="U16" s="49">
        <f>S16/R16</f>
        <v>0.58364486929726567</v>
      </c>
    </row>
    <row r="17" spans="3:22" s="50" customFormat="1" ht="12" customHeight="1">
      <c r="C17" s="51"/>
      <c r="D17" s="51"/>
      <c r="E17" s="51"/>
      <c r="F17" s="76"/>
      <c r="G17" s="76"/>
      <c r="H17" s="76"/>
      <c r="I17" s="76"/>
      <c r="J17" s="76"/>
      <c r="K17" s="76"/>
      <c r="P17" s="51"/>
      <c r="Q17" s="51"/>
      <c r="R17" s="51"/>
      <c r="S17" s="51"/>
      <c r="T17" s="51"/>
      <c r="U17" s="51"/>
    </row>
    <row r="18" spans="3:22" s="44" customFormat="1" ht="12" customHeight="1">
      <c r="C18" s="721" t="s">
        <v>13</v>
      </c>
      <c r="D18" s="327" t="s">
        <v>56</v>
      </c>
      <c r="E18" s="292" t="s">
        <v>14</v>
      </c>
      <c r="F18" s="293">
        <v>2124.5897651999999</v>
      </c>
      <c r="G18" s="294">
        <v>-1100</v>
      </c>
      <c r="H18" s="295">
        <f t="shared" ref="H18:H34" si="6">F18+G18</f>
        <v>1024.5897651999999</v>
      </c>
      <c r="I18" s="290"/>
      <c r="J18" s="296">
        <f>H18-I18</f>
        <v>1024.5897651999999</v>
      </c>
      <c r="K18" s="88">
        <f t="shared" si="1"/>
        <v>0</v>
      </c>
      <c r="P18" s="52"/>
      <c r="Q18" s="52"/>
      <c r="R18" s="52"/>
      <c r="S18" s="52"/>
      <c r="T18" s="52"/>
      <c r="U18" s="52"/>
      <c r="V18" s="252"/>
    </row>
    <row r="19" spans="3:22" s="44" customFormat="1" ht="12" customHeight="1">
      <c r="C19" s="721"/>
      <c r="D19" s="327" t="s">
        <v>57</v>
      </c>
      <c r="E19" s="292" t="s">
        <v>14</v>
      </c>
      <c r="F19" s="293">
        <v>15839.5403862</v>
      </c>
      <c r="G19" s="294">
        <f>-6937.234-1500-7402.3</f>
        <v>-15839.534</v>
      </c>
      <c r="H19" s="295">
        <f t="shared" si="6"/>
        <v>6.3862000006338349E-3</v>
      </c>
      <c r="I19" s="290"/>
      <c r="J19" s="297">
        <f t="shared" ref="J19:J32" si="7">H19-I19</f>
        <v>6.3862000006338349E-3</v>
      </c>
      <c r="K19" s="268">
        <v>0</v>
      </c>
      <c r="P19" s="52"/>
      <c r="Q19" s="52"/>
      <c r="R19" s="52"/>
      <c r="S19" s="52"/>
      <c r="T19" s="52"/>
      <c r="U19" s="52"/>
      <c r="V19" s="50"/>
    </row>
    <row r="20" spans="3:22" s="44" customFormat="1" ht="12" customHeight="1">
      <c r="C20" s="721"/>
      <c r="D20" s="327" t="s">
        <v>58</v>
      </c>
      <c r="E20" s="292" t="s">
        <v>14</v>
      </c>
      <c r="F20" s="293">
        <v>122.5570182</v>
      </c>
      <c r="G20" s="298"/>
      <c r="H20" s="295">
        <f t="shared" si="6"/>
        <v>122.5570182</v>
      </c>
      <c r="I20" s="290"/>
      <c r="J20" s="296">
        <f t="shared" si="7"/>
        <v>122.5570182</v>
      </c>
      <c r="K20" s="89">
        <f t="shared" si="1"/>
        <v>0</v>
      </c>
      <c r="P20" s="52"/>
      <c r="Q20" s="52"/>
      <c r="R20" s="52"/>
      <c r="S20" s="52"/>
      <c r="T20" s="52"/>
      <c r="U20" s="52"/>
      <c r="V20" s="252"/>
    </row>
    <row r="21" spans="3:22" s="44" customFormat="1" ht="12" customHeight="1">
      <c r="C21" s="721"/>
      <c r="D21" s="327" t="s">
        <v>59</v>
      </c>
      <c r="E21" s="292" t="s">
        <v>14</v>
      </c>
      <c r="F21" s="293">
        <v>29.3473635</v>
      </c>
      <c r="G21" s="294"/>
      <c r="H21" s="295">
        <f>F21+G21</f>
        <v>29.3473635</v>
      </c>
      <c r="I21" s="290"/>
      <c r="J21" s="296">
        <f t="shared" si="7"/>
        <v>29.3473635</v>
      </c>
      <c r="K21" s="89">
        <f t="shared" si="1"/>
        <v>0</v>
      </c>
      <c r="P21" s="52"/>
      <c r="Q21" s="52"/>
      <c r="R21" s="52"/>
      <c r="S21" s="52"/>
      <c r="T21" s="52"/>
      <c r="U21" s="52"/>
      <c r="V21" s="50"/>
    </row>
    <row r="22" spans="3:22" s="44" customFormat="1" ht="12" customHeight="1">
      <c r="C22" s="721"/>
      <c r="D22" s="327" t="s">
        <v>15</v>
      </c>
      <c r="E22" s="292" t="s">
        <v>14</v>
      </c>
      <c r="F22" s="293">
        <v>368.47919790000003</v>
      </c>
      <c r="G22" s="294">
        <f>-184.113-173.011</f>
        <v>-357.12400000000002</v>
      </c>
      <c r="H22" s="295">
        <f t="shared" si="6"/>
        <v>11.355197900000007</v>
      </c>
      <c r="I22" s="290"/>
      <c r="J22" s="296">
        <f t="shared" si="7"/>
        <v>11.355197900000007</v>
      </c>
      <c r="K22" s="89">
        <v>0</v>
      </c>
      <c r="P22" s="52"/>
      <c r="Q22" s="52"/>
      <c r="R22" s="52"/>
      <c r="S22" s="52"/>
      <c r="T22" s="52"/>
      <c r="U22" s="52"/>
      <c r="V22" s="252"/>
    </row>
    <row r="23" spans="3:22" s="44" customFormat="1" ht="12" customHeight="1">
      <c r="C23" s="721"/>
      <c r="D23" s="327" t="s">
        <v>60</v>
      </c>
      <c r="E23" s="292" t="s">
        <v>14</v>
      </c>
      <c r="F23" s="293">
        <v>15542.492709</v>
      </c>
      <c r="G23" s="294">
        <f>-8100-7400</f>
        <v>-15500</v>
      </c>
      <c r="H23" s="295">
        <f t="shared" si="6"/>
        <v>42.492709000000104</v>
      </c>
      <c r="I23" s="290"/>
      <c r="J23" s="296">
        <f t="shared" si="7"/>
        <v>42.492709000000104</v>
      </c>
      <c r="K23" s="89">
        <f t="shared" si="1"/>
        <v>0</v>
      </c>
      <c r="P23" s="52"/>
      <c r="Q23" s="52"/>
      <c r="R23" s="52"/>
      <c r="S23" s="52"/>
      <c r="T23" s="52"/>
      <c r="U23" s="52"/>
      <c r="V23" s="50"/>
    </row>
    <row r="24" spans="3:22" s="44" customFormat="1" ht="12" customHeight="1">
      <c r="C24" s="721"/>
      <c r="D24" s="340" t="s">
        <v>61</v>
      </c>
      <c r="E24" s="292" t="s">
        <v>14</v>
      </c>
      <c r="F24" s="293">
        <v>799.28787059999991</v>
      </c>
      <c r="G24" s="299">
        <f>-51.352-370.146</f>
        <v>-421.49799999999999</v>
      </c>
      <c r="H24" s="295">
        <f t="shared" si="6"/>
        <v>377.78987059999992</v>
      </c>
      <c r="I24" s="290"/>
      <c r="J24" s="296">
        <f t="shared" si="7"/>
        <v>377.78987059999992</v>
      </c>
      <c r="K24" s="89">
        <f t="shared" si="1"/>
        <v>0</v>
      </c>
      <c r="P24" s="52"/>
      <c r="Q24" s="52"/>
      <c r="R24" s="52"/>
      <c r="S24" s="52"/>
      <c r="T24" s="52"/>
      <c r="U24" s="52"/>
      <c r="V24" s="252"/>
    </row>
    <row r="25" spans="3:22" s="44" customFormat="1" ht="12" customHeight="1">
      <c r="C25" s="721"/>
      <c r="D25" s="327" t="s">
        <v>62</v>
      </c>
      <c r="E25" s="292" t="s">
        <v>14</v>
      </c>
      <c r="F25" s="293">
        <v>3.5436893999999999</v>
      </c>
      <c r="G25" s="298"/>
      <c r="H25" s="295">
        <f t="shared" ref="H25:H29" si="8">F25+G25</f>
        <v>3.5436893999999999</v>
      </c>
      <c r="I25" s="290"/>
      <c r="J25" s="296">
        <f t="shared" ref="J25:J27" si="9">H25-I25</f>
        <v>3.5436893999999999</v>
      </c>
      <c r="K25" s="89">
        <f t="shared" ref="K25:K27" si="10">I25/H25</f>
        <v>0</v>
      </c>
      <c r="P25" s="52"/>
      <c r="Q25" s="52"/>
      <c r="R25" s="52"/>
      <c r="S25" s="52"/>
      <c r="T25" s="52"/>
      <c r="U25" s="52"/>
      <c r="V25" s="50"/>
    </row>
    <row r="26" spans="3:22" s="44" customFormat="1" ht="12" customHeight="1">
      <c r="C26" s="721"/>
      <c r="D26" s="327" t="s">
        <v>112</v>
      </c>
      <c r="E26" s="292" t="s">
        <v>14</v>
      </c>
      <c r="F26" s="293">
        <v>758.82000000000016</v>
      </c>
      <c r="G26" s="300">
        <f>-404.104-354.714</f>
        <v>-758.81799999999998</v>
      </c>
      <c r="H26" s="295">
        <f t="shared" si="8"/>
        <v>2.00000000018008E-3</v>
      </c>
      <c r="I26" s="290"/>
      <c r="J26" s="296">
        <f t="shared" si="9"/>
        <v>2.00000000018008E-3</v>
      </c>
      <c r="K26" s="268">
        <f t="shared" si="10"/>
        <v>0</v>
      </c>
      <c r="P26" s="52"/>
      <c r="Q26" s="52"/>
      <c r="R26" s="52"/>
      <c r="S26" s="52"/>
      <c r="T26" s="52"/>
      <c r="U26" s="52"/>
      <c r="V26" s="252"/>
    </row>
    <row r="27" spans="3:22" s="44" customFormat="1" ht="12" customHeight="1">
      <c r="C27" s="721"/>
      <c r="D27" s="600" t="s">
        <v>16</v>
      </c>
      <c r="E27" s="601" t="s">
        <v>14</v>
      </c>
      <c r="F27" s="602">
        <v>227.64600000000002</v>
      </c>
      <c r="G27" s="298"/>
      <c r="H27" s="295">
        <f t="shared" si="8"/>
        <v>227.64600000000002</v>
      </c>
      <c r="I27" s="290"/>
      <c r="J27" s="296">
        <f t="shared" si="9"/>
        <v>227.64600000000002</v>
      </c>
      <c r="K27" s="88">
        <f t="shared" si="10"/>
        <v>0</v>
      </c>
      <c r="P27" s="52"/>
      <c r="Q27" s="52"/>
      <c r="R27" s="52"/>
      <c r="S27" s="52"/>
      <c r="T27" s="52"/>
      <c r="U27" s="52"/>
      <c r="V27" s="50"/>
    </row>
    <row r="28" spans="3:22" s="44" customFormat="1" ht="12" customHeight="1">
      <c r="C28" s="721"/>
      <c r="D28" s="327" t="s">
        <v>17</v>
      </c>
      <c r="E28" s="292" t="s">
        <v>14</v>
      </c>
      <c r="F28" s="293">
        <v>607.05600000000004</v>
      </c>
      <c r="G28" s="298"/>
      <c r="H28" s="295">
        <f t="shared" si="8"/>
        <v>607.05600000000004</v>
      </c>
      <c r="I28" s="301"/>
      <c r="J28" s="302">
        <f>H28-I28</f>
        <v>607.05600000000004</v>
      </c>
      <c r="K28" s="90">
        <f>I28/H28</f>
        <v>0</v>
      </c>
      <c r="P28" s="52"/>
      <c r="Q28" s="52"/>
      <c r="R28" s="52"/>
      <c r="S28" s="52"/>
      <c r="T28" s="52"/>
      <c r="U28" s="52"/>
      <c r="V28" s="252"/>
    </row>
    <row r="29" spans="3:22" s="44" customFormat="1" ht="12" customHeight="1">
      <c r="C29" s="721"/>
      <c r="D29" s="327" t="s">
        <v>148</v>
      </c>
      <c r="E29" s="54" t="s">
        <v>14</v>
      </c>
      <c r="F29" s="303">
        <v>436.32150000000001</v>
      </c>
      <c r="G29" s="290"/>
      <c r="H29" s="304">
        <f t="shared" si="8"/>
        <v>436.32150000000001</v>
      </c>
      <c r="I29" s="290"/>
      <c r="J29" s="296">
        <f>H29-I29</f>
        <v>436.32150000000001</v>
      </c>
      <c r="K29" s="89">
        <v>0</v>
      </c>
      <c r="P29" s="52"/>
      <c r="Q29" s="52"/>
      <c r="R29" s="52"/>
      <c r="S29" s="52"/>
      <c r="T29" s="52"/>
      <c r="U29" s="52"/>
      <c r="V29" s="50"/>
    </row>
    <row r="30" spans="3:22" s="44" customFormat="1" ht="12" customHeight="1">
      <c r="C30" s="721"/>
      <c r="D30" s="328" t="s">
        <v>149</v>
      </c>
      <c r="E30" s="292" t="s">
        <v>14</v>
      </c>
      <c r="F30" s="293">
        <v>284.5575</v>
      </c>
      <c r="G30" s="294">
        <v>-284.55900000000003</v>
      </c>
      <c r="H30" s="295">
        <f t="shared" si="6"/>
        <v>-1.5000000000213731E-3</v>
      </c>
      <c r="I30" s="290"/>
      <c r="J30" s="296">
        <f t="shared" si="7"/>
        <v>-1.5000000000213731E-3</v>
      </c>
      <c r="K30" s="288">
        <f t="shared" si="1"/>
        <v>0</v>
      </c>
      <c r="P30" s="52"/>
      <c r="Q30" s="52"/>
      <c r="R30" s="52"/>
      <c r="S30" s="52"/>
      <c r="T30" s="52"/>
      <c r="U30" s="52"/>
      <c r="V30" s="252"/>
    </row>
    <row r="31" spans="3:22" s="44" customFormat="1" ht="12" customHeight="1">
      <c r="C31" s="721"/>
      <c r="D31" s="328" t="s">
        <v>150</v>
      </c>
      <c r="E31" s="54" t="s">
        <v>14</v>
      </c>
      <c r="F31" s="293">
        <v>94.852500000000006</v>
      </c>
      <c r="G31" s="300"/>
      <c r="H31" s="295">
        <f t="shared" si="6"/>
        <v>94.852500000000006</v>
      </c>
      <c r="I31" s="290"/>
      <c r="J31" s="296">
        <f t="shared" si="7"/>
        <v>94.852500000000006</v>
      </c>
      <c r="K31" s="89">
        <f t="shared" si="1"/>
        <v>0</v>
      </c>
      <c r="P31" s="52"/>
      <c r="Q31" s="52"/>
      <c r="R31" s="52"/>
      <c r="S31" s="52"/>
      <c r="T31" s="52"/>
      <c r="U31" s="52"/>
      <c r="V31" s="50"/>
    </row>
    <row r="32" spans="3:22" s="44" customFormat="1" ht="12" customHeight="1">
      <c r="C32" s="721"/>
      <c r="D32" s="328" t="s">
        <v>151</v>
      </c>
      <c r="E32" s="292" t="s">
        <v>14</v>
      </c>
      <c r="F32" s="293">
        <v>398.38050000000004</v>
      </c>
      <c r="G32" s="300">
        <f>-209.48-188.186</f>
        <v>-397.666</v>
      </c>
      <c r="H32" s="295">
        <f t="shared" si="6"/>
        <v>0.71450000000004366</v>
      </c>
      <c r="I32" s="290"/>
      <c r="J32" s="296">
        <f t="shared" si="7"/>
        <v>0.71450000000004366</v>
      </c>
      <c r="K32" s="287">
        <f t="shared" si="1"/>
        <v>0</v>
      </c>
      <c r="P32" s="52"/>
      <c r="Q32" s="52"/>
      <c r="R32" s="52"/>
      <c r="S32" s="52"/>
      <c r="T32" s="52"/>
      <c r="U32" s="52"/>
      <c r="V32" s="252"/>
    </row>
    <row r="33" spans="3:22" s="44" customFormat="1" ht="12" customHeight="1">
      <c r="C33" s="721"/>
      <c r="D33" s="328" t="s">
        <v>152</v>
      </c>
      <c r="E33" s="54" t="s">
        <v>14</v>
      </c>
      <c r="F33" s="293">
        <v>151.76400000000001</v>
      </c>
      <c r="G33" s="294">
        <v>-151.76400000000001</v>
      </c>
      <c r="H33" s="295">
        <f t="shared" si="6"/>
        <v>0</v>
      </c>
      <c r="I33" s="301"/>
      <c r="J33" s="302">
        <f>H33-I33</f>
        <v>0</v>
      </c>
      <c r="K33" s="267">
        <v>0</v>
      </c>
      <c r="P33" s="52"/>
      <c r="Q33" s="52"/>
      <c r="R33" s="52"/>
      <c r="S33" s="52"/>
      <c r="T33" s="52"/>
      <c r="U33" s="52"/>
      <c r="V33" s="50"/>
    </row>
    <row r="34" spans="3:22" s="44" customFormat="1" ht="12" customHeight="1" thickBot="1">
      <c r="C34" s="722"/>
      <c r="D34" s="624" t="s">
        <v>153</v>
      </c>
      <c r="E34" s="54" t="s">
        <v>14</v>
      </c>
      <c r="F34" s="303">
        <v>151.76400000000001</v>
      </c>
      <c r="G34" s="312">
        <v>-151.76400000000001</v>
      </c>
      <c r="H34" s="304">
        <f t="shared" si="6"/>
        <v>0</v>
      </c>
      <c r="I34" s="290"/>
      <c r="J34" s="296">
        <f>H34-I34</f>
        <v>0</v>
      </c>
      <c r="K34" s="268">
        <v>0</v>
      </c>
      <c r="P34" s="52"/>
      <c r="Q34" s="52"/>
      <c r="R34" s="52"/>
      <c r="S34" s="52"/>
      <c r="T34" s="52"/>
      <c r="U34" s="52"/>
      <c r="V34" s="252"/>
    </row>
    <row r="35" spans="3:22" s="50" customFormat="1" ht="12" customHeight="1" thickBot="1">
      <c r="C35" s="693" t="s">
        <v>13</v>
      </c>
      <c r="D35" s="694"/>
      <c r="E35" s="694"/>
      <c r="F35" s="625">
        <f>SUM(F18:F34)</f>
        <v>37941.000000000007</v>
      </c>
      <c r="G35" s="626">
        <f>SUM(G18:G34)</f>
        <v>-34962.726999999999</v>
      </c>
      <c r="H35" s="627">
        <f>+F35+G35</f>
        <v>2978.2730000000083</v>
      </c>
      <c r="I35" s="625">
        <f>SUM(I18:I34)</f>
        <v>0</v>
      </c>
      <c r="J35" s="627">
        <f>+H35-I35</f>
        <v>2978.2730000000083</v>
      </c>
      <c r="K35" s="628">
        <f>I35/H35</f>
        <v>0</v>
      </c>
      <c r="P35" s="51"/>
      <c r="Q35" s="51"/>
      <c r="R35" s="51"/>
      <c r="S35" s="51"/>
      <c r="T35" s="51"/>
      <c r="U35" s="51"/>
    </row>
    <row r="36" spans="3:22" s="50" customFormat="1" ht="12" customHeight="1" thickBot="1">
      <c r="C36" s="53"/>
      <c r="D36" s="53"/>
      <c r="E36" s="53"/>
      <c r="F36" s="76"/>
      <c r="G36" s="76"/>
      <c r="H36" s="76"/>
      <c r="I36" s="76"/>
      <c r="J36" s="76"/>
      <c r="K36" s="91"/>
      <c r="P36" s="51"/>
      <c r="Q36" s="51"/>
      <c r="R36" s="51"/>
      <c r="S36" s="51"/>
      <c r="T36" s="51"/>
      <c r="U36" s="51"/>
    </row>
    <row r="37" spans="3:22" s="44" customFormat="1" ht="12" customHeight="1">
      <c r="C37" s="702" t="s">
        <v>18</v>
      </c>
      <c r="D37" s="704" t="s">
        <v>67</v>
      </c>
      <c r="E37" s="54" t="s">
        <v>11</v>
      </c>
      <c r="F37" s="96">
        <v>3.661</v>
      </c>
      <c r="G37" s="290"/>
      <c r="H37" s="96">
        <f>F37+G37</f>
        <v>3.661</v>
      </c>
      <c r="I37" s="290"/>
      <c r="J37" s="296">
        <f t="shared" ref="J37:J42" si="11">H37-I37</f>
        <v>3.661</v>
      </c>
      <c r="K37" s="89">
        <f t="shared" ref="K37:K52" si="12">I37/H37</f>
        <v>0</v>
      </c>
      <c r="P37" s="725">
        <f>F37+F38</f>
        <v>4.88</v>
      </c>
      <c r="Q37" s="727">
        <f>G37+G38</f>
        <v>0</v>
      </c>
      <c r="R37" s="727">
        <f>P37+Q37</f>
        <v>4.88</v>
      </c>
      <c r="S37" s="727">
        <f>I37+I38</f>
        <v>0</v>
      </c>
      <c r="T37" s="549">
        <f>R37-S37</f>
        <v>4.88</v>
      </c>
      <c r="U37" s="551">
        <f>S37/R37</f>
        <v>0</v>
      </c>
    </row>
    <row r="38" spans="3:22" s="44" customFormat="1" ht="12" customHeight="1">
      <c r="C38" s="703"/>
      <c r="D38" s="705"/>
      <c r="E38" s="46" t="s">
        <v>12</v>
      </c>
      <c r="F38" s="92">
        <v>1.2190000000000001</v>
      </c>
      <c r="G38" s="81"/>
      <c r="H38" s="305">
        <f>F38+G38+J37</f>
        <v>4.88</v>
      </c>
      <c r="I38" s="81"/>
      <c r="J38" s="306">
        <f t="shared" si="11"/>
        <v>4.88</v>
      </c>
      <c r="K38" s="89">
        <f t="shared" si="12"/>
        <v>0</v>
      </c>
      <c r="P38" s="726"/>
      <c r="Q38" s="728"/>
      <c r="R38" s="728"/>
      <c r="S38" s="728"/>
      <c r="T38" s="550"/>
      <c r="U38" s="552"/>
    </row>
    <row r="39" spans="3:22" s="44" customFormat="1" ht="12" customHeight="1">
      <c r="C39" s="703"/>
      <c r="D39" s="704" t="s">
        <v>68</v>
      </c>
      <c r="E39" s="54" t="s">
        <v>11</v>
      </c>
      <c r="F39" s="96">
        <v>234.869</v>
      </c>
      <c r="G39" s="290"/>
      <c r="H39" s="96">
        <f>F39+G39</f>
        <v>234.869</v>
      </c>
      <c r="I39" s="290"/>
      <c r="J39" s="296">
        <f t="shared" si="11"/>
        <v>234.869</v>
      </c>
      <c r="K39" s="89">
        <f t="shared" si="12"/>
        <v>0</v>
      </c>
      <c r="P39" s="739">
        <f>F39+F40</f>
        <v>313.08799999999997</v>
      </c>
      <c r="Q39" s="737">
        <f>G39+G40</f>
        <v>0</v>
      </c>
      <c r="R39" s="737">
        <f>P39+Q39</f>
        <v>313.08799999999997</v>
      </c>
      <c r="S39" s="737">
        <f>I39+I40</f>
        <v>0</v>
      </c>
      <c r="T39" s="547">
        <f>R39-S39</f>
        <v>313.08799999999997</v>
      </c>
      <c r="U39" s="545">
        <f>S39/R39</f>
        <v>0</v>
      </c>
    </row>
    <row r="40" spans="3:22" s="44" customFormat="1" ht="12" customHeight="1">
      <c r="C40" s="703"/>
      <c r="D40" s="705"/>
      <c r="E40" s="46" t="s">
        <v>12</v>
      </c>
      <c r="F40" s="92">
        <v>78.218999999999994</v>
      </c>
      <c r="G40" s="81"/>
      <c r="H40" s="305">
        <f>F40+G40+J39</f>
        <v>313.08799999999997</v>
      </c>
      <c r="I40" s="661"/>
      <c r="J40" s="306">
        <f t="shared" si="11"/>
        <v>313.08799999999997</v>
      </c>
      <c r="K40" s="89">
        <f t="shared" si="12"/>
        <v>0</v>
      </c>
      <c r="P40" s="726"/>
      <c r="Q40" s="728"/>
      <c r="R40" s="728"/>
      <c r="S40" s="728"/>
      <c r="T40" s="550"/>
      <c r="U40" s="552"/>
    </row>
    <row r="41" spans="3:22" s="44" customFormat="1" ht="12" customHeight="1">
      <c r="C41" s="703"/>
      <c r="D41" s="704" t="s">
        <v>69</v>
      </c>
      <c r="E41" s="54" t="s">
        <v>11</v>
      </c>
      <c r="F41" s="96">
        <v>875.47</v>
      </c>
      <c r="G41" s="290"/>
      <c r="H41" s="96">
        <f>F41+G41</f>
        <v>875.47</v>
      </c>
      <c r="I41" s="660">
        <v>6.1909999999999998</v>
      </c>
      <c r="J41" s="296">
        <f t="shared" si="11"/>
        <v>869.279</v>
      </c>
      <c r="K41" s="89">
        <f t="shared" si="12"/>
        <v>7.071630095834237E-3</v>
      </c>
      <c r="P41" s="739">
        <f>F41+F42</f>
        <v>1167.0309999999999</v>
      </c>
      <c r="Q41" s="737">
        <f>G41+G42</f>
        <v>0</v>
      </c>
      <c r="R41" s="737">
        <f>P41+Q41</f>
        <v>1167.0309999999999</v>
      </c>
      <c r="S41" s="737">
        <f>I41+I42</f>
        <v>6.1909999999999998</v>
      </c>
      <c r="T41" s="547">
        <f>R41-S41</f>
        <v>1160.8399999999999</v>
      </c>
      <c r="U41" s="545">
        <f>S41/R41</f>
        <v>5.3049147794702973E-3</v>
      </c>
    </row>
    <row r="42" spans="3:22" s="44" customFormat="1" ht="12" customHeight="1" thickBot="1">
      <c r="C42" s="703"/>
      <c r="D42" s="740"/>
      <c r="E42" s="616" t="s">
        <v>12</v>
      </c>
      <c r="F42" s="307">
        <v>291.56099999999998</v>
      </c>
      <c r="G42" s="301"/>
      <c r="H42" s="308">
        <f>F42+G42+J41</f>
        <v>1160.8399999999999</v>
      </c>
      <c r="I42" s="301"/>
      <c r="J42" s="302">
        <f t="shared" si="11"/>
        <v>1160.8399999999999</v>
      </c>
      <c r="K42" s="93">
        <f t="shared" si="12"/>
        <v>0</v>
      </c>
      <c r="P42" s="741"/>
      <c r="Q42" s="738"/>
      <c r="R42" s="738"/>
      <c r="S42" s="738"/>
      <c r="T42" s="548"/>
      <c r="U42" s="546"/>
    </row>
    <row r="43" spans="3:22" s="50" customFormat="1" ht="12" customHeight="1" thickBot="1">
      <c r="C43" s="695" t="s">
        <v>18</v>
      </c>
      <c r="D43" s="696"/>
      <c r="E43" s="697"/>
      <c r="F43" s="629">
        <f>SUM(F37:F42)</f>
        <v>1484.999</v>
      </c>
      <c r="G43" s="617">
        <f>SUM(G37:G42)</f>
        <v>0</v>
      </c>
      <c r="H43" s="630">
        <f>H37+H38+H39+H40+H41+H42</f>
        <v>2592.808</v>
      </c>
      <c r="I43" s="617">
        <f>SUM(I37:I42)</f>
        <v>6.1909999999999998</v>
      </c>
      <c r="J43" s="631">
        <f>+H43-I43</f>
        <v>2586.6170000000002</v>
      </c>
      <c r="K43" s="632">
        <f>I43/H43</f>
        <v>2.3877587542155067E-3</v>
      </c>
      <c r="P43" s="48">
        <f>SUM(P37:P42)</f>
        <v>1484.9989999999998</v>
      </c>
      <c r="Q43" s="48">
        <f>SUM(Q37:Q42)</f>
        <v>0</v>
      </c>
      <c r="R43" s="48">
        <f>+P43+Q43</f>
        <v>1484.9989999999998</v>
      </c>
      <c r="S43" s="48">
        <f>SUM(S37:S42)</f>
        <v>6.1909999999999998</v>
      </c>
      <c r="T43" s="48">
        <f>+R43-S43</f>
        <v>1478.8079999999998</v>
      </c>
      <c r="U43" s="49">
        <f>S43/R43</f>
        <v>4.1690263764487387E-3</v>
      </c>
    </row>
    <row r="44" spans="3:22" s="50" customFormat="1" ht="12" customHeight="1" thickBot="1">
      <c r="C44" s="51"/>
      <c r="D44" s="55"/>
      <c r="E44" s="51"/>
      <c r="F44" s="94"/>
      <c r="G44" s="94"/>
      <c r="H44" s="94"/>
      <c r="I44" s="94"/>
      <c r="J44" s="95"/>
      <c r="K44" s="91"/>
      <c r="P44" s="43"/>
      <c r="Q44" s="51"/>
      <c r="R44" s="51"/>
      <c r="S44" s="51"/>
      <c r="T44" s="51"/>
      <c r="U44" s="51"/>
    </row>
    <row r="45" spans="3:22" s="44" customFormat="1" ht="12" customHeight="1">
      <c r="C45" s="706" t="s">
        <v>19</v>
      </c>
      <c r="D45" s="608" t="s">
        <v>70</v>
      </c>
      <c r="E45" s="609" t="s">
        <v>14</v>
      </c>
      <c r="F45" s="610">
        <v>119.553</v>
      </c>
      <c r="G45" s="611"/>
      <c r="H45" s="610">
        <f t="shared" ref="H45:H53" si="13">F45+G45</f>
        <v>119.553</v>
      </c>
      <c r="I45" s="611"/>
      <c r="J45" s="612">
        <f>H45-I45</f>
        <v>119.553</v>
      </c>
      <c r="K45" s="613">
        <f t="shared" si="12"/>
        <v>0</v>
      </c>
      <c r="P45" s="52"/>
      <c r="Q45" s="52"/>
      <c r="R45" s="52"/>
      <c r="S45" s="52"/>
      <c r="T45" s="52"/>
      <c r="U45" s="52"/>
    </row>
    <row r="46" spans="3:22" s="44" customFormat="1" ht="12" customHeight="1">
      <c r="C46" s="707"/>
      <c r="D46" s="309" t="s">
        <v>57</v>
      </c>
      <c r="E46" s="310" t="s">
        <v>14</v>
      </c>
      <c r="F46" s="96">
        <v>520.51199999999994</v>
      </c>
      <c r="G46" s="312">
        <v>-200</v>
      </c>
      <c r="H46" s="96">
        <f t="shared" si="13"/>
        <v>320.51199999999994</v>
      </c>
      <c r="I46" s="290"/>
      <c r="J46" s="296">
        <f t="shared" ref="J46:J53" si="14">H46-I46</f>
        <v>320.51199999999994</v>
      </c>
      <c r="K46" s="614">
        <f t="shared" si="12"/>
        <v>0</v>
      </c>
      <c r="P46" s="52"/>
      <c r="Q46" s="52"/>
      <c r="R46" s="52"/>
      <c r="S46" s="52"/>
      <c r="T46" s="52"/>
      <c r="U46" s="52"/>
    </row>
    <row r="47" spans="3:22" s="44" customFormat="1" ht="12" customHeight="1">
      <c r="C47" s="707"/>
      <c r="D47" s="309" t="s">
        <v>16</v>
      </c>
      <c r="E47" s="310" t="s">
        <v>14</v>
      </c>
      <c r="F47" s="96">
        <v>8.7999999999999995E-2</v>
      </c>
      <c r="G47" s="290"/>
      <c r="H47" s="96">
        <f t="shared" si="13"/>
        <v>8.7999999999999995E-2</v>
      </c>
      <c r="I47" s="290"/>
      <c r="J47" s="296">
        <f t="shared" si="14"/>
        <v>8.7999999999999995E-2</v>
      </c>
      <c r="K47" s="614">
        <f t="shared" si="12"/>
        <v>0</v>
      </c>
      <c r="P47" s="52"/>
      <c r="Q47" s="52"/>
      <c r="R47" s="52"/>
      <c r="S47" s="52"/>
      <c r="T47" s="52"/>
      <c r="U47" s="52"/>
    </row>
    <row r="48" spans="3:22" s="44" customFormat="1" ht="12" customHeight="1">
      <c r="C48" s="707"/>
      <c r="D48" s="309" t="s">
        <v>20</v>
      </c>
      <c r="E48" s="310" t="s">
        <v>14</v>
      </c>
      <c r="F48" s="96">
        <v>3.3519999999999999</v>
      </c>
      <c r="G48" s="298"/>
      <c r="H48" s="96">
        <f t="shared" si="13"/>
        <v>3.3519999999999999</v>
      </c>
      <c r="I48" s="290"/>
      <c r="J48" s="296">
        <f t="shared" si="14"/>
        <v>3.3519999999999999</v>
      </c>
      <c r="K48" s="614">
        <f t="shared" si="12"/>
        <v>0</v>
      </c>
      <c r="P48" s="52"/>
      <c r="Q48" s="52"/>
      <c r="R48" s="52"/>
      <c r="S48" s="52"/>
      <c r="T48" s="52"/>
      <c r="U48" s="52"/>
    </row>
    <row r="49" spans="3:24" s="44" customFormat="1" ht="12" customHeight="1">
      <c r="C49" s="707"/>
      <c r="D49" s="291" t="s">
        <v>21</v>
      </c>
      <c r="E49" s="310" t="s">
        <v>14</v>
      </c>
      <c r="F49" s="96">
        <v>3.7890000000000001</v>
      </c>
      <c r="G49" s="311">
        <v>0</v>
      </c>
      <c r="H49" s="96">
        <f t="shared" si="13"/>
        <v>3.7890000000000001</v>
      </c>
      <c r="I49" s="290"/>
      <c r="J49" s="296">
        <f t="shared" si="14"/>
        <v>3.7890000000000001</v>
      </c>
      <c r="K49" s="614">
        <f t="shared" si="12"/>
        <v>0</v>
      </c>
      <c r="P49" s="52"/>
      <c r="Q49" s="52"/>
      <c r="R49" s="52"/>
      <c r="S49" s="52"/>
      <c r="T49" s="52"/>
      <c r="U49" s="52"/>
    </row>
    <row r="50" spans="3:24" s="44" customFormat="1" ht="12" customHeight="1">
      <c r="C50" s="707"/>
      <c r="D50" s="291" t="s">
        <v>22</v>
      </c>
      <c r="E50" s="310" t="s">
        <v>14</v>
      </c>
      <c r="F50" s="96">
        <v>1.736</v>
      </c>
      <c r="G50" s="312">
        <f>-1.663</f>
        <v>-1.663</v>
      </c>
      <c r="H50" s="96">
        <f t="shared" si="13"/>
        <v>7.2999999999999954E-2</v>
      </c>
      <c r="I50" s="290"/>
      <c r="J50" s="296">
        <f t="shared" si="14"/>
        <v>7.2999999999999954E-2</v>
      </c>
      <c r="K50" s="614">
        <f t="shared" si="12"/>
        <v>0</v>
      </c>
      <c r="P50" s="52"/>
      <c r="Q50" s="52"/>
      <c r="R50" s="52"/>
      <c r="S50" s="52"/>
      <c r="T50" s="52"/>
      <c r="U50" s="52"/>
    </row>
    <row r="51" spans="3:24" s="44" customFormat="1" ht="12" customHeight="1">
      <c r="C51" s="707"/>
      <c r="D51" s="291" t="s">
        <v>23</v>
      </c>
      <c r="E51" s="310" t="s">
        <v>14</v>
      </c>
      <c r="F51" s="96">
        <v>223.434</v>
      </c>
      <c r="G51" s="312">
        <f>-100-100</f>
        <v>-200</v>
      </c>
      <c r="H51" s="96">
        <f t="shared" si="13"/>
        <v>23.433999999999997</v>
      </c>
      <c r="I51" s="290"/>
      <c r="J51" s="296">
        <f t="shared" si="14"/>
        <v>23.433999999999997</v>
      </c>
      <c r="K51" s="614">
        <f t="shared" si="12"/>
        <v>0</v>
      </c>
      <c r="P51" s="52"/>
      <c r="Q51" s="52"/>
      <c r="R51" s="52"/>
      <c r="S51" s="52"/>
      <c r="T51" s="52"/>
      <c r="U51" s="52"/>
    </row>
    <row r="52" spans="3:24" s="44" customFormat="1" ht="12" customHeight="1">
      <c r="C52" s="707"/>
      <c r="D52" s="291" t="s">
        <v>24</v>
      </c>
      <c r="E52" s="310" t="s">
        <v>14</v>
      </c>
      <c r="F52" s="96">
        <v>1.5129999999999999</v>
      </c>
      <c r="G52" s="290"/>
      <c r="H52" s="96">
        <f t="shared" si="13"/>
        <v>1.5129999999999999</v>
      </c>
      <c r="I52" s="290"/>
      <c r="J52" s="296">
        <f t="shared" si="14"/>
        <v>1.5129999999999999</v>
      </c>
      <c r="K52" s="614">
        <f t="shared" si="12"/>
        <v>0</v>
      </c>
      <c r="P52" s="52"/>
      <c r="Q52" s="52"/>
      <c r="R52" s="52"/>
      <c r="S52" s="52"/>
      <c r="T52" s="52"/>
      <c r="U52" s="52"/>
    </row>
    <row r="53" spans="3:24" s="44" customFormat="1" ht="12" customHeight="1">
      <c r="C53" s="708"/>
      <c r="D53" s="313" t="s">
        <v>25</v>
      </c>
      <c r="E53" s="292" t="s">
        <v>14</v>
      </c>
      <c r="F53" s="97">
        <v>1.024</v>
      </c>
      <c r="G53" s="298"/>
      <c r="H53" s="97">
        <f t="shared" si="13"/>
        <v>1.024</v>
      </c>
      <c r="I53" s="298"/>
      <c r="J53" s="314">
        <f t="shared" si="14"/>
        <v>1.024</v>
      </c>
      <c r="K53" s="615">
        <v>0</v>
      </c>
      <c r="P53" s="52"/>
      <c r="Q53" s="52"/>
      <c r="R53" s="52"/>
      <c r="S53" s="52"/>
      <c r="T53" s="52"/>
      <c r="U53" s="52"/>
    </row>
    <row r="54" spans="3:24" s="50" customFormat="1" ht="12" customHeight="1" thickBot="1">
      <c r="C54" s="698" t="s">
        <v>19</v>
      </c>
      <c r="D54" s="699"/>
      <c r="E54" s="700"/>
      <c r="F54" s="633">
        <f>SUM(F45:F53)</f>
        <v>875.00099999999986</v>
      </c>
      <c r="G54" s="634">
        <f>SUM(G45:G53)</f>
        <v>-401.66300000000001</v>
      </c>
      <c r="H54" s="635">
        <f>+F54+G54</f>
        <v>473.33799999999985</v>
      </c>
      <c r="I54" s="636">
        <f>SUM(I45:I53)</f>
        <v>0</v>
      </c>
      <c r="J54" s="635">
        <f>+H54-I54</f>
        <v>473.33799999999985</v>
      </c>
      <c r="K54" s="637">
        <f>I54/H54</f>
        <v>0</v>
      </c>
      <c r="P54" s="51"/>
      <c r="Q54" s="51"/>
      <c r="R54" s="51"/>
      <c r="S54" s="51"/>
      <c r="T54" s="51"/>
      <c r="U54" s="51"/>
    </row>
    <row r="55" spans="3:24" s="50" customFormat="1" ht="10.8" customHeight="1"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</row>
    <row r="56" spans="3:24" s="50" customFormat="1" ht="0.6" customHeight="1">
      <c r="C56" s="51"/>
      <c r="D56" s="51"/>
      <c r="E56" s="51"/>
      <c r="F56" s="51"/>
      <c r="G56" s="51">
        <f>+G54+G43+G35+G16</f>
        <v>-111021.124</v>
      </c>
      <c r="H56" s="51"/>
      <c r="I56" s="236">
        <f>SUM(J58:J78)</f>
        <v>62058.620999999999</v>
      </c>
      <c r="J56" s="236">
        <f>-I56-G56</f>
        <v>48962.502999999997</v>
      </c>
      <c r="K56" s="553"/>
      <c r="L56" s="553"/>
      <c r="M56" s="553"/>
      <c r="N56" s="553"/>
      <c r="O56" s="51"/>
      <c r="P56" s="51"/>
      <c r="Q56" s="51"/>
    </row>
    <row r="57" spans="3:24" s="50" customFormat="1" ht="10.95" customHeight="1">
      <c r="C57" s="128" t="s">
        <v>296</v>
      </c>
      <c r="D57" s="128" t="s">
        <v>110</v>
      </c>
      <c r="E57" s="128" t="s">
        <v>102</v>
      </c>
      <c r="F57" s="105" t="s">
        <v>103</v>
      </c>
      <c r="G57" s="229" t="s">
        <v>121</v>
      </c>
      <c r="H57" s="230" t="s">
        <v>122</v>
      </c>
      <c r="I57" s="128" t="s">
        <v>251</v>
      </c>
      <c r="J57" s="559" t="s">
        <v>104</v>
      </c>
      <c r="K57" s="701" t="s">
        <v>105</v>
      </c>
      <c r="L57" s="701"/>
      <c r="M57" s="701"/>
      <c r="N57" s="701"/>
      <c r="O57" s="231"/>
      <c r="P57" s="231"/>
      <c r="Q57" s="231"/>
    </row>
    <row r="58" spans="3:24" s="50" customFormat="1" ht="10.95" customHeight="1">
      <c r="C58" s="233" t="s">
        <v>297</v>
      </c>
      <c r="D58" s="233" t="s">
        <v>111</v>
      </c>
      <c r="E58" s="237">
        <v>242</v>
      </c>
      <c r="F58" s="238">
        <v>43494</v>
      </c>
      <c r="G58" s="383" t="s">
        <v>207</v>
      </c>
      <c r="H58" s="383" t="s">
        <v>250</v>
      </c>
      <c r="I58" s="100" t="s">
        <v>255</v>
      </c>
      <c r="J58" s="239">
        <v>6937.2340000000004</v>
      </c>
      <c r="K58" s="692" t="str">
        <f>+"R Ex "&amp;E58&amp;" Cesion de "&amp;J58&amp;" ton de "&amp;G58&amp;"  a "&amp;H58&amp;" region"</f>
        <v>R Ex 242 Cesion de 6937,234 ton de Pesq. Bahia Caldera III-IV  a Grupo Emb III region</v>
      </c>
      <c r="L58" s="692"/>
      <c r="M58" s="692"/>
      <c r="N58" s="692"/>
      <c r="O58" s="231"/>
      <c r="P58" s="231"/>
      <c r="Q58" s="231"/>
    </row>
    <row r="59" spans="3:24" s="50" customFormat="1" ht="10.95" customHeight="1">
      <c r="C59" s="233" t="s">
        <v>297</v>
      </c>
      <c r="D59" s="233" t="s">
        <v>111</v>
      </c>
      <c r="E59" s="101">
        <v>651</v>
      </c>
      <c r="F59" s="102">
        <v>43514</v>
      </c>
      <c r="G59" s="383" t="s">
        <v>113</v>
      </c>
      <c r="H59" s="383" t="s">
        <v>107</v>
      </c>
      <c r="I59" s="100" t="s">
        <v>252</v>
      </c>
      <c r="J59" s="239">
        <v>404.10399999999998</v>
      </c>
      <c r="K59" s="692" t="str">
        <f t="shared" ref="K59:K72" si="15">+"R Ex "&amp;E59&amp;" Cesion de "&amp;J59&amp;" ton de "&amp;G59&amp;"  a "&amp;H59&amp;" region"</f>
        <v>R Ex 651 Cesion de 404,104 ton de Soc Com Serv y Trasportes II-IV  a Grupo Emb IV region</v>
      </c>
      <c r="L59" s="692"/>
      <c r="M59" s="692"/>
      <c r="N59" s="692"/>
      <c r="O59" s="231"/>
      <c r="P59" s="231"/>
      <c r="Q59" s="231"/>
    </row>
    <row r="60" spans="3:24" s="50" customFormat="1" ht="10.95" customHeight="1">
      <c r="C60" s="233" t="s">
        <v>297</v>
      </c>
      <c r="D60" s="233" t="s">
        <v>111</v>
      </c>
      <c r="E60" s="101">
        <v>685</v>
      </c>
      <c r="F60" s="102">
        <v>43516</v>
      </c>
      <c r="G60" s="383" t="s">
        <v>114</v>
      </c>
      <c r="H60" s="383" t="s">
        <v>115</v>
      </c>
      <c r="I60" s="100" t="s">
        <v>252</v>
      </c>
      <c r="J60" s="240">
        <v>0</v>
      </c>
      <c r="K60" s="692" t="str">
        <f t="shared" si="15"/>
        <v>R Ex 685 Cesion de 0 ton de Pesq Litoral III-IV  a Emb Fortuna V Rpa 955947-IV region</v>
      </c>
      <c r="L60" s="692"/>
      <c r="M60" s="692"/>
      <c r="N60" s="692"/>
      <c r="O60" s="231"/>
      <c r="P60" s="231"/>
      <c r="Q60" s="231"/>
    </row>
    <row r="61" spans="3:24" s="50" customFormat="1" ht="10.95" customHeight="1">
      <c r="C61" s="233" t="s">
        <v>297</v>
      </c>
      <c r="D61" s="233" t="s">
        <v>111</v>
      </c>
      <c r="E61" s="101">
        <v>685</v>
      </c>
      <c r="F61" s="102">
        <v>43516</v>
      </c>
      <c r="G61" s="383" t="s">
        <v>114</v>
      </c>
      <c r="H61" s="383" t="s">
        <v>115</v>
      </c>
      <c r="I61" s="100" t="s">
        <v>208</v>
      </c>
      <c r="J61" s="108"/>
      <c r="K61" s="692" t="str">
        <f t="shared" si="15"/>
        <v>R Ex 685 Cesion de  ton de Pesq Litoral III-IV  a Emb Fortuna V Rpa 955947-IV region</v>
      </c>
      <c r="L61" s="692"/>
      <c r="M61" s="692"/>
      <c r="N61" s="692"/>
      <c r="O61" s="231"/>
      <c r="P61" s="231"/>
      <c r="Q61" s="231"/>
    </row>
    <row r="62" spans="3:24" s="50" customFormat="1" ht="10.95" customHeight="1">
      <c r="C62" s="233" t="s">
        <v>297</v>
      </c>
      <c r="D62" s="233" t="s">
        <v>111</v>
      </c>
      <c r="E62" s="101" t="s">
        <v>118</v>
      </c>
      <c r="F62" s="102">
        <v>43572</v>
      </c>
      <c r="G62" s="383" t="s">
        <v>114</v>
      </c>
      <c r="H62" s="383" t="s">
        <v>115</v>
      </c>
      <c r="I62" s="100" t="s">
        <v>208</v>
      </c>
      <c r="J62" s="108"/>
      <c r="K62" s="692"/>
      <c r="L62" s="692"/>
      <c r="M62" s="692"/>
      <c r="N62" s="692"/>
      <c r="O62" s="231"/>
      <c r="P62" s="231"/>
      <c r="Q62" s="231"/>
    </row>
    <row r="63" spans="3:24" s="50" customFormat="1" ht="10.95" customHeight="1">
      <c r="C63" s="233" t="s">
        <v>297</v>
      </c>
      <c r="D63" s="233" t="s">
        <v>111</v>
      </c>
      <c r="E63" s="103">
        <v>885</v>
      </c>
      <c r="F63" s="106">
        <v>43537</v>
      </c>
      <c r="G63" s="383" t="s">
        <v>261</v>
      </c>
      <c r="H63" s="383" t="s">
        <v>107</v>
      </c>
      <c r="I63" s="103" t="s">
        <v>252</v>
      </c>
      <c r="J63" s="241">
        <v>8100</v>
      </c>
      <c r="K63" s="692" t="str">
        <f t="shared" si="15"/>
        <v>R Ex 885 Cesion de 8100 ton de Orizon III-IV  a Grupo Emb IV region</v>
      </c>
      <c r="L63" s="692"/>
      <c r="M63" s="692"/>
      <c r="N63" s="692"/>
      <c r="O63" s="231"/>
      <c r="P63" s="231"/>
      <c r="Q63" s="231"/>
    </row>
    <row r="64" spans="3:24" s="50" customFormat="1" ht="10.95" customHeight="1">
      <c r="C64" s="233" t="s">
        <v>297</v>
      </c>
      <c r="D64" s="233" t="s">
        <v>111</v>
      </c>
      <c r="E64" s="103">
        <v>885</v>
      </c>
      <c r="F64" s="106">
        <v>43537</v>
      </c>
      <c r="G64" s="383" t="s">
        <v>261</v>
      </c>
      <c r="H64" s="383" t="s">
        <v>107</v>
      </c>
      <c r="I64" s="103" t="s">
        <v>262</v>
      </c>
      <c r="J64" s="109">
        <v>100</v>
      </c>
      <c r="K64" s="692" t="str">
        <f t="shared" si="15"/>
        <v>R Ex 885 Cesion de 100 ton de Orizon III-IV  a Grupo Emb IV region</v>
      </c>
      <c r="L64" s="692"/>
      <c r="M64" s="692"/>
      <c r="N64" s="692"/>
      <c r="O64" s="231"/>
      <c r="P64" s="231"/>
      <c r="Q64" s="231"/>
    </row>
    <row r="65" spans="2:17" s="50" customFormat="1" ht="10.95" customHeight="1">
      <c r="C65" s="233" t="s">
        <v>297</v>
      </c>
      <c r="D65" s="233" t="s">
        <v>111</v>
      </c>
      <c r="E65" s="103">
        <v>944</v>
      </c>
      <c r="F65" s="106">
        <v>43542</v>
      </c>
      <c r="G65" s="383" t="s">
        <v>207</v>
      </c>
      <c r="H65" s="383" t="s">
        <v>107</v>
      </c>
      <c r="I65" s="100" t="s">
        <v>252</v>
      </c>
      <c r="J65" s="241">
        <v>1500</v>
      </c>
      <c r="K65" s="692" t="str">
        <f t="shared" si="15"/>
        <v>R Ex 944 Cesion de 1500 ton de Pesq. Bahia Caldera III-IV  a Grupo Emb IV region</v>
      </c>
      <c r="L65" s="692"/>
      <c r="M65" s="692"/>
      <c r="N65" s="692"/>
      <c r="O65" s="231"/>
      <c r="P65" s="231"/>
      <c r="Q65" s="231"/>
    </row>
    <row r="66" spans="2:17" s="50" customFormat="1" ht="10.95" customHeight="1">
      <c r="B66" s="662"/>
      <c r="C66" s="390" t="s">
        <v>297</v>
      </c>
      <c r="D66" s="390" t="s">
        <v>111</v>
      </c>
      <c r="E66" s="391">
        <v>1199</v>
      </c>
      <c r="F66" s="392">
        <v>43553</v>
      </c>
      <c r="G66" s="393" t="s">
        <v>116</v>
      </c>
      <c r="H66" s="393" t="s">
        <v>308</v>
      </c>
      <c r="I66" s="394" t="s">
        <v>305</v>
      </c>
      <c r="J66" s="395">
        <v>943.81500000000005</v>
      </c>
      <c r="K66" s="692" t="str">
        <f t="shared" si="15"/>
        <v>R Ex 1199 Cesion de 943,815 ton de Serv Ind Lo Rojas Ltda XV-II  a Emb Valentina Rpa 967544-XV region</v>
      </c>
      <c r="L66" s="692"/>
      <c r="M66" s="692"/>
      <c r="N66" s="692"/>
      <c r="O66" s="231"/>
      <c r="P66" s="231"/>
      <c r="Q66" s="231"/>
    </row>
    <row r="67" spans="2:17" s="50" customFormat="1" ht="10.95" customHeight="1">
      <c r="C67" s="233" t="s">
        <v>297</v>
      </c>
      <c r="D67" s="233" t="s">
        <v>111</v>
      </c>
      <c r="E67" s="101" t="s">
        <v>117</v>
      </c>
      <c r="F67" s="102">
        <v>43572</v>
      </c>
      <c r="G67" s="383" t="s">
        <v>114</v>
      </c>
      <c r="H67" s="383" t="s">
        <v>115</v>
      </c>
      <c r="I67" s="100" t="s">
        <v>252</v>
      </c>
      <c r="J67" s="240">
        <v>0</v>
      </c>
      <c r="K67" s="692" t="str">
        <f t="shared" si="15"/>
        <v>R Ex 1330 sin efecto 685 Cesion de 0 ton de Pesq Litoral III-IV  a Emb Fortuna V Rpa 955947-IV region</v>
      </c>
      <c r="L67" s="692"/>
      <c r="M67" s="692"/>
      <c r="N67" s="692"/>
      <c r="O67" s="231"/>
      <c r="P67" s="231"/>
      <c r="Q67" s="231"/>
    </row>
    <row r="68" spans="2:17" s="50" customFormat="1" ht="10.95" customHeight="1">
      <c r="C68" s="258" t="s">
        <v>297</v>
      </c>
      <c r="D68" s="258" t="s">
        <v>111</v>
      </c>
      <c r="E68" s="259" t="s">
        <v>222</v>
      </c>
      <c r="F68" s="260">
        <v>43563</v>
      </c>
      <c r="G68" s="384" t="s">
        <v>114</v>
      </c>
      <c r="H68" s="384" t="s">
        <v>223</v>
      </c>
      <c r="I68" s="262" t="s">
        <v>253</v>
      </c>
      <c r="J68" s="261">
        <v>184.113</v>
      </c>
      <c r="K68" s="692" t="str">
        <f t="shared" si="15"/>
        <v>R Ex 1461 rectificada 2242 Cesion de 184,113 ton de Pesq Litoral III-IV  a Emb Don BAYRON Rpa 966665-III region</v>
      </c>
      <c r="L68" s="692"/>
      <c r="M68" s="692"/>
      <c r="N68" s="692"/>
      <c r="O68" s="231"/>
      <c r="P68" s="231"/>
      <c r="Q68" s="231"/>
    </row>
    <row r="69" spans="2:17" s="50" customFormat="1" ht="10.95" customHeight="1">
      <c r="C69" s="258" t="s">
        <v>297</v>
      </c>
      <c r="D69" s="258" t="s">
        <v>111</v>
      </c>
      <c r="E69" s="259" t="s">
        <v>222</v>
      </c>
      <c r="F69" s="260">
        <v>43563</v>
      </c>
      <c r="G69" s="384" t="s">
        <v>114</v>
      </c>
      <c r="H69" s="384" t="s">
        <v>223</v>
      </c>
      <c r="I69" s="262" t="s">
        <v>254</v>
      </c>
      <c r="J69" s="261">
        <v>1.663</v>
      </c>
      <c r="K69" s="692" t="str">
        <f t="shared" si="15"/>
        <v>R Ex 1461 rectificada 2242 Cesion de 1,663 ton de Pesq Litoral III-IV  a Emb Don BAYRON Rpa 966665-III region</v>
      </c>
      <c r="L69" s="692"/>
      <c r="M69" s="692"/>
      <c r="N69" s="692"/>
      <c r="O69" s="231"/>
      <c r="P69" s="231"/>
      <c r="Q69" s="231"/>
    </row>
    <row r="70" spans="2:17" s="50" customFormat="1" ht="10.95" customHeight="1">
      <c r="C70" s="233" t="s">
        <v>297</v>
      </c>
      <c r="D70" s="233" t="s">
        <v>111</v>
      </c>
      <c r="E70" s="113">
        <v>1550</v>
      </c>
      <c r="F70" s="114">
        <v>43580</v>
      </c>
      <c r="G70" s="385" t="s">
        <v>119</v>
      </c>
      <c r="H70" s="385" t="s">
        <v>249</v>
      </c>
      <c r="I70" s="115" t="s">
        <v>255</v>
      </c>
      <c r="J70" s="240">
        <f>51.352+370.146</f>
        <v>421.49799999999999</v>
      </c>
      <c r="K70" s="692" t="str">
        <f t="shared" si="15"/>
        <v>R Ex 1550 Cesion de 421,498 ton de Camanchaca III-IV  a Emb Fortuna V y Maimaui-III  region</v>
      </c>
      <c r="L70" s="692"/>
      <c r="M70" s="692"/>
      <c r="N70" s="692"/>
      <c r="O70" s="231"/>
      <c r="P70" s="231"/>
      <c r="Q70" s="231"/>
    </row>
    <row r="71" spans="2:17" s="50" customFormat="1" ht="10.95" customHeight="1">
      <c r="B71" s="662"/>
      <c r="C71" s="390" t="s">
        <v>297</v>
      </c>
      <c r="D71" s="390" t="s">
        <v>111</v>
      </c>
      <c r="E71" s="391">
        <v>1636</v>
      </c>
      <c r="F71" s="392">
        <v>43585</v>
      </c>
      <c r="G71" s="393" t="s">
        <v>106</v>
      </c>
      <c r="H71" s="393" t="s">
        <v>204</v>
      </c>
      <c r="I71" s="394" t="s">
        <v>258</v>
      </c>
      <c r="J71" s="395">
        <v>12000</v>
      </c>
      <c r="K71" s="692" t="str">
        <f t="shared" si="15"/>
        <v>R Ex 1636 Cesion de 12000 ton de Corpesca XV-II  a Grupo Emb II region region</v>
      </c>
      <c r="L71" s="692"/>
      <c r="M71" s="692"/>
      <c r="N71" s="692"/>
      <c r="O71" s="231"/>
      <c r="P71" s="231"/>
      <c r="Q71" s="231"/>
    </row>
    <row r="72" spans="2:17" s="50" customFormat="1" ht="10.95" customHeight="1">
      <c r="B72" s="662"/>
      <c r="C72" s="390" t="s">
        <v>297</v>
      </c>
      <c r="D72" s="390" t="s">
        <v>111</v>
      </c>
      <c r="E72" s="391">
        <v>1637</v>
      </c>
      <c r="F72" s="392">
        <v>43585</v>
      </c>
      <c r="G72" s="393" t="s">
        <v>106</v>
      </c>
      <c r="H72" s="393" t="s">
        <v>204</v>
      </c>
      <c r="I72" s="394" t="s">
        <v>258</v>
      </c>
      <c r="J72" s="395">
        <v>15000</v>
      </c>
      <c r="K72" s="692" t="str">
        <f t="shared" si="15"/>
        <v>R Ex 1637 Cesion de 15000 ton de Corpesca XV-II  a Grupo Emb II region region</v>
      </c>
      <c r="L72" s="692"/>
      <c r="M72" s="692"/>
      <c r="N72" s="692"/>
      <c r="O72" s="231"/>
      <c r="P72" s="231"/>
      <c r="Q72" s="231"/>
    </row>
    <row r="73" spans="2:17" s="50" customFormat="1" ht="10.95" customHeight="1">
      <c r="C73" s="233" t="s">
        <v>297</v>
      </c>
      <c r="D73" s="233" t="s">
        <v>111</v>
      </c>
      <c r="E73" s="101" t="s">
        <v>128</v>
      </c>
      <c r="F73" s="102">
        <v>43592</v>
      </c>
      <c r="G73" s="383" t="s">
        <v>119</v>
      </c>
      <c r="H73" s="385" t="s">
        <v>120</v>
      </c>
      <c r="I73" s="100" t="s">
        <v>208</v>
      </c>
      <c r="J73" s="108"/>
      <c r="K73" s="692"/>
      <c r="L73" s="692"/>
      <c r="M73" s="692"/>
      <c r="N73" s="692"/>
      <c r="O73" s="232"/>
      <c r="P73" s="232"/>
      <c r="Q73" s="232"/>
    </row>
    <row r="74" spans="2:17" s="50" customFormat="1" ht="10.95" customHeight="1">
      <c r="C74" s="233" t="s">
        <v>297</v>
      </c>
      <c r="D74" s="233" t="s">
        <v>111</v>
      </c>
      <c r="E74" s="101">
        <v>1956</v>
      </c>
      <c r="F74" s="102">
        <v>43609</v>
      </c>
      <c r="G74" s="386" t="s">
        <v>201</v>
      </c>
      <c r="H74" s="386" t="s">
        <v>107</v>
      </c>
      <c r="I74" s="100" t="s">
        <v>256</v>
      </c>
      <c r="J74" s="240">
        <v>1100</v>
      </c>
      <c r="K74" s="692" t="str">
        <f t="shared" ref="K74" si="16">+"R Ex "&amp;E74&amp;" Cesion de "&amp;J74&amp;" ton de "&amp;G74&amp;"  a "&amp;H74&amp;" region"</f>
        <v>R Ex 1956 Cesion de 1100 ton de Alimar III-IV  a Grupo Emb IV region</v>
      </c>
      <c r="L74" s="692"/>
      <c r="M74" s="692"/>
      <c r="N74" s="692"/>
      <c r="O74" s="232"/>
      <c r="P74" s="232"/>
      <c r="Q74" s="232"/>
    </row>
    <row r="75" spans="2:17" s="50" customFormat="1" ht="10.95" customHeight="1">
      <c r="C75" s="234" t="s">
        <v>297</v>
      </c>
      <c r="D75" s="234" t="s">
        <v>111</v>
      </c>
      <c r="E75" s="226">
        <v>2101</v>
      </c>
      <c r="F75" s="227">
        <v>43623</v>
      </c>
      <c r="G75" s="387" t="s">
        <v>206</v>
      </c>
      <c r="H75" s="387" t="s">
        <v>205</v>
      </c>
      <c r="I75" s="228" t="s">
        <v>253</v>
      </c>
      <c r="J75" s="240">
        <v>209.48</v>
      </c>
      <c r="K75" s="692" t="str">
        <f t="shared" ref="K75:K80" si="17">+"R Ex "&amp;E75&amp;" Cesion de "&amp;J75&amp;" ton de "&amp;G75&amp;"  a "&amp;H75&amp;" region"</f>
        <v>R Ex 2101 Cesion de 209,48 ton de Abastecimientos de Pacifico, 76.542.970-6  a Grupo Emb III region region</v>
      </c>
      <c r="L75" s="692"/>
      <c r="M75" s="692"/>
      <c r="N75" s="692"/>
      <c r="O75" s="232"/>
      <c r="P75" s="232"/>
      <c r="Q75" s="232"/>
    </row>
    <row r="76" spans="2:17" s="50" customFormat="1" ht="10.95" customHeight="1">
      <c r="C76" s="234" t="s">
        <v>297</v>
      </c>
      <c r="D76" s="234" t="s">
        <v>111</v>
      </c>
      <c r="E76" s="226">
        <v>2142</v>
      </c>
      <c r="F76" s="227">
        <v>43627</v>
      </c>
      <c r="G76" s="383" t="s">
        <v>109</v>
      </c>
      <c r="H76" s="387" t="s">
        <v>213</v>
      </c>
      <c r="I76" s="228" t="s">
        <v>253</v>
      </c>
      <c r="J76" s="240">
        <v>7400</v>
      </c>
      <c r="K76" s="692" t="str">
        <f t="shared" si="17"/>
        <v>R Ex 2142 Cesion de 7400 ton de Orizon II-IV  a Grupo Emb IV region region</v>
      </c>
      <c r="L76" s="692"/>
      <c r="M76" s="692"/>
      <c r="N76" s="692"/>
      <c r="O76" s="232"/>
      <c r="P76" s="232"/>
      <c r="Q76" s="232"/>
    </row>
    <row r="77" spans="2:17" s="50" customFormat="1" ht="10.95" customHeight="1">
      <c r="C77" s="234" t="s">
        <v>297</v>
      </c>
      <c r="D77" s="234" t="s">
        <v>111</v>
      </c>
      <c r="E77" s="226">
        <v>2169</v>
      </c>
      <c r="F77" s="227">
        <v>43627</v>
      </c>
      <c r="G77" s="383" t="s">
        <v>113</v>
      </c>
      <c r="H77" s="387" t="s">
        <v>205</v>
      </c>
      <c r="I77" s="228" t="s">
        <v>255</v>
      </c>
      <c r="J77" s="240">
        <v>354.714</v>
      </c>
      <c r="K77" s="692" t="str">
        <f t="shared" si="17"/>
        <v>R Ex 2169 Cesion de 354,714 ton de Soc Com Serv y Trasportes II-IV  a Grupo Emb III region region</v>
      </c>
      <c r="L77" s="692"/>
      <c r="M77" s="692"/>
      <c r="N77" s="692"/>
      <c r="O77" s="232"/>
      <c r="P77" s="232"/>
      <c r="Q77" s="232"/>
    </row>
    <row r="78" spans="2:17" s="50" customFormat="1" ht="10.95" customHeight="1">
      <c r="C78" s="234" t="s">
        <v>297</v>
      </c>
      <c r="D78" s="234" t="s">
        <v>111</v>
      </c>
      <c r="E78" s="226">
        <v>2178</v>
      </c>
      <c r="F78" s="227">
        <v>43627</v>
      </c>
      <c r="G78" s="383" t="s">
        <v>207</v>
      </c>
      <c r="H78" s="387" t="s">
        <v>257</v>
      </c>
      <c r="I78" s="228" t="s">
        <v>255</v>
      </c>
      <c r="J78" s="329">
        <v>7402</v>
      </c>
      <c r="K78" s="692" t="str">
        <f t="shared" si="17"/>
        <v>R Ex 2178 Cesion de 7402 ton de Pesq. Bahia Caldera III-IV  a Grupo Emb III  region</v>
      </c>
      <c r="L78" s="692"/>
      <c r="M78" s="692"/>
      <c r="N78" s="692"/>
      <c r="O78" s="232"/>
      <c r="P78" s="232"/>
      <c r="Q78" s="232"/>
    </row>
    <row r="79" spans="2:17" s="50" customFormat="1" ht="10.95" customHeight="1">
      <c r="C79" s="323" t="s">
        <v>297</v>
      </c>
      <c r="D79" s="323" t="s">
        <v>111</v>
      </c>
      <c r="E79" s="324">
        <v>2200</v>
      </c>
      <c r="F79" s="325">
        <v>43635</v>
      </c>
      <c r="G79" s="389" t="s">
        <v>207</v>
      </c>
      <c r="H79" s="387" t="s">
        <v>257</v>
      </c>
      <c r="I79" s="326" t="s">
        <v>254</v>
      </c>
      <c r="J79" s="330">
        <v>200</v>
      </c>
      <c r="K79" s="692" t="str">
        <f t="shared" ref="K79" si="18">+"R Ex "&amp;E79&amp;" Cesion de "&amp;J79&amp;" ton de "&amp;G79&amp;"  a "&amp;H79&amp;" region"</f>
        <v>R Ex 2200 Cesion de 200 ton de Pesq. Bahia Caldera III-IV  a Grupo Emb III  region</v>
      </c>
      <c r="L79" s="692"/>
      <c r="M79" s="692"/>
      <c r="N79" s="692"/>
      <c r="O79" s="232"/>
      <c r="P79" s="232"/>
      <c r="Q79" s="232"/>
    </row>
    <row r="80" spans="2:17" s="50" customFormat="1" ht="10.95" customHeight="1">
      <c r="C80" s="265" t="s">
        <v>297</v>
      </c>
      <c r="D80" s="265" t="s">
        <v>111</v>
      </c>
      <c r="E80" s="263">
        <v>2274</v>
      </c>
      <c r="F80" s="264">
        <v>43637</v>
      </c>
      <c r="G80" s="383" t="s">
        <v>225</v>
      </c>
      <c r="H80" s="383" t="s">
        <v>224</v>
      </c>
      <c r="I80" s="266" t="s">
        <v>253</v>
      </c>
      <c r="J80" s="331">
        <v>151.76400000000001</v>
      </c>
      <c r="K80" s="692" t="str">
        <f t="shared" si="17"/>
        <v>R Ex 2274 Cesion de 151,764 ton de ERIC ARACENA REYNUABA III-IV  a Emb EL CID Rpa 950657-III region</v>
      </c>
      <c r="L80" s="692"/>
      <c r="M80" s="692"/>
      <c r="N80" s="692"/>
      <c r="O80" s="232"/>
      <c r="P80" s="232"/>
      <c r="Q80" s="232"/>
    </row>
    <row r="81" spans="2:14" s="50" customFormat="1" ht="10.95" customHeight="1">
      <c r="C81" s="265" t="s">
        <v>297</v>
      </c>
      <c r="D81" s="265" t="s">
        <v>111</v>
      </c>
      <c r="E81" s="269">
        <v>2275</v>
      </c>
      <c r="F81" s="270">
        <v>43637</v>
      </c>
      <c r="G81" s="383" t="s">
        <v>226</v>
      </c>
      <c r="H81" s="383" t="s">
        <v>227</v>
      </c>
      <c r="I81" s="266" t="s">
        <v>255</v>
      </c>
      <c r="J81" s="331">
        <v>151.76400000000001</v>
      </c>
      <c r="K81" s="692" t="str">
        <f t="shared" ref="K81" si="19">+"R Ex "&amp;E81&amp;" Cesion de "&amp;J81&amp;" ton de "&amp;G81&amp;"  a "&amp;H81&amp;" region"</f>
        <v>R Ex 2275 Cesion de 151,764 ton de GIULLIANO REYNUABA SALAS III-IV  a Emb KALI Rpa 951110-III region</v>
      </c>
      <c r="L81" s="692"/>
      <c r="M81" s="692"/>
      <c r="N81" s="692"/>
    </row>
    <row r="82" spans="2:14" s="50" customFormat="1" ht="10.95" customHeight="1">
      <c r="C82" s="265" t="s">
        <v>297</v>
      </c>
      <c r="D82" s="265" t="s">
        <v>111</v>
      </c>
      <c r="E82" s="269">
        <v>2276</v>
      </c>
      <c r="F82" s="270">
        <v>43637</v>
      </c>
      <c r="G82" s="384" t="s">
        <v>114</v>
      </c>
      <c r="H82" s="383" t="s">
        <v>228</v>
      </c>
      <c r="I82" s="266" t="s">
        <v>253</v>
      </c>
      <c r="J82" s="331">
        <v>173.011</v>
      </c>
      <c r="K82" s="692" t="str">
        <f t="shared" ref="K82:K83" si="20">+"R Ex "&amp;E82&amp;" Cesion de "&amp;J82&amp;" ton de "&amp;G82&amp;"  a "&amp;H82&amp;" region"</f>
        <v>R Ex 2276 Cesion de 173,011 ton de Pesq Litoral III-IV  a Emb SANDY III Rpa 967785-III region</v>
      </c>
      <c r="L82" s="692"/>
      <c r="M82" s="692"/>
      <c r="N82" s="692"/>
    </row>
    <row r="83" spans="2:14" s="50" customFormat="1" ht="10.95" customHeight="1">
      <c r="C83" s="265" t="s">
        <v>297</v>
      </c>
      <c r="D83" s="265" t="s">
        <v>111</v>
      </c>
      <c r="E83" s="269">
        <v>2310</v>
      </c>
      <c r="F83" s="270">
        <v>43642</v>
      </c>
      <c r="G83" s="383" t="s">
        <v>261</v>
      </c>
      <c r="H83" s="383" t="s">
        <v>213</v>
      </c>
      <c r="I83" s="655" t="s">
        <v>262</v>
      </c>
      <c r="J83" s="331">
        <v>100</v>
      </c>
      <c r="K83" s="692" t="str">
        <f t="shared" si="20"/>
        <v>R Ex 2310 Cesion de 100 ton de Orizon III-IV  a Grupo Emb IV region region</v>
      </c>
      <c r="L83" s="692"/>
      <c r="M83" s="692"/>
      <c r="N83" s="692"/>
    </row>
    <row r="84" spans="2:14" s="50" customFormat="1" ht="10.95" customHeight="1">
      <c r="C84" s="283" t="s">
        <v>297</v>
      </c>
      <c r="D84" s="283" t="s">
        <v>111</v>
      </c>
      <c r="E84" s="285">
        <v>2402</v>
      </c>
      <c r="F84" s="286">
        <v>43649</v>
      </c>
      <c r="G84" s="388" t="s">
        <v>259</v>
      </c>
      <c r="H84" s="388" t="s">
        <v>227</v>
      </c>
      <c r="I84" s="284" t="s">
        <v>255</v>
      </c>
      <c r="J84" s="332">
        <v>188.18600000000001</v>
      </c>
      <c r="K84" s="692" t="str">
        <f t="shared" ref="K84" si="21">+"R Ex "&amp;E84&amp;" Cesion de "&amp;J84&amp;" ton de "&amp;G84&amp;"  a "&amp;H84&amp;" region"</f>
        <v>R Ex 2402 Cesion de 188,186 ton de ABASTECIMIENTO DEL PACIFICO S.A. III-IV  a Emb KALI Rpa 951110-III region</v>
      </c>
      <c r="L84" s="692"/>
      <c r="M84" s="692"/>
      <c r="N84" s="692"/>
    </row>
    <row r="85" spans="2:14" s="50" customFormat="1" ht="10.95" customHeight="1">
      <c r="C85" s="283" t="s">
        <v>297</v>
      </c>
      <c r="D85" s="283" t="s">
        <v>111</v>
      </c>
      <c r="E85" s="285">
        <v>2416</v>
      </c>
      <c r="F85" s="286">
        <v>43649</v>
      </c>
      <c r="G85" s="388" t="s">
        <v>260</v>
      </c>
      <c r="H85" s="388" t="s">
        <v>229</v>
      </c>
      <c r="I85" s="284" t="s">
        <v>255</v>
      </c>
      <c r="J85" s="332">
        <v>284.55900000000003</v>
      </c>
      <c r="K85" s="692" t="str">
        <f t="shared" ref="K85" si="22">+"R Ex "&amp;E85&amp;" Cesion de "&amp;J85&amp;" ton de "&amp;G85&amp;"  a "&amp;H85&amp;" region"</f>
        <v>R Ex 2416 Cesion de 284,559 ton de ATILIO BARRERA III-IV  a Emb DON ATILIO Rpa 960355-III region</v>
      </c>
      <c r="L85" s="692"/>
      <c r="M85" s="692"/>
      <c r="N85" s="692"/>
    </row>
    <row r="86" spans="2:14" s="50" customFormat="1" ht="10.95" customHeight="1">
      <c r="C86" s="574" t="s">
        <v>297</v>
      </c>
      <c r="D86" s="574" t="s">
        <v>111</v>
      </c>
      <c r="E86" s="575">
        <v>2443</v>
      </c>
      <c r="F86" s="576">
        <v>43651</v>
      </c>
      <c r="G86" s="396" t="s">
        <v>116</v>
      </c>
      <c r="H86" s="393" t="s">
        <v>308</v>
      </c>
      <c r="I86" s="394" t="s">
        <v>305</v>
      </c>
      <c r="J86" s="397">
        <v>3460.6550000000002</v>
      </c>
      <c r="K86" s="692" t="str">
        <f t="shared" ref="K86" si="23">+"R Ex "&amp;E86&amp;" Cesion de "&amp;J86&amp;" ton de "&amp;G86&amp;"  a "&amp;H86&amp;" region"</f>
        <v>R Ex 2443 Cesion de 3460,655 ton de Serv Ind Lo Rojas Ltda XV-II  a Emb Valentina Rpa 967544-XV region</v>
      </c>
      <c r="L86" s="692"/>
      <c r="M86" s="692"/>
      <c r="N86" s="692"/>
    </row>
    <row r="87" spans="2:14" s="50" customFormat="1" ht="10.95" customHeight="1">
      <c r="C87" s="283" t="s">
        <v>297</v>
      </c>
      <c r="D87" s="577" t="s">
        <v>300</v>
      </c>
      <c r="E87" s="659" t="s">
        <v>299</v>
      </c>
      <c r="F87" s="578">
        <v>43657</v>
      </c>
      <c r="G87" s="383" t="s">
        <v>207</v>
      </c>
      <c r="H87" s="383" t="s">
        <v>298</v>
      </c>
      <c r="I87" s="284" t="s">
        <v>255</v>
      </c>
      <c r="J87" s="577">
        <v>0</v>
      </c>
      <c r="K87" s="692" t="s">
        <v>301</v>
      </c>
      <c r="L87" s="692"/>
      <c r="M87" s="692"/>
      <c r="N87" s="692"/>
    </row>
    <row r="88" spans="2:14" s="50" customFormat="1" ht="10.95" customHeight="1">
      <c r="B88" s="662"/>
      <c r="C88" s="579" t="s">
        <v>297</v>
      </c>
      <c r="D88" s="657" t="s">
        <v>111</v>
      </c>
      <c r="E88" s="269">
        <v>2987</v>
      </c>
      <c r="F88" s="270">
        <v>43711</v>
      </c>
      <c r="G88" s="386" t="s">
        <v>106</v>
      </c>
      <c r="H88" s="386" t="s">
        <v>302</v>
      </c>
      <c r="I88" s="100" t="s">
        <v>305</v>
      </c>
      <c r="J88" s="587">
        <v>40000</v>
      </c>
      <c r="K88" s="692" t="str">
        <f t="shared" ref="K88" si="24">+"R Ex "&amp;E88&amp;" Cesion de "&amp;J88&amp;" ton de "&amp;G88&amp;"  a "&amp;H88&amp;" region"</f>
        <v>R Ex 2987 Cesion de 40000 ton de Corpesca XV-II  a Grupo Emb XV-I region region</v>
      </c>
      <c r="L88" s="692"/>
      <c r="M88" s="692"/>
      <c r="N88" s="692"/>
    </row>
    <row r="89" spans="2:14" s="50" customFormat="1" ht="10.95" customHeight="1">
      <c r="C89" s="654" t="s">
        <v>297</v>
      </c>
      <c r="D89" s="657" t="s">
        <v>111</v>
      </c>
      <c r="E89" s="269">
        <v>3146</v>
      </c>
      <c r="F89" s="270">
        <v>43733</v>
      </c>
      <c r="G89" s="658" t="s">
        <v>304</v>
      </c>
      <c r="H89" s="386" t="s">
        <v>302</v>
      </c>
      <c r="I89" s="100" t="s">
        <v>305</v>
      </c>
      <c r="J89" s="577">
        <v>4252.2640000000001</v>
      </c>
      <c r="K89" s="692" t="str">
        <f t="shared" ref="K89" si="25">+"R Ex "&amp;E89&amp;" Cesion de "&amp;J89&amp;" ton de "&amp;G89&amp;"  a "&amp;H89&amp;" region"</f>
        <v>R Ex 3146 Cesion de 4252,264 ton de Arica Seafood Producer S.A. XV-II  a Grupo Emb XV-I region region</v>
      </c>
      <c r="L89" s="692"/>
      <c r="M89" s="692"/>
      <c r="N89" s="692"/>
    </row>
    <row r="90" spans="2:14" s="50" customFormat="1" ht="10.95" customHeight="1">
      <c r="H90" s="386"/>
    </row>
    <row r="91" spans="2:14" s="50" customFormat="1" ht="10.95" customHeight="1"/>
    <row r="92" spans="2:14" s="50" customFormat="1" ht="10.95" customHeight="1"/>
    <row r="93" spans="2:14" s="50" customFormat="1" ht="10.95" customHeight="1"/>
    <row r="94" spans="2:14" s="50" customFormat="1" ht="10.95" customHeight="1"/>
    <row r="95" spans="2:14" s="50" customFormat="1" ht="10.95" customHeight="1"/>
    <row r="96" spans="2:14" s="50" customFormat="1" ht="10.95" customHeight="1"/>
    <row r="97" s="50" customFormat="1" ht="10.95" customHeight="1"/>
    <row r="98" s="50" customFormat="1" ht="10.95" customHeight="1"/>
    <row r="99" s="50" customFormat="1" ht="10.95" customHeight="1"/>
    <row r="100" s="50" customFormat="1" ht="10.95" customHeight="1"/>
    <row r="101" s="50" customFormat="1" ht="10.95" customHeight="1"/>
    <row r="102" s="50" customFormat="1" ht="10.95" customHeight="1"/>
    <row r="103" s="50" customFormat="1" ht="10.95" customHeight="1"/>
    <row r="104" s="50" customFormat="1" ht="10.95" customHeight="1"/>
    <row r="105" s="50" customFormat="1" ht="10.95" customHeight="1"/>
    <row r="106" s="50" customFormat="1" ht="10.95" customHeight="1"/>
    <row r="107" s="50" customFormat="1" ht="10.95" customHeight="1"/>
    <row r="108" s="50" customFormat="1" ht="10.95" customHeight="1"/>
    <row r="109" s="50" customFormat="1" ht="10.95" customHeight="1"/>
    <row r="110" s="50" customFormat="1" ht="10.95" customHeight="1"/>
    <row r="111" s="50" customFormat="1" ht="10.95" customHeight="1"/>
    <row r="112" s="50" customFormat="1" ht="10.95" customHeight="1"/>
    <row r="113" s="50" customFormat="1" ht="10.95" customHeight="1"/>
    <row r="114" s="50" customFormat="1" ht="10.95" customHeight="1"/>
    <row r="115" s="50" customFormat="1" ht="10.95" customHeight="1"/>
    <row r="116" s="50" customFormat="1" ht="10.95" customHeight="1"/>
    <row r="117" s="44" customFormat="1" ht="10.95" customHeight="1"/>
    <row r="118" s="44" customFormat="1" ht="10.95" customHeight="1"/>
    <row r="119" s="44" customFormat="1" ht="10.95" customHeight="1"/>
    <row r="120" s="44" customFormat="1" ht="10.95" customHeight="1"/>
  </sheetData>
  <mergeCells count="83">
    <mergeCell ref="K89:N89"/>
    <mergeCell ref="K88:N88"/>
    <mergeCell ref="K87:N87"/>
    <mergeCell ref="K72:N72"/>
    <mergeCell ref="K73:N73"/>
    <mergeCell ref="K74:N74"/>
    <mergeCell ref="K75:N75"/>
    <mergeCell ref="K76:N76"/>
    <mergeCell ref="K78:N78"/>
    <mergeCell ref="K79:N79"/>
    <mergeCell ref="K80:N80"/>
    <mergeCell ref="K81:N81"/>
    <mergeCell ref="K82:N82"/>
    <mergeCell ref="K83:N83"/>
    <mergeCell ref="K84:N84"/>
    <mergeCell ref="K85:N85"/>
    <mergeCell ref="K86:N86"/>
    <mergeCell ref="S41:S42"/>
    <mergeCell ref="D39:D40"/>
    <mergeCell ref="P39:P40"/>
    <mergeCell ref="Q39:Q40"/>
    <mergeCell ref="R39:R40"/>
    <mergeCell ref="S39:S40"/>
    <mergeCell ref="D41:D42"/>
    <mergeCell ref="P41:P42"/>
    <mergeCell ref="Q41:Q42"/>
    <mergeCell ref="R41:R42"/>
    <mergeCell ref="K58:N58"/>
    <mergeCell ref="K59:N59"/>
    <mergeCell ref="K60:N60"/>
    <mergeCell ref="K61:N61"/>
    <mergeCell ref="K77:N77"/>
    <mergeCell ref="P37:P38"/>
    <mergeCell ref="Q37:Q38"/>
    <mergeCell ref="R37:R38"/>
    <mergeCell ref="S37:S38"/>
    <mergeCell ref="C6:C15"/>
    <mergeCell ref="D14:D15"/>
    <mergeCell ref="P14:P15"/>
    <mergeCell ref="Q14:Q15"/>
    <mergeCell ref="R14:R15"/>
    <mergeCell ref="D12:D13"/>
    <mergeCell ref="D8:D9"/>
    <mergeCell ref="P8:P9"/>
    <mergeCell ref="Q6:Q7"/>
    <mergeCell ref="R6:R7"/>
    <mergeCell ref="S6:S7"/>
    <mergeCell ref="S14:S15"/>
    <mergeCell ref="C18:C34"/>
    <mergeCell ref="P12:P13"/>
    <mergeCell ref="Q12:Q13"/>
    <mergeCell ref="R12:R13"/>
    <mergeCell ref="S12:S13"/>
    <mergeCell ref="C16:E16"/>
    <mergeCell ref="C2:K2"/>
    <mergeCell ref="C3:K3"/>
    <mergeCell ref="D10:D11"/>
    <mergeCell ref="P10:P11"/>
    <mergeCell ref="Q10:Q11"/>
    <mergeCell ref="D6:D7"/>
    <mergeCell ref="P6:P7"/>
    <mergeCell ref="R10:R11"/>
    <mergeCell ref="S10:S11"/>
    <mergeCell ref="Q8:Q9"/>
    <mergeCell ref="R8:R9"/>
    <mergeCell ref="S8:S9"/>
    <mergeCell ref="C35:E35"/>
    <mergeCell ref="C43:E43"/>
    <mergeCell ref="C54:E54"/>
    <mergeCell ref="K57:N57"/>
    <mergeCell ref="C37:C42"/>
    <mergeCell ref="D37:D38"/>
    <mergeCell ref="C45:C53"/>
    <mergeCell ref="K62:N62"/>
    <mergeCell ref="K63:N63"/>
    <mergeCell ref="K64:N64"/>
    <mergeCell ref="K65:N65"/>
    <mergeCell ref="K66:N66"/>
    <mergeCell ref="K67:N67"/>
    <mergeCell ref="K68:N68"/>
    <mergeCell ref="K69:N69"/>
    <mergeCell ref="K70:N70"/>
    <mergeCell ref="K71:N71"/>
  </mergeCells>
  <conditionalFormatting sqref="K44:K54 K6:K15 K18:K42">
    <cfRule type="cellIs" dxfId="16" priority="98" operator="greaterThan">
      <formula>1</formula>
    </cfRule>
  </conditionalFormatting>
  <conditionalFormatting sqref="T5:T54 J54 J43 J35:J36 J16">
    <cfRule type="cellIs" dxfId="15" priority="97" operator="lessThan">
      <formula>0</formula>
    </cfRule>
  </conditionalFormatting>
  <conditionalFormatting sqref="K6:K15">
    <cfRule type="dataBar" priority="96">
      <dataBar>
        <cfvo type="min" val="0"/>
        <cfvo type="max" val="0"/>
        <color rgb="FF638EC6"/>
      </dataBar>
    </cfRule>
  </conditionalFormatting>
  <conditionalFormatting sqref="U6:U15">
    <cfRule type="dataBar" priority="95">
      <dataBar>
        <cfvo type="min" val="0"/>
        <cfvo type="max" val="0"/>
        <color rgb="FF638EC6"/>
      </dataBar>
    </cfRule>
  </conditionalFormatting>
  <conditionalFormatting sqref="K35:K36">
    <cfRule type="dataBar" priority="92">
      <dataBar>
        <cfvo type="min" val="0"/>
        <cfvo type="max" val="0"/>
        <color rgb="FF638EC6"/>
      </dataBar>
    </cfRule>
    <cfRule type="cellIs" dxfId="14" priority="93" operator="greaterThan">
      <formula>0.99</formula>
    </cfRule>
  </conditionalFormatting>
  <conditionalFormatting sqref="K35:K36">
    <cfRule type="dataBar" priority="91">
      <dataBar>
        <cfvo type="min" val="0"/>
        <cfvo type="max" val="0"/>
        <color rgb="FF638EC6"/>
      </dataBar>
    </cfRule>
  </conditionalFormatting>
  <conditionalFormatting sqref="K18:K36">
    <cfRule type="dataBar" priority="99">
      <dataBar>
        <cfvo type="min" val="0"/>
        <cfvo type="max" val="0"/>
        <color rgb="FF638EC6"/>
      </dataBar>
    </cfRule>
  </conditionalFormatting>
  <conditionalFormatting sqref="K54">
    <cfRule type="dataBar" priority="76">
      <dataBar>
        <cfvo type="min" val="0"/>
        <cfvo type="max" val="0"/>
        <color rgb="FF638EC6"/>
      </dataBar>
    </cfRule>
    <cfRule type="cellIs" dxfId="13" priority="77" operator="greaterThan">
      <formula>0.99</formula>
    </cfRule>
  </conditionalFormatting>
  <conditionalFormatting sqref="K54">
    <cfRule type="dataBar" priority="75">
      <dataBar>
        <cfvo type="min" val="0"/>
        <cfvo type="max" val="0"/>
        <color rgb="FF638EC6"/>
      </dataBar>
    </cfRule>
  </conditionalFormatting>
  <conditionalFormatting sqref="K43">
    <cfRule type="dataBar" priority="73">
      <dataBar>
        <cfvo type="min" val="0"/>
        <cfvo type="max" val="0"/>
        <color rgb="FF638EC6"/>
      </dataBar>
    </cfRule>
  </conditionalFormatting>
  <conditionalFormatting sqref="U37:U42">
    <cfRule type="cellIs" dxfId="12" priority="71" operator="greaterThan">
      <formula>0.85</formula>
    </cfRule>
    <cfRule type="dataBar" priority="72">
      <dataBar>
        <cfvo type="min" val="0"/>
        <cfvo type="max" val="0"/>
        <color rgb="FF638EC6"/>
      </dataBar>
    </cfRule>
  </conditionalFormatting>
  <conditionalFormatting sqref="U37:U42 U44">
    <cfRule type="dataBar" priority="81">
      <dataBar>
        <cfvo type="min" val="0"/>
        <cfvo type="max" val="0"/>
        <color rgb="FF638EC6"/>
      </dataBar>
    </cfRule>
    <cfRule type="cellIs" dxfId="11" priority="82" operator="greaterThan">
      <formula>0.99</formula>
    </cfRule>
  </conditionalFormatting>
  <conditionalFormatting sqref="U37:U44">
    <cfRule type="dataBar" priority="83">
      <dataBar>
        <cfvo type="min" val="0"/>
        <cfvo type="max" val="0"/>
        <color rgb="FF638EC6"/>
      </dataBar>
    </cfRule>
  </conditionalFormatting>
  <conditionalFormatting sqref="K37:K54">
    <cfRule type="dataBar" priority="84">
      <dataBar>
        <cfvo type="min" val="0"/>
        <cfvo type="max" val="0"/>
        <color rgb="FF638EC6"/>
      </dataBar>
    </cfRule>
  </conditionalFormatting>
  <conditionalFormatting sqref="U6:U15">
    <cfRule type="dataBar" priority="117">
      <dataBar>
        <cfvo type="min" val="0"/>
        <cfvo type="max" val="0"/>
        <color rgb="FF638EC6"/>
      </dataBar>
    </cfRule>
    <cfRule type="cellIs" dxfId="10" priority="118" operator="greaterThan">
      <formula>0.99</formula>
    </cfRule>
  </conditionalFormatting>
  <conditionalFormatting sqref="K6:K15 K18:K36">
    <cfRule type="dataBar" priority="120">
      <dataBar>
        <cfvo type="min" val="0"/>
        <cfvo type="max" val="0"/>
        <color rgb="FF638EC6"/>
      </dataBar>
    </cfRule>
  </conditionalFormatting>
  <conditionalFormatting sqref="G58:G87">
    <cfRule type="cellIs" dxfId="9" priority="61" operator="greaterThan">
      <formula>0</formula>
    </cfRule>
  </conditionalFormatting>
  <conditionalFormatting sqref="H58:H87">
    <cfRule type="cellIs" dxfId="8" priority="62" operator="greaterThan">
      <formula>0</formula>
    </cfRule>
  </conditionalFormatting>
  <conditionalFormatting sqref="G88">
    <cfRule type="cellIs" dxfId="7" priority="3" operator="greaterThan">
      <formula>0</formula>
    </cfRule>
  </conditionalFormatting>
  <conditionalFormatting sqref="H88:H90">
    <cfRule type="cellIs" dxfId="6" priority="2" operator="greaterThan">
      <formula>0</formula>
    </cfRule>
  </conditionalFormatting>
  <conditionalFormatting sqref="G89">
    <cfRule type="cellIs" dxfId="5" priority="1" operator="greaterThan">
      <formula>0</formula>
    </cfRule>
  </conditionalFormatting>
  <hyperlinks>
    <hyperlink ref="E87" r:id="rId1" display="http://www.subpesca.cl/portal/615/w3-article-104845.html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V45"/>
  <sheetViews>
    <sheetView tabSelected="1" zoomScale="74" zoomScaleNormal="74" workbookViewId="0">
      <selection activeCell="B16" sqref="B16:B23"/>
    </sheetView>
  </sheetViews>
  <sheetFormatPr baseColWidth="10" defaultColWidth="11.5546875" defaultRowHeight="14.4"/>
  <cols>
    <col min="1" max="1" width="6" style="456" customWidth="1"/>
    <col min="2" max="2" width="10.77734375" style="456" customWidth="1"/>
    <col min="3" max="3" width="38" style="456" customWidth="1"/>
    <col min="4" max="4" width="23.33203125" style="456" customWidth="1"/>
    <col min="5" max="5" width="12.77734375" style="456" customWidth="1"/>
    <col min="6" max="6" width="16.44140625" style="456" customWidth="1"/>
    <col min="7" max="7" width="12.44140625" style="456" customWidth="1"/>
    <col min="8" max="8" width="17.109375" style="456" customWidth="1"/>
    <col min="9" max="11" width="11.5546875" style="456"/>
    <col min="12" max="12" width="13.33203125" style="456" customWidth="1"/>
    <col min="13" max="17" width="11.5546875" style="456" customWidth="1"/>
    <col min="18" max="18" width="13.44140625" style="456" customWidth="1"/>
    <col min="19" max="26" width="11.44140625" style="456" customWidth="1"/>
    <col min="27" max="16384" width="11.5546875" style="456"/>
  </cols>
  <sheetData>
    <row r="1" spans="1:21" ht="14.4" customHeight="1">
      <c r="A1" s="56"/>
      <c r="B1" s="802" t="s">
        <v>220</v>
      </c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3"/>
      <c r="P1" s="3"/>
      <c r="Q1" s="3"/>
      <c r="R1" s="3"/>
    </row>
    <row r="2" spans="1:21" ht="22.8" customHeight="1">
      <c r="A2" s="56"/>
      <c r="B2" s="806">
        <f>+'Resumen_Anch_Sard_Esp_XV-IV'!C3</f>
        <v>43740</v>
      </c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7"/>
      <c r="P2" s="3"/>
      <c r="Q2" s="3"/>
      <c r="R2" s="3"/>
    </row>
    <row r="3" spans="1:21">
      <c r="A3" s="56"/>
      <c r="B3" s="56"/>
      <c r="C3" s="57"/>
      <c r="D3" s="56"/>
      <c r="E3" s="56"/>
      <c r="F3" s="56"/>
      <c r="G3" s="56"/>
      <c r="H3" s="56"/>
      <c r="I3" s="56"/>
      <c r="J3" s="56"/>
      <c r="K3" s="56"/>
      <c r="L3" s="58"/>
      <c r="M3" s="56"/>
      <c r="N3" s="59"/>
      <c r="O3" s="59"/>
      <c r="P3" s="56"/>
      <c r="Q3" s="56"/>
      <c r="R3" s="56"/>
    </row>
    <row r="4" spans="1:21" ht="29.4" customHeight="1">
      <c r="A4" s="56"/>
      <c r="B4" s="828" t="s">
        <v>0</v>
      </c>
      <c r="C4" s="828" t="s">
        <v>310</v>
      </c>
      <c r="D4" s="828" t="s">
        <v>26</v>
      </c>
      <c r="E4" s="828" t="s">
        <v>2</v>
      </c>
      <c r="F4" s="828" t="s">
        <v>276</v>
      </c>
      <c r="G4" s="829" t="s">
        <v>27</v>
      </c>
      <c r="H4" s="828" t="s">
        <v>5</v>
      </c>
      <c r="I4" s="830" t="s">
        <v>28</v>
      </c>
      <c r="J4" s="828" t="s">
        <v>29</v>
      </c>
      <c r="K4" s="828" t="s">
        <v>30</v>
      </c>
      <c r="L4" s="831" t="s">
        <v>31</v>
      </c>
      <c r="M4" s="808" t="s">
        <v>32</v>
      </c>
      <c r="N4" s="809" t="s">
        <v>27</v>
      </c>
      <c r="O4" s="809" t="s">
        <v>5</v>
      </c>
      <c r="P4" s="808" t="s">
        <v>28</v>
      </c>
      <c r="Q4" s="808" t="s">
        <v>29</v>
      </c>
      <c r="R4" s="808" t="s">
        <v>30</v>
      </c>
    </row>
    <row r="5" spans="1:21" ht="15" customHeight="1">
      <c r="A5" s="56"/>
      <c r="B5" s="810" t="s">
        <v>10</v>
      </c>
      <c r="C5" s="811" t="s">
        <v>33</v>
      </c>
      <c r="D5" s="751" t="s">
        <v>93</v>
      </c>
      <c r="E5" s="122" t="s">
        <v>11</v>
      </c>
      <c r="F5" s="471">
        <v>60695</v>
      </c>
      <c r="G5" s="472"/>
      <c r="H5" s="473">
        <f>F5</f>
        <v>60695</v>
      </c>
      <c r="I5" s="474">
        <f>+D26+D30</f>
        <v>57369.73</v>
      </c>
      <c r="J5" s="475">
        <f t="shared" ref="J5:J10" si="0">H5-I5</f>
        <v>3325.2699999999968</v>
      </c>
      <c r="K5" s="508">
        <f t="shared" ref="K5:K16" si="1">I5/H5</f>
        <v>0.945213444270533</v>
      </c>
      <c r="L5" s="496" t="s">
        <v>43</v>
      </c>
      <c r="M5" s="747">
        <f>F5+F6</f>
        <v>80927</v>
      </c>
      <c r="N5" s="750">
        <f>G5+G6</f>
        <v>7494</v>
      </c>
      <c r="O5" s="744">
        <f>M5+N5</f>
        <v>88421</v>
      </c>
      <c r="P5" s="743">
        <f>I5+I6</f>
        <v>81305.34600000002</v>
      </c>
      <c r="Q5" s="744">
        <f>O5-P5</f>
        <v>7115.6539999999804</v>
      </c>
      <c r="R5" s="745">
        <f>P5/O5</f>
        <v>0.91952529376505598</v>
      </c>
    </row>
    <row r="6" spans="1:21" ht="13.8" customHeight="1">
      <c r="A6" s="56"/>
      <c r="B6" s="812"/>
      <c r="C6" s="813"/>
      <c r="D6" s="752"/>
      <c r="E6" s="122" t="s">
        <v>12</v>
      </c>
      <c r="F6" s="476">
        <v>20232</v>
      </c>
      <c r="G6" s="477">
        <v>7494</v>
      </c>
      <c r="H6" s="478">
        <f>+F6+J5+G6</f>
        <v>31051.269999999997</v>
      </c>
      <c r="I6" s="479">
        <f>+E26+E30</f>
        <v>23935.616000000016</v>
      </c>
      <c r="J6" s="584">
        <f t="shared" si="0"/>
        <v>7115.6539999999804</v>
      </c>
      <c r="K6" s="509">
        <f>I6/H6</f>
        <v>0.77084177233330609</v>
      </c>
      <c r="L6" s="496" t="s">
        <v>43</v>
      </c>
      <c r="M6" s="747"/>
      <c r="N6" s="750"/>
      <c r="O6" s="744"/>
      <c r="P6" s="743"/>
      <c r="Q6" s="744"/>
      <c r="R6" s="745"/>
    </row>
    <row r="7" spans="1:21" s="448" customFormat="1" hidden="1">
      <c r="A7" s="443"/>
      <c r="B7" s="812"/>
      <c r="C7" s="443"/>
      <c r="D7" s="444"/>
      <c r="E7" s="443"/>
      <c r="F7" s="445">
        <f>SUM(F5:F6)</f>
        <v>80927</v>
      </c>
      <c r="G7" s="445">
        <f>SUM(G5:G6)</f>
        <v>7494</v>
      </c>
      <c r="H7" s="445">
        <f>F7+G7</f>
        <v>88421</v>
      </c>
      <c r="I7" s="445">
        <f t="shared" ref="I7" si="2">SUM(I5:I6)</f>
        <v>81305.34600000002</v>
      </c>
      <c r="J7" s="445">
        <f t="shared" si="0"/>
        <v>7115.6539999999804</v>
      </c>
      <c r="K7" s="447">
        <f>+I7/H7</f>
        <v>0.91952529376505598</v>
      </c>
      <c r="L7" s="445"/>
      <c r="M7" s="445"/>
      <c r="N7" s="446"/>
      <c r="O7" s="446"/>
      <c r="P7" s="446"/>
      <c r="Q7" s="446"/>
      <c r="R7" s="447"/>
    </row>
    <row r="8" spans="1:21" ht="15" customHeight="1">
      <c r="A8" s="56"/>
      <c r="B8" s="812"/>
      <c r="C8" s="814" t="s">
        <v>34</v>
      </c>
      <c r="D8" s="317" t="s">
        <v>274</v>
      </c>
      <c r="E8" s="122" t="s">
        <v>11</v>
      </c>
      <c r="F8" s="471">
        <f>22897+7631</f>
        <v>30528</v>
      </c>
      <c r="G8" s="481"/>
      <c r="H8" s="473">
        <f>F8+G8</f>
        <v>30528</v>
      </c>
      <c r="I8" s="482">
        <f>+D27</f>
        <v>24383.925999999985</v>
      </c>
      <c r="J8" s="483">
        <f t="shared" si="0"/>
        <v>6144.0740000000151</v>
      </c>
      <c r="K8" s="508">
        <f>I8/H8</f>
        <v>0.79873971436058655</v>
      </c>
      <c r="L8" s="496">
        <v>43668</v>
      </c>
      <c r="M8" s="747">
        <f>F8+F9</f>
        <v>30529</v>
      </c>
      <c r="N8" s="748">
        <f>G8+G9</f>
        <v>0</v>
      </c>
      <c r="O8" s="744">
        <f>M8+N8</f>
        <v>30529</v>
      </c>
      <c r="P8" s="743">
        <f>I8+I9</f>
        <v>31803.230999999985</v>
      </c>
      <c r="Q8" s="749">
        <f>O8-P8</f>
        <v>-1274.2309999999852</v>
      </c>
      <c r="R8" s="742">
        <f>P8/O8</f>
        <v>1.0417383799010771</v>
      </c>
    </row>
    <row r="9" spans="1:21" ht="14.4" customHeight="1">
      <c r="A9" s="56"/>
      <c r="B9" s="812"/>
      <c r="C9" s="746"/>
      <c r="D9" s="317" t="s">
        <v>274</v>
      </c>
      <c r="E9" s="122" t="s">
        <v>12</v>
      </c>
      <c r="F9" s="476">
        <v>1</v>
      </c>
      <c r="G9" s="484"/>
      <c r="H9" s="478">
        <f>+F9+J8+G9</f>
        <v>6145.0740000000151</v>
      </c>
      <c r="I9" s="485">
        <f>+E27</f>
        <v>7419.3050000000021</v>
      </c>
      <c r="J9" s="815">
        <f t="shared" si="0"/>
        <v>-1274.230999999987</v>
      </c>
      <c r="K9" s="509">
        <f>I9/H9</f>
        <v>1.2073581213179831</v>
      </c>
      <c r="L9" s="496">
        <v>43668</v>
      </c>
      <c r="M9" s="747"/>
      <c r="N9" s="748"/>
      <c r="O9" s="744"/>
      <c r="P9" s="743"/>
      <c r="Q9" s="749"/>
      <c r="R9" s="742"/>
    </row>
    <row r="10" spans="1:21" ht="0.6" hidden="1" customHeight="1">
      <c r="A10" s="56"/>
      <c r="B10" s="812"/>
      <c r="C10" s="2"/>
      <c r="D10" s="318"/>
      <c r="E10" s="457"/>
      <c r="F10" s="457">
        <f>SUM(F8:F9)</f>
        <v>30529</v>
      </c>
      <c r="G10" s="457">
        <f>SUM(G8:G9)</f>
        <v>0</v>
      </c>
      <c r="H10" s="457">
        <f>F10+G10</f>
        <v>30529</v>
      </c>
      <c r="I10" s="457">
        <f t="shared" ref="I10" si="3">SUM(I8:I9)</f>
        <v>31803.230999999985</v>
      </c>
      <c r="J10" s="459">
        <f t="shared" si="0"/>
        <v>-1274.2309999999852</v>
      </c>
      <c r="K10" s="458">
        <f>+I10/H10</f>
        <v>1.0417383799010771</v>
      </c>
      <c r="L10" s="445"/>
      <c r="M10" s="457"/>
      <c r="N10" s="457"/>
      <c r="O10" s="457"/>
      <c r="P10" s="457"/>
      <c r="Q10" s="457"/>
      <c r="R10" s="458"/>
      <c r="S10" s="460"/>
    </row>
    <row r="11" spans="1:21" ht="15" customHeight="1">
      <c r="A11" s="56"/>
      <c r="B11" s="812"/>
      <c r="C11" s="805" t="s">
        <v>266</v>
      </c>
      <c r="D11" s="805" t="s">
        <v>47</v>
      </c>
      <c r="E11" s="805" t="s">
        <v>44</v>
      </c>
      <c r="F11" s="816">
        <f>+F5+F6+F8+F9</f>
        <v>111456</v>
      </c>
      <c r="G11" s="816">
        <f>+G5+G6+G8+G9</f>
        <v>7494</v>
      </c>
      <c r="H11" s="805">
        <f>+F11+G11</f>
        <v>118950</v>
      </c>
      <c r="I11" s="805">
        <f>+I7+I10</f>
        <v>113108.577</v>
      </c>
      <c r="J11" s="805">
        <f>+H11-I11</f>
        <v>5841.4229999999952</v>
      </c>
      <c r="K11" s="817">
        <f>I11/H11</f>
        <v>0.95089177805800762</v>
      </c>
      <c r="L11" s="805" t="s">
        <v>43</v>
      </c>
      <c r="M11" s="457"/>
      <c r="N11" s="457"/>
      <c r="O11" s="457"/>
      <c r="P11" s="457"/>
      <c r="Q11" s="457"/>
      <c r="R11" s="458"/>
      <c r="S11" s="460"/>
    </row>
    <row r="12" spans="1:21" ht="15" customHeight="1">
      <c r="A12" s="56"/>
      <c r="B12" s="812"/>
      <c r="C12" s="805" t="s">
        <v>279</v>
      </c>
      <c r="D12" s="805" t="s">
        <v>47</v>
      </c>
      <c r="E12" s="805" t="s">
        <v>44</v>
      </c>
      <c r="F12" s="805">
        <v>0</v>
      </c>
      <c r="G12" s="805">
        <f>+Cesiones_a_artesanales!H5</f>
        <v>31404.47</v>
      </c>
      <c r="H12" s="805">
        <f>+F12+G12</f>
        <v>31404.47</v>
      </c>
      <c r="I12" s="805">
        <f>+Cesiones_a_artesanales!I5</f>
        <v>12188.828999999996</v>
      </c>
      <c r="J12" s="805">
        <f>+H12-I12</f>
        <v>19215.641000000003</v>
      </c>
      <c r="K12" s="817">
        <f>I12/H12</f>
        <v>0.38812401546658792</v>
      </c>
      <c r="L12" s="805"/>
      <c r="M12" s="457"/>
      <c r="N12" s="457"/>
      <c r="O12" s="457"/>
      <c r="P12" s="457"/>
      <c r="Q12" s="457"/>
      <c r="R12" s="458"/>
      <c r="S12" s="460"/>
    </row>
    <row r="13" spans="1:21" ht="15" customHeight="1">
      <c r="A13" s="56"/>
      <c r="B13" s="818"/>
      <c r="C13" s="805" t="s">
        <v>263</v>
      </c>
      <c r="D13" s="805" t="s">
        <v>47</v>
      </c>
      <c r="E13" s="805" t="s">
        <v>44</v>
      </c>
      <c r="F13" s="805">
        <v>1000</v>
      </c>
      <c r="G13" s="805">
        <v>0</v>
      </c>
      <c r="H13" s="805">
        <f>F13+G13</f>
        <v>1000</v>
      </c>
      <c r="I13" s="805">
        <v>0</v>
      </c>
      <c r="J13" s="805">
        <f>H13-I13</f>
        <v>1000</v>
      </c>
      <c r="K13" s="817">
        <f>I13/H13</f>
        <v>0</v>
      </c>
      <c r="L13" s="805" t="s">
        <v>43</v>
      </c>
      <c r="M13" s="457"/>
      <c r="N13" s="457"/>
      <c r="O13" s="457"/>
      <c r="P13" s="457"/>
      <c r="Q13" s="457"/>
      <c r="R13" s="458"/>
      <c r="S13" s="460"/>
    </row>
    <row r="14" spans="1:21" ht="15" customHeight="1">
      <c r="A14" s="56"/>
      <c r="B14" s="56"/>
      <c r="C14" s="2"/>
      <c r="D14" s="318"/>
      <c r="E14" s="457"/>
      <c r="F14" s="457"/>
      <c r="G14" s="457"/>
      <c r="H14" s="457"/>
      <c r="I14" s="457"/>
      <c r="J14" s="458"/>
      <c r="K14" s="460"/>
      <c r="L14" s="445"/>
      <c r="M14" s="457"/>
      <c r="N14" s="457"/>
      <c r="O14" s="457"/>
      <c r="P14" s="457"/>
      <c r="Q14" s="457"/>
      <c r="R14" s="458"/>
      <c r="S14" s="460"/>
    </row>
    <row r="15" spans="1:21" ht="31.2" customHeight="1">
      <c r="A15" s="56"/>
      <c r="B15" s="828" t="s">
        <v>0</v>
      </c>
      <c r="C15" s="828" t="s">
        <v>310</v>
      </c>
      <c r="D15" s="828" t="s">
        <v>26</v>
      </c>
      <c r="E15" s="828" t="s">
        <v>2</v>
      </c>
      <c r="F15" s="828" t="s">
        <v>277</v>
      </c>
      <c r="G15" s="829" t="s">
        <v>27</v>
      </c>
      <c r="H15" s="828" t="s">
        <v>5</v>
      </c>
      <c r="I15" s="830" t="s">
        <v>28</v>
      </c>
      <c r="J15" s="828" t="s">
        <v>29</v>
      </c>
      <c r="K15" s="828" t="s">
        <v>30</v>
      </c>
      <c r="L15" s="831" t="s">
        <v>31</v>
      </c>
      <c r="M15" s="808" t="s">
        <v>32</v>
      </c>
      <c r="N15" s="809" t="s">
        <v>27</v>
      </c>
      <c r="O15" s="809" t="s">
        <v>5</v>
      </c>
      <c r="P15" s="808" t="s">
        <v>28</v>
      </c>
      <c r="Q15" s="808" t="s">
        <v>29</v>
      </c>
      <c r="R15" s="808" t="s">
        <v>30</v>
      </c>
      <c r="S15" s="2"/>
      <c r="T15" s="2"/>
      <c r="U15" s="2"/>
    </row>
    <row r="16" spans="1:21" ht="13.8" customHeight="1">
      <c r="A16" s="56"/>
      <c r="B16" s="825" t="s">
        <v>245</v>
      </c>
      <c r="C16" s="819" t="s">
        <v>35</v>
      </c>
      <c r="D16" s="450" t="s">
        <v>278</v>
      </c>
      <c r="E16" s="451" t="s">
        <v>14</v>
      </c>
      <c r="F16" s="486">
        <v>26209</v>
      </c>
      <c r="G16" s="487"/>
      <c r="H16" s="319">
        <f>F16+G16</f>
        <v>26209</v>
      </c>
      <c r="I16" s="488">
        <f>+F28</f>
        <v>25855.380000000008</v>
      </c>
      <c r="J16" s="489">
        <f>H16-I16</f>
        <v>353.61999999999171</v>
      </c>
      <c r="K16" s="490">
        <f t="shared" si="1"/>
        <v>0.98650768819871071</v>
      </c>
      <c r="L16" s="495" t="s">
        <v>43</v>
      </c>
      <c r="M16" s="321">
        <f>+F16</f>
        <v>26209</v>
      </c>
      <c r="N16" s="321">
        <f t="shared" ref="N16:R16" si="4">+G16</f>
        <v>0</v>
      </c>
      <c r="O16" s="321">
        <f t="shared" si="4"/>
        <v>26209</v>
      </c>
      <c r="P16" s="321">
        <f t="shared" si="4"/>
        <v>25855.380000000008</v>
      </c>
      <c r="Q16" s="321">
        <f t="shared" si="4"/>
        <v>353.61999999999171</v>
      </c>
      <c r="R16" s="320">
        <f t="shared" si="4"/>
        <v>0.98650768819871071</v>
      </c>
    </row>
    <row r="17" spans="1:22" ht="15" hidden="1" customHeight="1">
      <c r="A17" s="56"/>
      <c r="B17" s="826"/>
      <c r="C17" s="2"/>
      <c r="D17" s="318"/>
      <c r="E17" s="443"/>
      <c r="F17" s="491">
        <f>SUM(F16)</f>
        <v>26209</v>
      </c>
      <c r="G17" s="491">
        <f>SUM(G16)</f>
        <v>0</v>
      </c>
      <c r="H17" s="491">
        <f>F17+G17</f>
        <v>26209</v>
      </c>
      <c r="I17" s="491">
        <f t="shared" ref="I17:J17" si="5">SUM(I16)</f>
        <v>25855.380000000008</v>
      </c>
      <c r="J17" s="491">
        <f t="shared" si="5"/>
        <v>353.61999999999171</v>
      </c>
      <c r="K17" s="480">
        <f>+I17/H17</f>
        <v>0.98650768819871071</v>
      </c>
      <c r="L17" s="492"/>
      <c r="M17" s="443"/>
      <c r="N17" s="443"/>
      <c r="O17" s="443"/>
      <c r="P17" s="443"/>
      <c r="Q17" s="443"/>
      <c r="R17" s="449"/>
      <c r="S17" s="448"/>
      <c r="T17" s="448"/>
      <c r="U17" s="448"/>
      <c r="V17" s="448"/>
    </row>
    <row r="18" spans="1:22" ht="15" customHeight="1">
      <c r="A18" s="127">
        <v>11232</v>
      </c>
      <c r="B18" s="826"/>
      <c r="C18" s="814" t="s">
        <v>37</v>
      </c>
      <c r="D18" s="317" t="s">
        <v>38</v>
      </c>
      <c r="E18" s="455" t="s">
        <v>14</v>
      </c>
      <c r="F18" s="493">
        <v>11195.151</v>
      </c>
      <c r="G18" s="487"/>
      <c r="H18" s="319">
        <f>F18+G18</f>
        <v>11195.151</v>
      </c>
      <c r="I18" s="494">
        <f>+D29-I19</f>
        <v>11108.782999999999</v>
      </c>
      <c r="J18" s="319">
        <f>H18-I18</f>
        <v>86.368000000000393</v>
      </c>
      <c r="K18" s="490">
        <f>I18/H18</f>
        <v>0.99228523134703583</v>
      </c>
      <c r="L18" s="495" t="s">
        <v>43</v>
      </c>
      <c r="M18" s="321">
        <f>+F18</f>
        <v>11195.151</v>
      </c>
      <c r="N18" s="321">
        <f t="shared" ref="N18:R19" si="6">+G18</f>
        <v>0</v>
      </c>
      <c r="O18" s="321">
        <f t="shared" si="6"/>
        <v>11195.151</v>
      </c>
      <c r="P18" s="321">
        <f t="shared" si="6"/>
        <v>11108.782999999999</v>
      </c>
      <c r="Q18" s="321">
        <f t="shared" si="6"/>
        <v>86.368000000000393</v>
      </c>
      <c r="R18" s="320">
        <f t="shared" si="6"/>
        <v>0.99228523134703583</v>
      </c>
    </row>
    <row r="19" spans="1:22" ht="12.6" customHeight="1">
      <c r="A19" s="56"/>
      <c r="B19" s="826"/>
      <c r="C19" s="820"/>
      <c r="D19" s="317" t="s">
        <v>39</v>
      </c>
      <c r="E19" s="455" t="s">
        <v>14</v>
      </c>
      <c r="F19" s="497">
        <v>36.848999999999997</v>
      </c>
      <c r="G19" s="487"/>
      <c r="H19" s="319">
        <f>F19+G19</f>
        <v>36.848999999999997</v>
      </c>
      <c r="I19" s="494">
        <v>4.0650000000000004</v>
      </c>
      <c r="J19" s="319">
        <f>H19-I19</f>
        <v>32.783999999999999</v>
      </c>
      <c r="K19" s="490">
        <f>I19/H19</f>
        <v>0.11031506960840187</v>
      </c>
      <c r="L19" s="495" t="s">
        <v>43</v>
      </c>
      <c r="M19" s="321">
        <f>+F19</f>
        <v>36.848999999999997</v>
      </c>
      <c r="N19" s="321">
        <f t="shared" si="6"/>
        <v>0</v>
      </c>
      <c r="O19" s="321">
        <f t="shared" si="6"/>
        <v>36.848999999999997</v>
      </c>
      <c r="P19" s="321">
        <f t="shared" si="6"/>
        <v>4.0650000000000004</v>
      </c>
      <c r="Q19" s="321">
        <f t="shared" si="6"/>
        <v>32.783999999999999</v>
      </c>
      <c r="R19" s="320">
        <f t="shared" si="6"/>
        <v>0.11031506960840187</v>
      </c>
    </row>
    <row r="20" spans="1:22" s="464" customFormat="1" ht="15" hidden="1" customHeight="1">
      <c r="A20" s="452"/>
      <c r="B20" s="826"/>
      <c r="C20" s="452"/>
      <c r="D20" s="452"/>
      <c r="E20" s="453"/>
      <c r="F20" s="461">
        <f>SUM(F18:F19)</f>
        <v>11232</v>
      </c>
      <c r="G20" s="461">
        <f>SUM(G18:G19)</f>
        <v>0</v>
      </c>
      <c r="H20" s="461">
        <f>+F20+G20</f>
        <v>11232</v>
      </c>
      <c r="I20" s="461">
        <f>SUM(I18:I19)</f>
        <v>11112.848</v>
      </c>
      <c r="J20" s="461">
        <f>+H20-I20</f>
        <v>119.15200000000004</v>
      </c>
      <c r="K20" s="462">
        <f>+I20/H20</f>
        <v>0.98939173789173784</v>
      </c>
      <c r="L20" s="463"/>
      <c r="M20" s="454"/>
      <c r="N20" s="452"/>
      <c r="O20" s="452"/>
      <c r="P20" s="452"/>
      <c r="Q20" s="452"/>
    </row>
    <row r="21" spans="1:22" ht="15" customHeight="1">
      <c r="B21" s="826"/>
      <c r="C21" s="805" t="s">
        <v>265</v>
      </c>
      <c r="D21" s="805" t="s">
        <v>48</v>
      </c>
      <c r="E21" s="805" t="s">
        <v>44</v>
      </c>
      <c r="F21" s="821">
        <f>+F16+F18+F19</f>
        <v>37441</v>
      </c>
      <c r="G21" s="816">
        <v>0</v>
      </c>
      <c r="H21" s="821">
        <f>+F21+G21</f>
        <v>37441</v>
      </c>
      <c r="I21" s="816">
        <f>+I16+I18+I19</f>
        <v>36968.22800000001</v>
      </c>
      <c r="J21" s="805">
        <f>+J7+J8+J10+J11+J18+J20</f>
        <v>18032.44000000001</v>
      </c>
      <c r="K21" s="817">
        <f>I21/H21</f>
        <v>0.98737287999786361</v>
      </c>
      <c r="L21" s="805" t="s">
        <v>43</v>
      </c>
    </row>
    <row r="22" spans="1:22" ht="15" customHeight="1">
      <c r="B22" s="826"/>
      <c r="C22" s="805" t="s">
        <v>282</v>
      </c>
      <c r="D22" s="805" t="s">
        <v>48</v>
      </c>
      <c r="E22" s="805" t="s">
        <v>44</v>
      </c>
      <c r="F22" s="821">
        <v>0</v>
      </c>
      <c r="G22" s="805">
        <f>+Cesiones_a_artesanales!H8+Cesiones_a_artesanales!H9</f>
        <v>34962.426999999996</v>
      </c>
      <c r="H22" s="821">
        <f>+F22+G22</f>
        <v>34962.426999999996</v>
      </c>
      <c r="I22" s="805">
        <f>+Cesiones_a_artesanales!I8+Cesiones_a_artesanales!I9</f>
        <v>23443.266</v>
      </c>
      <c r="J22" s="805">
        <f>+I22</f>
        <v>23443.266</v>
      </c>
      <c r="K22" s="817">
        <f>I22/H22</f>
        <v>0.67052742076515459</v>
      </c>
      <c r="L22" s="805" t="s">
        <v>43</v>
      </c>
    </row>
    <row r="23" spans="1:22" ht="15" customHeight="1">
      <c r="B23" s="827"/>
      <c r="C23" s="805" t="s">
        <v>264</v>
      </c>
      <c r="D23" s="805" t="s">
        <v>48</v>
      </c>
      <c r="E23" s="805" t="s">
        <v>44</v>
      </c>
      <c r="F23" s="805">
        <v>500</v>
      </c>
      <c r="G23" s="805"/>
      <c r="H23" s="805">
        <f>F23+G23</f>
        <v>500</v>
      </c>
      <c r="I23" s="805">
        <v>0</v>
      </c>
      <c r="J23" s="805">
        <f>H23-I23</f>
        <v>500</v>
      </c>
      <c r="K23" s="817">
        <f>I23/H23</f>
        <v>0</v>
      </c>
      <c r="L23" s="805" t="s">
        <v>43</v>
      </c>
    </row>
    <row r="24" spans="1:22" ht="15" customHeight="1">
      <c r="C24" s="350"/>
      <c r="D24" s="350"/>
      <c r="E24" s="350"/>
      <c r="F24" s="465"/>
      <c r="G24" s="465"/>
      <c r="H24" s="465"/>
      <c r="I24" s="465"/>
      <c r="J24" s="466"/>
      <c r="K24" s="467"/>
      <c r="L24" s="2"/>
    </row>
    <row r="25" spans="1:22" ht="15" customHeight="1">
      <c r="C25" s="822" t="s">
        <v>51</v>
      </c>
      <c r="D25" s="822" t="s">
        <v>11</v>
      </c>
      <c r="E25" s="822" t="s">
        <v>230</v>
      </c>
      <c r="F25" s="822" t="s">
        <v>212</v>
      </c>
      <c r="H25" s="349"/>
      <c r="I25" s="349"/>
      <c r="J25" s="349"/>
    </row>
    <row r="26" spans="1:22" ht="15" customHeight="1">
      <c r="C26" s="468">
        <v>1</v>
      </c>
      <c r="D26" s="469">
        <v>14853.293000000012</v>
      </c>
      <c r="E26" s="605">
        <v>5187.6639999999979</v>
      </c>
      <c r="F26" s="456">
        <f>+D26+E26</f>
        <v>20040.957000000009</v>
      </c>
    </row>
    <row r="27" spans="1:22" ht="15" customHeight="1">
      <c r="C27" s="468">
        <v>2</v>
      </c>
      <c r="D27" s="469">
        <v>24383.925999999985</v>
      </c>
      <c r="E27" s="605">
        <v>7419.3050000000021</v>
      </c>
      <c r="F27" s="456">
        <f t="shared" ref="F27:F28" si="7">+D27+E27</f>
        <v>31803.230999999985</v>
      </c>
    </row>
    <row r="28" spans="1:22" ht="15" customHeight="1">
      <c r="C28" s="468">
        <v>3</v>
      </c>
      <c r="D28" s="469">
        <v>24923.445000000007</v>
      </c>
      <c r="E28" s="605">
        <v>931.93499999999995</v>
      </c>
      <c r="F28" s="456">
        <f t="shared" si="7"/>
        <v>25855.380000000008</v>
      </c>
    </row>
    <row r="29" spans="1:22" ht="15" customHeight="1">
      <c r="C29" s="468">
        <v>4</v>
      </c>
      <c r="D29" s="469">
        <v>11112.848</v>
      </c>
      <c r="E29" s="605">
        <v>14.7</v>
      </c>
      <c r="F29" s="456">
        <f>+D29+E29</f>
        <v>11127.548000000001</v>
      </c>
    </row>
    <row r="30" spans="1:22" ht="15" customHeight="1">
      <c r="C30" s="468">
        <v>15</v>
      </c>
      <c r="D30" s="469">
        <v>42516.436999999991</v>
      </c>
      <c r="E30" s="605">
        <v>18747.952000000019</v>
      </c>
      <c r="F30" s="456">
        <f>+D30+E30</f>
        <v>61264.38900000001</v>
      </c>
    </row>
    <row r="31" spans="1:22" ht="15" customHeight="1">
      <c r="C31" s="823" t="s">
        <v>96</v>
      </c>
      <c r="D31" s="824">
        <f>SUM(D26:D30)</f>
        <v>117789.94899999999</v>
      </c>
      <c r="E31" s="824">
        <f>SUM(E26:E30)</f>
        <v>32301.556000000019</v>
      </c>
      <c r="F31" s="824">
        <f>SUM(F26:F30)</f>
        <v>150091.505</v>
      </c>
    </row>
    <row r="32" spans="1:22" ht="15" customHeight="1"/>
    <row r="33" spans="4:6" ht="15" customHeight="1">
      <c r="D33" s="456">
        <f>+D26+D30</f>
        <v>57369.73</v>
      </c>
      <c r="E33" s="456">
        <f>+E30+E26</f>
        <v>23935.616000000016</v>
      </c>
    </row>
    <row r="34" spans="4:6" ht="15" customHeight="1"/>
    <row r="35" spans="4:6" ht="15" customHeight="1">
      <c r="F35" s="470"/>
    </row>
    <row r="36" spans="4:6" ht="15" customHeight="1"/>
    <row r="37" spans="4:6" ht="15" customHeight="1"/>
    <row r="38" spans="4:6" ht="15" customHeight="1"/>
    <row r="39" spans="4:6" ht="15" customHeight="1"/>
    <row r="40" spans="4:6" ht="15" customHeight="1"/>
    <row r="41" spans="4:6" ht="15" customHeight="1"/>
    <row r="42" spans="4:6" ht="15" customHeight="1"/>
    <row r="43" spans="4:6" ht="15" customHeight="1"/>
    <row r="44" spans="4:6" ht="15" customHeight="1"/>
    <row r="45" spans="4:6" ht="15" customHeight="1"/>
  </sheetData>
  <mergeCells count="20">
    <mergeCell ref="B16:B23"/>
    <mergeCell ref="O5:O6"/>
    <mergeCell ref="D5:D6"/>
    <mergeCell ref="B5:B13"/>
    <mergeCell ref="B1:O1"/>
    <mergeCell ref="B2:O2"/>
    <mergeCell ref="R8:R9"/>
    <mergeCell ref="C18:C19"/>
    <mergeCell ref="P5:P6"/>
    <mergeCell ref="Q5:Q6"/>
    <mergeCell ref="R5:R6"/>
    <mergeCell ref="C8:C9"/>
    <mergeCell ref="M8:M9"/>
    <mergeCell ref="N8:N9"/>
    <mergeCell ref="O8:O9"/>
    <mergeCell ref="P8:P9"/>
    <mergeCell ref="Q8:Q9"/>
    <mergeCell ref="C5:C6"/>
    <mergeCell ref="M5:M6"/>
    <mergeCell ref="N5:N6"/>
  </mergeCells>
  <conditionalFormatting sqref="K24 K18:K19 K16 J14:K14 K8:K9 R8:R14 R5:R6 K5:K6">
    <cfRule type="cellIs" dxfId="3" priority="8" operator="greaterThan">
      <formula>0.85</formula>
    </cfRule>
  </conditionalFormatting>
  <conditionalFormatting sqref="K14 K16 K8:K9 K5:K6 K18:K19">
    <cfRule type="dataBar" priority="10">
      <dataBar>
        <cfvo type="min" val="0"/>
        <cfvo type="max" val="0"/>
        <color rgb="FF63C384"/>
      </dataBar>
      <extLst>
        <ext xmlns:x14="http://schemas.microsoft.com/office/spreadsheetml/2009/9/main" uri="{B025F937-C7B1-47D3-B67F-A62EFF666E3E}">
          <x14:id>{2634F2F4-3357-48CD-A516-6A2BB8148EEB}</x14:id>
        </ext>
      </extLst>
    </cfRule>
  </conditionalFormatting>
  <conditionalFormatting sqref="K5">
    <cfRule type="cellIs" dxfId="2" priority="9" operator="greaterThan">
      <formula>0.93542</formula>
    </cfRule>
  </conditionalFormatting>
  <conditionalFormatting sqref="K14 K16 K8:K9 K5:K6 K18:K19">
    <cfRule type="dataBar" priority="11">
      <dataBar>
        <cfvo type="min" val="0"/>
        <cfvo type="max" val="0"/>
        <color rgb="FF63C384"/>
      </dataBar>
      <extLst>
        <ext xmlns:x14="http://schemas.microsoft.com/office/spreadsheetml/2009/9/main" uri="{B025F937-C7B1-47D3-B67F-A62EFF666E3E}">
          <x14:id>{21B14D1E-7BD7-4086-9FF5-75F515A23A93}</x14:id>
        </ext>
      </extLst>
    </cfRule>
  </conditionalFormatting>
  <conditionalFormatting sqref="R10:R14 J14">
    <cfRule type="dataBar" priority="49">
      <dataBar>
        <cfvo type="min" val="0"/>
        <cfvo type="max" val="0"/>
        <color rgb="FF63C384"/>
      </dataBar>
      <extLst>
        <ext xmlns:x14="http://schemas.microsoft.com/office/spreadsheetml/2009/9/main" uri="{B025F937-C7B1-47D3-B67F-A62EFF666E3E}">
          <x14:id>{2634F2F4-3357-48CD-A516-6A2BB8148EEB}</x14:id>
        </ext>
      </extLst>
    </cfRule>
  </conditionalFormatting>
  <conditionalFormatting sqref="R10:R14 J14">
    <cfRule type="dataBar" priority="52">
      <dataBar>
        <cfvo type="min" val="0"/>
        <cfvo type="max" val="0"/>
        <color rgb="FF63C384"/>
      </dataBar>
      <extLst>
        <ext xmlns:x14="http://schemas.microsoft.com/office/spreadsheetml/2009/9/main" uri="{B025F937-C7B1-47D3-B67F-A62EFF666E3E}">
          <x14:id>{21B14D1E-7BD7-4086-9FF5-75F515A23A93}</x14:id>
        </ext>
      </extLst>
    </cfRule>
  </conditionalFormatting>
  <conditionalFormatting sqref="K24">
    <cfRule type="dataBar" priority="73">
      <dataBar>
        <cfvo type="min" val="0"/>
        <cfvo type="max" val="0"/>
        <color rgb="FF63C384"/>
      </dataBar>
      <extLst>
        <ext xmlns:x14="http://schemas.microsoft.com/office/spreadsheetml/2009/9/main" uri="{B025F937-C7B1-47D3-B67F-A62EFF666E3E}">
          <x14:id>{2634F2F4-3357-48CD-A516-6A2BB8148EEB}</x14:id>
        </ext>
      </extLst>
    </cfRule>
  </conditionalFormatting>
  <conditionalFormatting sqref="K24">
    <cfRule type="dataBar" priority="74">
      <dataBar>
        <cfvo type="min" val="0"/>
        <cfvo type="max" val="0"/>
        <color rgb="FF63C384"/>
      </dataBar>
      <extLst>
        <ext xmlns:x14="http://schemas.microsoft.com/office/spreadsheetml/2009/9/main" uri="{B025F937-C7B1-47D3-B67F-A62EFF666E3E}">
          <x14:id>{21B14D1E-7BD7-4086-9FF5-75F515A23A93}</x14:id>
        </ext>
      </extLst>
    </cfRule>
  </conditionalFormatting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634F2F4-3357-48CD-A516-6A2BB8148EE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K5:K19</xm:sqref>
        </x14:conditionalFormatting>
        <x14:conditionalFormatting xmlns:xm="http://schemas.microsoft.com/office/excel/2006/main">
          <x14:cfRule type="dataBar" id="{21B14D1E-7BD7-4086-9FF5-75F515A23A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K5:K19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B1:Z37"/>
  <sheetViews>
    <sheetView zoomScale="78" zoomScaleNormal="78" workbookViewId="0">
      <selection activeCell="C17" sqref="C17"/>
    </sheetView>
  </sheetViews>
  <sheetFormatPr baseColWidth="10" defaultColWidth="11.5546875" defaultRowHeight="14.4"/>
  <cols>
    <col min="1" max="1" width="11.5546875" style="65"/>
    <col min="2" max="2" width="9" style="65" customWidth="1"/>
    <col min="3" max="3" width="34.88671875" style="65" customWidth="1"/>
    <col min="4" max="4" width="16.21875" style="65" customWidth="1"/>
    <col min="5" max="5" width="8.6640625" style="65" customWidth="1"/>
    <col min="6" max="6" width="11.5546875" style="65" customWidth="1"/>
    <col min="7" max="7" width="11.33203125" style="65" customWidth="1"/>
    <col min="8" max="8" width="13.109375" style="65" customWidth="1"/>
    <col min="9" max="9" width="12.21875" style="65" customWidth="1"/>
    <col min="10" max="10" width="11.5546875" style="65"/>
    <col min="11" max="11" width="13.44140625" style="65" customWidth="1"/>
    <col min="12" max="12" width="13" style="65" customWidth="1"/>
    <col min="13" max="18" width="11.5546875" style="65" hidden="1" customWidth="1"/>
    <col min="19" max="16384" width="11.5546875" style="65"/>
  </cols>
  <sheetData>
    <row r="1" spans="2:26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4"/>
      <c r="O1" s="4"/>
      <c r="P1" s="4"/>
      <c r="Q1" s="4"/>
      <c r="R1" s="4"/>
      <c r="S1" s="4"/>
      <c r="T1" s="4"/>
    </row>
    <row r="2" spans="2:26" ht="18">
      <c r="B2" s="4"/>
      <c r="C2" s="753" t="s">
        <v>221</v>
      </c>
      <c r="D2" s="754"/>
      <c r="E2" s="754"/>
      <c r="F2" s="754"/>
      <c r="G2" s="754"/>
      <c r="H2" s="754"/>
      <c r="I2" s="754"/>
      <c r="J2" s="754"/>
      <c r="K2" s="754"/>
      <c r="L2" s="754"/>
      <c r="M2" s="754"/>
      <c r="N2" s="754"/>
      <c r="O2" s="754"/>
      <c r="P2" s="754"/>
      <c r="Q2" s="754"/>
      <c r="R2" s="755"/>
      <c r="S2" s="6"/>
      <c r="T2" s="6"/>
    </row>
    <row r="3" spans="2:26" ht="17.399999999999999" customHeight="1">
      <c r="B3" s="4"/>
      <c r="C3" s="765">
        <f>+'Resumen_Anch_Sard_Esp_XV-IV'!C3</f>
        <v>43740</v>
      </c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7"/>
      <c r="P3" s="768"/>
      <c r="Q3" s="766"/>
      <c r="R3" s="769"/>
      <c r="S3" s="6"/>
      <c r="T3" s="6"/>
    </row>
    <row r="4" spans="2:26" ht="19.2" customHeight="1">
      <c r="B4" s="4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7"/>
      <c r="O4" s="6"/>
      <c r="P4" s="6"/>
      <c r="Q4" s="6"/>
      <c r="R4" s="6"/>
      <c r="S4" s="6"/>
      <c r="T4" s="6"/>
    </row>
    <row r="5" spans="2:26" ht="28.8">
      <c r="B5" s="123" t="s">
        <v>40</v>
      </c>
      <c r="C5" s="123" t="s">
        <v>310</v>
      </c>
      <c r="D5" s="123" t="s">
        <v>26</v>
      </c>
      <c r="E5" s="123" t="s">
        <v>2</v>
      </c>
      <c r="F5" s="123" t="s">
        <v>9</v>
      </c>
      <c r="G5" s="123" t="s">
        <v>27</v>
      </c>
      <c r="H5" s="123" t="s">
        <v>5</v>
      </c>
      <c r="I5" s="123" t="s">
        <v>28</v>
      </c>
      <c r="J5" s="123" t="s">
        <v>29</v>
      </c>
      <c r="K5" s="124" t="s">
        <v>41</v>
      </c>
      <c r="L5" s="123" t="s">
        <v>31</v>
      </c>
      <c r="M5" s="61" t="s">
        <v>32</v>
      </c>
      <c r="N5" s="60" t="s">
        <v>42</v>
      </c>
      <c r="O5" s="62" t="s">
        <v>32</v>
      </c>
      <c r="P5" s="62" t="s">
        <v>28</v>
      </c>
      <c r="Q5" s="62" t="s">
        <v>29</v>
      </c>
      <c r="R5" s="60" t="s">
        <v>41</v>
      </c>
      <c r="S5" s="6"/>
      <c r="T5" s="6"/>
    </row>
    <row r="6" spans="2:26" s="409" customFormat="1" ht="15" customHeight="1">
      <c r="B6" s="702" t="s">
        <v>18</v>
      </c>
      <c r="C6" s="756" t="s">
        <v>33</v>
      </c>
      <c r="D6" s="758" t="s">
        <v>275</v>
      </c>
      <c r="E6" s="125" t="s">
        <v>11</v>
      </c>
      <c r="F6" s="414">
        <v>536</v>
      </c>
      <c r="G6" s="353"/>
      <c r="H6" s="415">
        <f>F6</f>
        <v>536</v>
      </c>
      <c r="I6" s="416"/>
      <c r="J6" s="415">
        <f>H6-I6</f>
        <v>536</v>
      </c>
      <c r="K6" s="9">
        <f>I6/H6</f>
        <v>0</v>
      </c>
      <c r="L6" s="10" t="s">
        <v>43</v>
      </c>
      <c r="M6" s="760">
        <f>F6+F7</f>
        <v>714</v>
      </c>
      <c r="N6" s="761">
        <f>G6+G7</f>
        <v>0</v>
      </c>
      <c r="O6" s="762">
        <f>M6+N6</f>
        <v>714</v>
      </c>
      <c r="P6" s="763">
        <f>I6+I7</f>
        <v>0</v>
      </c>
      <c r="Q6" s="762">
        <f>O6-P6</f>
        <v>714</v>
      </c>
      <c r="R6" s="764">
        <f>P6/O6</f>
        <v>0</v>
      </c>
      <c r="S6" s="6"/>
      <c r="T6" s="6"/>
    </row>
    <row r="7" spans="2:26" s="409" customFormat="1" ht="13.8" customHeight="1">
      <c r="B7" s="703"/>
      <c r="C7" s="757"/>
      <c r="D7" s="759"/>
      <c r="E7" s="125" t="s">
        <v>12</v>
      </c>
      <c r="F7" s="414">
        <v>178</v>
      </c>
      <c r="G7" s="417"/>
      <c r="H7" s="418">
        <f>+F7+J6+G7</f>
        <v>714</v>
      </c>
      <c r="I7" s="419"/>
      <c r="J7" s="418">
        <f>H7-I7</f>
        <v>714</v>
      </c>
      <c r="K7" s="9">
        <f>I7/H7</f>
        <v>0</v>
      </c>
      <c r="L7" s="10" t="s">
        <v>43</v>
      </c>
      <c r="M7" s="760"/>
      <c r="N7" s="761"/>
      <c r="O7" s="763"/>
      <c r="P7" s="763"/>
      <c r="Q7" s="763"/>
      <c r="R7" s="764"/>
      <c r="S7" s="6"/>
      <c r="T7" s="6"/>
    </row>
    <row r="8" spans="2:26" s="410" customFormat="1" ht="14.4" hidden="1" customHeight="1">
      <c r="B8" s="703"/>
      <c r="C8" s="66"/>
      <c r="D8" s="66"/>
      <c r="E8" s="66"/>
      <c r="F8" s="399">
        <f>SUM(F6:F7)</f>
        <v>714</v>
      </c>
      <c r="G8" s="420">
        <f>SUM(G6:G7)</f>
        <v>0</v>
      </c>
      <c r="H8" s="421">
        <f t="shared" ref="H8:J8" si="0">SUM(H6:H7)</f>
        <v>1250</v>
      </c>
      <c r="I8" s="420">
        <f t="shared" si="0"/>
        <v>0</v>
      </c>
      <c r="J8" s="421">
        <f t="shared" si="0"/>
        <v>1250</v>
      </c>
      <c r="K8" s="12"/>
      <c r="L8" s="68"/>
      <c r="M8" s="69"/>
      <c r="N8" s="70"/>
      <c r="O8" s="67"/>
      <c r="P8" s="67"/>
      <c r="Q8" s="67"/>
      <c r="R8" s="71"/>
      <c r="S8" s="72"/>
      <c r="T8" s="72"/>
    </row>
    <row r="9" spans="2:26" s="409" customFormat="1" ht="15" customHeight="1">
      <c r="B9" s="703"/>
      <c r="C9" s="756" t="s">
        <v>34</v>
      </c>
      <c r="D9" s="756" t="s">
        <v>274</v>
      </c>
      <c r="E9" s="125" t="s">
        <v>11</v>
      </c>
      <c r="F9" s="414">
        <v>2026</v>
      </c>
      <c r="G9" s="415"/>
      <c r="H9" s="415">
        <f>F9+G9</f>
        <v>2026</v>
      </c>
      <c r="I9" s="422">
        <f>+D29</f>
        <v>407.46300000000002</v>
      </c>
      <c r="J9" s="423">
        <f>H9-I9</f>
        <v>1618.537</v>
      </c>
      <c r="K9" s="9">
        <f>I9/H9</f>
        <v>0.20111697926949657</v>
      </c>
      <c r="L9" s="9" t="s">
        <v>43</v>
      </c>
      <c r="M9" s="760">
        <f>F9+F10</f>
        <v>2701</v>
      </c>
      <c r="N9" s="761">
        <f>G9+G10</f>
        <v>0</v>
      </c>
      <c r="O9" s="762">
        <f>M9+N9</f>
        <v>2701</v>
      </c>
      <c r="P9" s="763">
        <f>I9+I10</f>
        <v>407.46300000000002</v>
      </c>
      <c r="Q9" s="762">
        <f>O9-P9</f>
        <v>2293.5369999999998</v>
      </c>
      <c r="R9" s="764">
        <f>P9/O9</f>
        <v>0.15085634950018512</v>
      </c>
      <c r="S9" s="6"/>
      <c r="T9" s="6"/>
    </row>
    <row r="10" spans="2:26" s="409" customFormat="1" ht="11.4" customHeight="1">
      <c r="B10" s="703"/>
      <c r="C10" s="757"/>
      <c r="D10" s="757"/>
      <c r="E10" s="125" t="s">
        <v>12</v>
      </c>
      <c r="F10" s="414">
        <v>675</v>
      </c>
      <c r="G10" s="415"/>
      <c r="H10" s="418">
        <f>+F10+J9+G10</f>
        <v>2293.5370000000003</v>
      </c>
      <c r="I10" s="424"/>
      <c r="J10" s="423">
        <f>H10-I10</f>
        <v>2293.5370000000003</v>
      </c>
      <c r="K10" s="9">
        <f>I10/H10</f>
        <v>0</v>
      </c>
      <c r="L10" s="9" t="s">
        <v>43</v>
      </c>
      <c r="M10" s="760"/>
      <c r="N10" s="761"/>
      <c r="O10" s="763"/>
      <c r="P10" s="763"/>
      <c r="Q10" s="763"/>
      <c r="R10" s="764"/>
      <c r="S10" s="6"/>
      <c r="T10" s="6"/>
    </row>
    <row r="11" spans="2:26" s="409" customFormat="1" ht="14.4" hidden="1" customHeight="1">
      <c r="B11" s="703"/>
      <c r="C11" s="4"/>
      <c r="D11" s="4"/>
      <c r="E11" s="4"/>
      <c r="F11" s="398">
        <f>SUM(F9:F10)</f>
        <v>2701</v>
      </c>
      <c r="G11" s="73">
        <f>SUM(G9:G10)</f>
        <v>0</v>
      </c>
      <c r="H11" s="73">
        <f t="shared" ref="H11:J11" si="1">SUM(H9:H10)</f>
        <v>4319.5370000000003</v>
      </c>
      <c r="I11" s="73">
        <f t="shared" si="1"/>
        <v>407.46300000000002</v>
      </c>
      <c r="J11" s="73">
        <f t="shared" si="1"/>
        <v>3912.0740000000005</v>
      </c>
      <c r="K11" s="98"/>
      <c r="L11" s="12"/>
      <c r="M11" s="14"/>
      <c r="N11" s="15"/>
      <c r="O11" s="11"/>
      <c r="P11" s="11"/>
      <c r="Q11" s="11"/>
      <c r="R11" s="63"/>
      <c r="S11" s="6"/>
      <c r="T11" s="6"/>
    </row>
    <row r="12" spans="2:26" s="409" customFormat="1" ht="15" customHeight="1">
      <c r="B12" s="703"/>
      <c r="C12" s="407" t="s">
        <v>266</v>
      </c>
      <c r="D12" s="406" t="s">
        <v>47</v>
      </c>
      <c r="E12" s="404" t="s">
        <v>44</v>
      </c>
      <c r="F12" s="404">
        <f>+F8+F11</f>
        <v>3415</v>
      </c>
      <c r="G12" s="404">
        <f>+G8+G11</f>
        <v>0</v>
      </c>
      <c r="H12" s="404">
        <f>+F12+G12</f>
        <v>3415</v>
      </c>
      <c r="I12" s="404">
        <f>+I8+I11</f>
        <v>407.46300000000002</v>
      </c>
      <c r="J12" s="404">
        <f>+H12-I12</f>
        <v>3007.5369999999998</v>
      </c>
      <c r="K12" s="405">
        <f>I12/H12</f>
        <v>0.11931566617862373</v>
      </c>
      <c r="L12" s="404" t="s">
        <v>43</v>
      </c>
      <c r="M12" s="14"/>
      <c r="N12" s="15"/>
      <c r="O12" s="11"/>
      <c r="P12" s="11"/>
      <c r="Q12" s="11"/>
      <c r="R12" s="63"/>
      <c r="S12" s="6"/>
      <c r="T12" s="6"/>
    </row>
    <row r="13" spans="2:26" s="409" customFormat="1" ht="15" customHeight="1">
      <c r="B13" s="703"/>
      <c r="C13" s="407" t="s">
        <v>279</v>
      </c>
      <c r="D13" s="406" t="s">
        <v>47</v>
      </c>
      <c r="E13" s="404" t="s">
        <v>44</v>
      </c>
      <c r="F13" s="404">
        <v>0</v>
      </c>
      <c r="G13" s="404">
        <f>+Cesiones_a_artesanales!H6+Cesiones_a_artesanales!H7</f>
        <v>0</v>
      </c>
      <c r="H13" s="404">
        <f>F13+G13</f>
        <v>0</v>
      </c>
      <c r="I13" s="404">
        <f>+Cesiones_a_artesanales!I6+Cesiones_a_artesanales!I7</f>
        <v>0</v>
      </c>
      <c r="J13" s="404">
        <f>H13-I13</f>
        <v>0</v>
      </c>
      <c r="K13" s="405">
        <v>0</v>
      </c>
      <c r="L13" s="404"/>
      <c r="M13" s="400"/>
      <c r="N13" s="401"/>
      <c r="O13" s="402"/>
      <c r="P13" s="402"/>
      <c r="Q13" s="402"/>
      <c r="R13" s="403"/>
      <c r="S13" s="6"/>
      <c r="T13" s="6"/>
    </row>
    <row r="14" spans="2:26" s="409" customFormat="1" ht="15" customHeight="1">
      <c r="B14" s="804"/>
      <c r="C14" s="408" t="s">
        <v>263</v>
      </c>
      <c r="D14" s="406" t="s">
        <v>47</v>
      </c>
      <c r="E14" s="404" t="s">
        <v>44</v>
      </c>
      <c r="F14" s="404">
        <v>100</v>
      </c>
      <c r="G14" s="404"/>
      <c r="H14" s="404">
        <f>F14+G14</f>
        <v>100</v>
      </c>
      <c r="I14" s="404">
        <v>0</v>
      </c>
      <c r="J14" s="404">
        <f>H14-I14</f>
        <v>100</v>
      </c>
      <c r="K14" s="405">
        <f>I14/H14</f>
        <v>0</v>
      </c>
      <c r="L14" s="404" t="s">
        <v>43</v>
      </c>
      <c r="M14" s="400"/>
      <c r="N14" s="401"/>
      <c r="O14" s="402"/>
      <c r="P14" s="402"/>
      <c r="Q14" s="402"/>
      <c r="R14" s="403"/>
      <c r="S14" s="6"/>
      <c r="T14" s="6"/>
    </row>
    <row r="15" spans="2:26" s="409" customFormat="1" ht="15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2:26" s="409" customFormat="1" ht="15" customHeight="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2:26" s="409" customFormat="1" ht="28.2" customHeight="1">
      <c r="B17" s="123" t="s">
        <v>40</v>
      </c>
      <c r="C17" s="123" t="s">
        <v>310</v>
      </c>
      <c r="D17" s="123" t="s">
        <v>26</v>
      </c>
      <c r="E17" s="123" t="s">
        <v>2</v>
      </c>
      <c r="F17" s="123" t="s">
        <v>9</v>
      </c>
      <c r="G17" s="123" t="s">
        <v>27</v>
      </c>
      <c r="H17" s="123" t="s">
        <v>5</v>
      </c>
      <c r="I17" s="123" t="s">
        <v>28</v>
      </c>
      <c r="J17" s="123" t="s">
        <v>29</v>
      </c>
      <c r="K17" s="124" t="s">
        <v>41</v>
      </c>
      <c r="L17" s="123" t="s">
        <v>31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2:26" s="409" customFormat="1" ht="19.2" customHeight="1">
      <c r="B18" s="702" t="s">
        <v>19</v>
      </c>
      <c r="C18" s="413" t="s">
        <v>35</v>
      </c>
      <c r="D18" s="126" t="s">
        <v>36</v>
      </c>
      <c r="E18" s="125" t="s">
        <v>44</v>
      </c>
      <c r="F18" s="414">
        <v>387.5</v>
      </c>
      <c r="G18" s="415"/>
      <c r="H18" s="425">
        <f>F18+G18</f>
        <v>387.5</v>
      </c>
      <c r="I18" s="422">
        <f>+D30</f>
        <v>350.76500000000004</v>
      </c>
      <c r="J18" s="426">
        <f>H18-I18</f>
        <v>36.734999999999957</v>
      </c>
      <c r="K18" s="9">
        <f>I18/H18</f>
        <v>0.90520000000000012</v>
      </c>
      <c r="L18" s="427" t="s">
        <v>43</v>
      </c>
      <c r="M18" s="351">
        <f>F18</f>
        <v>387.5</v>
      </c>
      <c r="N18" s="33">
        <f>G18</f>
        <v>0</v>
      </c>
      <c r="O18" s="352">
        <f>M18+N18</f>
        <v>387.5</v>
      </c>
      <c r="P18" s="353">
        <f>I18</f>
        <v>350.76500000000004</v>
      </c>
      <c r="Q18" s="352">
        <f>O18-P18</f>
        <v>36.734999999999957</v>
      </c>
      <c r="R18" s="354">
        <f>P18/O18</f>
        <v>0.90520000000000012</v>
      </c>
      <c r="S18" s="6"/>
      <c r="T18" s="6"/>
    </row>
    <row r="19" spans="2:26" s="409" customFormat="1" ht="12.6" hidden="1" customHeight="1">
      <c r="B19" s="703"/>
      <c r="C19" s="4"/>
      <c r="D19" s="4"/>
      <c r="E19" s="4"/>
      <c r="F19" s="398"/>
      <c r="G19" s="428">
        <f>SUM(G18)</f>
        <v>0</v>
      </c>
      <c r="H19" s="428">
        <f>SUM(H18)</f>
        <v>387.5</v>
      </c>
      <c r="I19" s="428">
        <f>SUM(I18)</f>
        <v>350.76500000000004</v>
      </c>
      <c r="J19" s="428">
        <f>SUM(J18)</f>
        <v>36.734999999999957</v>
      </c>
      <c r="K19" s="12"/>
      <c r="L19" s="13"/>
      <c r="M19" s="14"/>
      <c r="N19" s="15"/>
      <c r="O19" s="64"/>
      <c r="P19" s="11"/>
      <c r="Q19" s="64"/>
      <c r="R19" s="63"/>
      <c r="S19" s="6"/>
      <c r="T19" s="6"/>
    </row>
    <row r="20" spans="2:26" s="409" customFormat="1" ht="16.8" customHeight="1">
      <c r="B20" s="703"/>
      <c r="C20" s="126" t="s">
        <v>45</v>
      </c>
      <c r="D20" s="126" t="s">
        <v>46</v>
      </c>
      <c r="E20" s="125" t="s">
        <v>44</v>
      </c>
      <c r="F20" s="414">
        <v>387.5</v>
      </c>
      <c r="G20" s="415"/>
      <c r="H20" s="425">
        <f>F20+G20</f>
        <v>387.5</v>
      </c>
      <c r="I20" s="429">
        <f>+D31</f>
        <v>203.18799999999999</v>
      </c>
      <c r="J20" s="423">
        <f>H20-I20</f>
        <v>184.31200000000001</v>
      </c>
      <c r="K20" s="9">
        <f>I20/H20</f>
        <v>0.52435612903225803</v>
      </c>
      <c r="L20" s="10" t="s">
        <v>43</v>
      </c>
      <c r="M20" s="351">
        <f>F20</f>
        <v>387.5</v>
      </c>
      <c r="N20" s="33">
        <f>G20</f>
        <v>0</v>
      </c>
      <c r="O20" s="352">
        <f>M20+N20</f>
        <v>387.5</v>
      </c>
      <c r="P20" s="34">
        <f>I20</f>
        <v>203.18799999999999</v>
      </c>
      <c r="Q20" s="352">
        <f>O20-P20</f>
        <v>184.31200000000001</v>
      </c>
      <c r="R20" s="354">
        <f>P20/O20</f>
        <v>0.52435612903225803</v>
      </c>
      <c r="S20" s="6"/>
      <c r="T20" s="6"/>
    </row>
    <row r="21" spans="2:26" s="409" customFormat="1" ht="6" hidden="1" customHeight="1">
      <c r="B21" s="703"/>
      <c r="C21" s="4"/>
      <c r="D21" s="4"/>
      <c r="E21" s="4"/>
      <c r="F21" s="398"/>
      <c r="G21" s="74">
        <f>SUM(G20)</f>
        <v>0</v>
      </c>
      <c r="H21" s="74">
        <f t="shared" ref="H21:J21" si="2">SUM(H20)</f>
        <v>387.5</v>
      </c>
      <c r="I21" s="74">
        <f t="shared" si="2"/>
        <v>203.18799999999999</v>
      </c>
      <c r="J21" s="74">
        <f t="shared" si="2"/>
        <v>184.31200000000001</v>
      </c>
      <c r="K21" s="75"/>
      <c r="L21" s="4"/>
      <c r="M21" s="5"/>
      <c r="N21" s="4"/>
      <c r="O21" s="4"/>
      <c r="P21" s="4"/>
      <c r="Q21" s="4"/>
      <c r="R21" s="4"/>
      <c r="S21" s="4"/>
      <c r="T21" s="4"/>
    </row>
    <row r="22" spans="2:26" s="409" customFormat="1" ht="15.6" customHeight="1">
      <c r="B22" s="703"/>
      <c r="C22" s="407" t="s">
        <v>265</v>
      </c>
      <c r="D22" s="406" t="s">
        <v>48</v>
      </c>
      <c r="E22" s="404" t="s">
        <v>44</v>
      </c>
      <c r="F22" s="404">
        <f>+F18+F20</f>
        <v>775</v>
      </c>
      <c r="G22" s="404">
        <f>+G6+G7+G9+G10+G18+G20</f>
        <v>0</v>
      </c>
      <c r="H22" s="404">
        <f>+F22+G22</f>
        <v>775</v>
      </c>
      <c r="I22" s="404">
        <f>+I18+I20</f>
        <v>553.95299999999997</v>
      </c>
      <c r="J22" s="404">
        <f>H22-I22</f>
        <v>221.04700000000003</v>
      </c>
      <c r="K22" s="405">
        <f>I22/H22</f>
        <v>0.71477806451612902</v>
      </c>
      <c r="L22" s="404" t="s">
        <v>43</v>
      </c>
      <c r="M22" s="5"/>
      <c r="N22" s="5"/>
      <c r="O22" s="5"/>
      <c r="P22" s="5"/>
      <c r="Q22" s="5"/>
      <c r="R22" s="5"/>
      <c r="S22" s="5"/>
      <c r="T22" s="5"/>
    </row>
    <row r="23" spans="2:26" s="409" customFormat="1" ht="15.6" customHeight="1">
      <c r="B23" s="703"/>
      <c r="C23" s="407" t="s">
        <v>282</v>
      </c>
      <c r="D23" s="406" t="s">
        <v>48</v>
      </c>
      <c r="E23" s="404" t="s">
        <v>44</v>
      </c>
      <c r="F23" s="404">
        <v>0</v>
      </c>
      <c r="G23" s="404">
        <f>+Cesiones_a_artesanales!H10+Cesiones_a_artesanales!H11</f>
        <v>401.66300000000001</v>
      </c>
      <c r="H23" s="404">
        <f>F23+G23</f>
        <v>401.66300000000001</v>
      </c>
      <c r="I23" s="404">
        <f>+Cesiones_a_artesanales!I10+Cesiones_a_artesanales!I11</f>
        <v>296.46800000000002</v>
      </c>
      <c r="J23" s="404">
        <f>H23-I23</f>
        <v>105.19499999999999</v>
      </c>
      <c r="K23" s="405">
        <f>I23/H23</f>
        <v>0.73810134366371816</v>
      </c>
      <c r="L23" s="404"/>
      <c r="M23" s="5"/>
      <c r="N23" s="5"/>
      <c r="O23" s="5"/>
      <c r="P23" s="5"/>
      <c r="Q23" s="5"/>
      <c r="R23" s="5"/>
      <c r="S23" s="5"/>
      <c r="T23" s="5"/>
    </row>
    <row r="24" spans="2:26" s="409" customFormat="1" ht="15" customHeight="1">
      <c r="B24" s="804"/>
      <c r="C24" s="408" t="s">
        <v>264</v>
      </c>
      <c r="D24" s="406" t="s">
        <v>48</v>
      </c>
      <c r="E24" s="404" t="s">
        <v>44</v>
      </c>
      <c r="F24" s="404">
        <v>100</v>
      </c>
      <c r="G24" s="404"/>
      <c r="H24" s="404">
        <f>F24+G24</f>
        <v>100</v>
      </c>
      <c r="I24" s="404">
        <v>71.620999999999995</v>
      </c>
      <c r="J24" s="404">
        <f>H24-I24</f>
        <v>28.379000000000005</v>
      </c>
      <c r="K24" s="405">
        <f>I24/H24</f>
        <v>0.7162099999999999</v>
      </c>
      <c r="L24" s="404" t="s">
        <v>43</v>
      </c>
      <c r="M24" s="5"/>
      <c r="N24" s="5"/>
      <c r="O24" s="5"/>
      <c r="P24" s="5"/>
      <c r="Q24" s="5"/>
      <c r="R24" s="5"/>
      <c r="S24" s="5"/>
      <c r="T24" s="5"/>
    </row>
    <row r="25" spans="2:26" s="409" customFormat="1">
      <c r="B25" s="4"/>
      <c r="E25" s="4"/>
      <c r="F25" s="4"/>
      <c r="G25" s="4"/>
      <c r="H25" s="4"/>
      <c r="I25" s="4"/>
      <c r="J25" s="4"/>
      <c r="K25" s="4"/>
      <c r="L25" s="4"/>
      <c r="M25" s="5"/>
      <c r="N25" s="4"/>
      <c r="O25" s="4"/>
      <c r="P25" s="4"/>
      <c r="Q25" s="4"/>
      <c r="R25" s="4"/>
      <c r="S25" s="4"/>
      <c r="T25" s="4"/>
    </row>
    <row r="26" spans="2:26" s="409" customFormat="1">
      <c r="B26" s="4"/>
      <c r="E26" s="4"/>
      <c r="F26" s="4"/>
      <c r="G26" s="4"/>
      <c r="H26" s="4"/>
      <c r="I26" s="4"/>
      <c r="J26" s="4"/>
      <c r="K26" s="4"/>
      <c r="L26" s="4"/>
      <c r="M26" s="5"/>
      <c r="N26" s="4"/>
      <c r="O26" s="4"/>
      <c r="P26" s="4"/>
      <c r="Q26" s="4"/>
      <c r="R26" s="4"/>
      <c r="S26" s="4"/>
      <c r="T26" s="4"/>
    </row>
    <row r="27" spans="2:26" s="409" customFormat="1">
      <c r="B27" s="4"/>
      <c r="C27" s="225" t="s">
        <v>95</v>
      </c>
      <c r="D27" s="225" t="s">
        <v>108</v>
      </c>
      <c r="E27" s="4"/>
      <c r="F27" s="4"/>
      <c r="G27" s="4"/>
      <c r="H27" s="4"/>
      <c r="I27" s="4"/>
      <c r="J27" s="4"/>
      <c r="K27" s="4"/>
      <c r="L27" s="4"/>
      <c r="M27" s="5"/>
      <c r="N27" s="4"/>
      <c r="O27" s="4"/>
      <c r="P27" s="4"/>
      <c r="Q27" s="4"/>
      <c r="R27" s="4"/>
      <c r="S27" s="4"/>
      <c r="T27" s="4"/>
    </row>
    <row r="28" spans="2:26" s="409" customFormat="1">
      <c r="B28" s="4"/>
      <c r="C28" s="411">
        <v>1</v>
      </c>
      <c r="D28" s="412"/>
      <c r="E28" s="4"/>
      <c r="F28" s="4"/>
      <c r="G28" s="4"/>
      <c r="H28" s="4"/>
      <c r="I28" s="4"/>
      <c r="J28" s="4"/>
      <c r="K28" s="4"/>
      <c r="L28" s="4"/>
      <c r="M28" s="5"/>
      <c r="N28" s="4"/>
      <c r="O28" s="4"/>
      <c r="P28" s="4"/>
      <c r="Q28" s="4"/>
      <c r="R28" s="4"/>
      <c r="S28" s="4"/>
      <c r="T28" s="4"/>
    </row>
    <row r="29" spans="2:26" s="409" customFormat="1">
      <c r="B29" s="4"/>
      <c r="C29" s="411">
        <v>2</v>
      </c>
      <c r="D29" s="606">
        <v>407.46300000000002</v>
      </c>
      <c r="E29" s="4"/>
      <c r="F29" s="4"/>
      <c r="G29" s="4"/>
      <c r="H29" s="4"/>
      <c r="I29" s="4"/>
      <c r="J29" s="4"/>
      <c r="K29" s="4"/>
      <c r="L29" s="4"/>
      <c r="M29" s="5"/>
      <c r="N29" s="4"/>
      <c r="O29" s="4"/>
      <c r="P29" s="4"/>
      <c r="Q29" s="4"/>
      <c r="R29" s="4"/>
      <c r="S29" s="4"/>
      <c r="T29" s="4"/>
    </row>
    <row r="30" spans="2:26" s="409" customFormat="1">
      <c r="B30" s="4"/>
      <c r="C30" s="411">
        <v>3</v>
      </c>
      <c r="D30" s="606">
        <v>350.76500000000004</v>
      </c>
      <c r="E30" s="4"/>
      <c r="F30" s="4"/>
      <c r="G30" s="4"/>
      <c r="H30" s="4"/>
      <c r="I30" s="4"/>
      <c r="J30" s="4"/>
      <c r="K30" s="4"/>
      <c r="L30" s="4"/>
      <c r="M30" s="5"/>
      <c r="N30" s="4"/>
      <c r="O30" s="4"/>
      <c r="P30" s="4"/>
      <c r="Q30" s="4"/>
      <c r="R30" s="4"/>
      <c r="S30" s="4"/>
      <c r="T30" s="4"/>
    </row>
    <row r="31" spans="2:26" s="409" customFormat="1">
      <c r="B31" s="4"/>
      <c r="C31" s="411">
        <v>4</v>
      </c>
      <c r="D31" s="606">
        <v>203.18799999999999</v>
      </c>
      <c r="E31" s="4"/>
      <c r="F31" s="4"/>
      <c r="G31" s="4"/>
      <c r="H31" s="4"/>
      <c r="I31" s="4"/>
      <c r="J31" s="4"/>
      <c r="K31" s="4"/>
      <c r="L31" s="4"/>
      <c r="M31" s="5"/>
      <c r="N31" s="4"/>
      <c r="O31" s="4"/>
      <c r="P31" s="4"/>
      <c r="Q31" s="4"/>
      <c r="R31" s="4"/>
      <c r="S31" s="4"/>
      <c r="T31" s="4"/>
    </row>
    <row r="32" spans="2:26" s="409" customFormat="1">
      <c r="B32" s="4"/>
      <c r="C32" s="411">
        <v>15</v>
      </c>
      <c r="D32" s="412"/>
      <c r="E32" s="4"/>
      <c r="F32" s="4"/>
      <c r="G32" s="4"/>
      <c r="H32" s="4"/>
      <c r="I32" s="4"/>
      <c r="J32" s="4"/>
      <c r="K32" s="4"/>
      <c r="L32" s="4"/>
      <c r="M32" s="5"/>
      <c r="N32" s="4"/>
      <c r="O32" s="4"/>
      <c r="P32" s="4"/>
      <c r="Q32" s="4"/>
      <c r="R32" s="4"/>
      <c r="S32" s="4"/>
      <c r="T32" s="4"/>
    </row>
    <row r="33" spans="2:20">
      <c r="B33" s="4"/>
      <c r="C33" s="112" t="s">
        <v>96</v>
      </c>
      <c r="D33" s="111">
        <f>SUM(D29:D32)</f>
        <v>961.41600000000005</v>
      </c>
      <c r="E33" s="4"/>
      <c r="F33" s="4"/>
      <c r="G33" s="4"/>
      <c r="H33" s="4"/>
      <c r="I33" s="4"/>
      <c r="J33" s="4"/>
      <c r="K33" s="4"/>
      <c r="L33" s="4"/>
      <c r="M33" s="5"/>
      <c r="N33" s="4"/>
      <c r="O33" s="4"/>
      <c r="P33" s="4"/>
      <c r="Q33" s="4"/>
      <c r="R33" s="4"/>
      <c r="S33" s="4"/>
      <c r="T33" s="4"/>
    </row>
    <row r="34" spans="2:20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5"/>
      <c r="N34" s="4"/>
      <c r="O34" s="4"/>
      <c r="P34" s="4"/>
      <c r="Q34" s="4"/>
      <c r="R34" s="4"/>
      <c r="S34" s="4"/>
      <c r="T34" s="4"/>
    </row>
    <row r="35" spans="2:20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5"/>
      <c r="N35" s="4"/>
      <c r="O35" s="4"/>
      <c r="P35" s="4"/>
      <c r="Q35" s="4"/>
      <c r="R35" s="4"/>
      <c r="S35" s="4"/>
      <c r="T35" s="4"/>
    </row>
    <row r="36" spans="2:20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5"/>
      <c r="N36" s="4"/>
      <c r="O36" s="4"/>
      <c r="P36" s="4"/>
      <c r="Q36" s="4"/>
      <c r="R36" s="4"/>
      <c r="S36" s="4"/>
      <c r="T36" s="4"/>
    </row>
    <row r="37" spans="2:20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5"/>
      <c r="N37" s="4"/>
      <c r="O37" s="4"/>
      <c r="P37" s="4"/>
      <c r="Q37" s="4"/>
      <c r="R37" s="4"/>
      <c r="S37" s="4"/>
      <c r="T37" s="4"/>
    </row>
  </sheetData>
  <mergeCells count="21">
    <mergeCell ref="B18:B24"/>
    <mergeCell ref="B6:B14"/>
    <mergeCell ref="Q9:Q10"/>
    <mergeCell ref="R9:R10"/>
    <mergeCell ref="C9:C10"/>
    <mergeCell ref="D9:D10"/>
    <mergeCell ref="M9:M10"/>
    <mergeCell ref="N9:N10"/>
    <mergeCell ref="O9:O10"/>
    <mergeCell ref="P9:P10"/>
    <mergeCell ref="C2:R2"/>
    <mergeCell ref="C6:C7"/>
    <mergeCell ref="D6:D7"/>
    <mergeCell ref="M6:M7"/>
    <mergeCell ref="N6:N7"/>
    <mergeCell ref="O6:O7"/>
    <mergeCell ref="P6:P7"/>
    <mergeCell ref="Q6:Q7"/>
    <mergeCell ref="R6:R7"/>
    <mergeCell ref="C3:O3"/>
    <mergeCell ref="P3:R3"/>
  </mergeCells>
  <conditionalFormatting sqref="K6:K11 K18">
    <cfRule type="cellIs" dxfId="1" priority="13" operator="greaterThan">
      <formula>0.95</formula>
    </cfRule>
  </conditionalFormatting>
  <conditionalFormatting sqref="I6:I7 I20 I9:I10 I18">
    <cfRule type="dataBar" priority="56">
      <dataBar>
        <cfvo type="min" val="0"/>
        <cfvo type="max" val="0"/>
        <color rgb="FFFFB628"/>
      </dataBar>
    </cfRule>
  </conditionalFormatting>
  <conditionalFormatting sqref="K6:K11 K18:K21">
    <cfRule type="cellIs" dxfId="0" priority="11" operator="greaterThan">
      <formula>0.85</formula>
    </cfRule>
  </conditionalFormatting>
  <hyperlinks>
    <hyperlink ref="C18" location="'Sardina Española'!A1" display="III Región de Atacama"/>
  </hyperlinks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2:L66"/>
  <sheetViews>
    <sheetView showGridLines="0" topLeftCell="A13" zoomScale="75" zoomScaleNormal="75" workbookViewId="0">
      <selection activeCell="F23" sqref="F23"/>
    </sheetView>
  </sheetViews>
  <sheetFormatPr baseColWidth="10" defaultColWidth="11.5546875" defaultRowHeight="12"/>
  <cols>
    <col min="1" max="1" width="6.33203125" style="21" customWidth="1"/>
    <col min="2" max="2" width="23.88671875" style="21" customWidth="1"/>
    <col min="3" max="3" width="20" style="21" customWidth="1"/>
    <col min="4" max="4" width="14.88671875" style="21" customWidth="1"/>
    <col min="5" max="5" width="20.5546875" style="21" customWidth="1"/>
    <col min="6" max="6" width="22.88671875" style="21" customWidth="1"/>
    <col min="7" max="7" width="18.33203125" style="21" customWidth="1"/>
    <col min="8" max="8" width="14.33203125" style="21" customWidth="1"/>
    <col min="9" max="9" width="11.33203125" style="21" customWidth="1"/>
    <col min="10" max="10" width="10.5546875" style="21" customWidth="1"/>
    <col min="11" max="11" width="10.33203125" style="21" customWidth="1"/>
    <col min="12" max="16384" width="11.5546875" style="21"/>
  </cols>
  <sheetData>
    <row r="2" spans="1:12" ht="39.6" customHeight="1">
      <c r="B2" s="780" t="s">
        <v>280</v>
      </c>
      <c r="C2" s="781"/>
      <c r="D2" s="781"/>
      <c r="E2" s="781"/>
      <c r="F2" s="781"/>
      <c r="G2" s="781"/>
      <c r="H2" s="781"/>
      <c r="I2" s="781"/>
      <c r="J2" s="781"/>
      <c r="K2" s="782"/>
      <c r="L2" s="104"/>
    </row>
    <row r="3" spans="1:12" s="116" customFormat="1">
      <c r="B3" s="439" t="s">
        <v>110</v>
      </c>
      <c r="C3" s="786" t="s">
        <v>243</v>
      </c>
      <c r="D3" s="787"/>
      <c r="E3" s="786" t="s">
        <v>271</v>
      </c>
      <c r="F3" s="787"/>
      <c r="G3" s="439" t="s">
        <v>272</v>
      </c>
      <c r="H3" s="439" t="s">
        <v>104</v>
      </c>
      <c r="I3" s="439" t="s">
        <v>97</v>
      </c>
      <c r="J3" s="439" t="s">
        <v>29</v>
      </c>
      <c r="K3" s="439" t="s">
        <v>123</v>
      </c>
    </row>
    <row r="4" spans="1:12" s="116" customFormat="1" ht="14.4">
      <c r="B4" s="516" t="s">
        <v>267</v>
      </c>
      <c r="C4" s="776" t="s">
        <v>243</v>
      </c>
      <c r="D4" s="776"/>
      <c r="E4" s="777" t="s">
        <v>171</v>
      </c>
      <c r="F4" s="777"/>
      <c r="G4" s="517" t="s">
        <v>281</v>
      </c>
      <c r="H4" s="518">
        <v>0</v>
      </c>
      <c r="I4" s="518">
        <v>0</v>
      </c>
      <c r="J4" s="519">
        <f t="shared" ref="J4:J12" si="0">+H4-I4</f>
        <v>0</v>
      </c>
      <c r="K4" s="520">
        <v>0</v>
      </c>
    </row>
    <row r="5" spans="1:12" s="116" customFormat="1" ht="14.4">
      <c r="B5" s="516" t="s">
        <v>267</v>
      </c>
      <c r="C5" s="776" t="s">
        <v>243</v>
      </c>
      <c r="D5" s="776"/>
      <c r="E5" s="777" t="s">
        <v>171</v>
      </c>
      <c r="F5" s="777"/>
      <c r="G5" s="517" t="s">
        <v>53</v>
      </c>
      <c r="H5" s="518">
        <f>+H23+H28+H29+H43</f>
        <v>31404.47</v>
      </c>
      <c r="I5" s="518">
        <f>+I23+I28+I29+I43</f>
        <v>12188.828999999996</v>
      </c>
      <c r="J5" s="519">
        <f t="shared" si="0"/>
        <v>19215.641000000003</v>
      </c>
      <c r="K5" s="520">
        <f>+I5/H5</f>
        <v>0.38812401546658792</v>
      </c>
    </row>
    <row r="6" spans="1:12" s="116" customFormat="1" ht="14.4">
      <c r="B6" s="498" t="s">
        <v>268</v>
      </c>
      <c r="C6" s="778" t="s">
        <v>243</v>
      </c>
      <c r="D6" s="778"/>
      <c r="E6" s="779" t="s">
        <v>273</v>
      </c>
      <c r="F6" s="779" t="s">
        <v>50</v>
      </c>
      <c r="G6" s="499" t="s">
        <v>281</v>
      </c>
      <c r="H6" s="500">
        <v>0</v>
      </c>
      <c r="I6" s="500">
        <v>0</v>
      </c>
      <c r="J6" s="344">
        <f t="shared" si="0"/>
        <v>0</v>
      </c>
      <c r="K6" s="501">
        <v>0</v>
      </c>
    </row>
    <row r="7" spans="1:12" s="116" customFormat="1" ht="14.4">
      <c r="B7" s="498" t="s">
        <v>268</v>
      </c>
      <c r="C7" s="778" t="s">
        <v>243</v>
      </c>
      <c r="D7" s="778"/>
      <c r="E7" s="779" t="s">
        <v>273</v>
      </c>
      <c r="F7" s="779" t="s">
        <v>50</v>
      </c>
      <c r="G7" s="499" t="s">
        <v>53</v>
      </c>
      <c r="H7" s="500">
        <v>0</v>
      </c>
      <c r="I7" s="500">
        <v>0</v>
      </c>
      <c r="J7" s="344">
        <f t="shared" si="0"/>
        <v>0</v>
      </c>
      <c r="K7" s="501">
        <v>0</v>
      </c>
    </row>
    <row r="8" spans="1:12" s="116" customFormat="1" ht="14.4">
      <c r="B8" s="511" t="s">
        <v>269</v>
      </c>
      <c r="C8" s="783" t="s">
        <v>243</v>
      </c>
      <c r="D8" s="783"/>
      <c r="E8" s="785" t="s">
        <v>179</v>
      </c>
      <c r="F8" s="785" t="s">
        <v>48</v>
      </c>
      <c r="G8" s="512" t="s">
        <v>54</v>
      </c>
      <c r="H8" s="513">
        <f>+H15+H25+H27+H32+H33+H34+H35+H37+H38+H39+H41+H42</f>
        <v>23858.323</v>
      </c>
      <c r="I8" s="513">
        <f>+I15+I25+I27+I32+I33+I34+I35+I37+I38+I39+I41+I42</f>
        <v>13439.821</v>
      </c>
      <c r="J8" s="514">
        <f t="shared" si="0"/>
        <v>10418.502</v>
      </c>
      <c r="K8" s="515">
        <f>+I8/H8</f>
        <v>0.56331792473427411</v>
      </c>
    </row>
    <row r="9" spans="1:12" s="116" customFormat="1" ht="14.4">
      <c r="B9" s="511" t="s">
        <v>269</v>
      </c>
      <c r="C9" s="783" t="s">
        <v>243</v>
      </c>
      <c r="D9" s="783"/>
      <c r="E9" s="785" t="s">
        <v>179</v>
      </c>
      <c r="F9" s="785" t="s">
        <v>48</v>
      </c>
      <c r="G9" s="512" t="s">
        <v>55</v>
      </c>
      <c r="H9" s="513">
        <f>+H16+H17+H20+H22+H24+H31</f>
        <v>11104.103999999999</v>
      </c>
      <c r="I9" s="513">
        <f>+I16+I17+I20+I22+I24+I31</f>
        <v>10003.445</v>
      </c>
      <c r="J9" s="514">
        <f t="shared" si="0"/>
        <v>1100.6589999999997</v>
      </c>
      <c r="K9" s="515">
        <f>+I9/H9</f>
        <v>0.90087817981531881</v>
      </c>
    </row>
    <row r="10" spans="1:12" s="116" customFormat="1" ht="14.4">
      <c r="B10" s="502" t="s">
        <v>270</v>
      </c>
      <c r="C10" s="784" t="s">
        <v>243</v>
      </c>
      <c r="D10" s="784"/>
      <c r="E10" s="775" t="s">
        <v>183</v>
      </c>
      <c r="F10" s="775" t="s">
        <v>48</v>
      </c>
      <c r="G10" s="503" t="s">
        <v>54</v>
      </c>
      <c r="H10" s="504">
        <f>+H26+H36</f>
        <v>201.66300000000001</v>
      </c>
      <c r="I10" s="504">
        <f>+I26+I36</f>
        <v>196.71</v>
      </c>
      <c r="J10" s="505">
        <f t="shared" si="0"/>
        <v>4.953000000000003</v>
      </c>
      <c r="K10" s="506">
        <f>+I10/H10</f>
        <v>0.97543922286190321</v>
      </c>
    </row>
    <row r="11" spans="1:12" s="116" customFormat="1" ht="14.4">
      <c r="B11" s="502" t="s">
        <v>270</v>
      </c>
      <c r="C11" s="784" t="s">
        <v>243</v>
      </c>
      <c r="D11" s="784"/>
      <c r="E11" s="775" t="s">
        <v>183</v>
      </c>
      <c r="F11" s="775" t="s">
        <v>48</v>
      </c>
      <c r="G11" s="503" t="s">
        <v>55</v>
      </c>
      <c r="H11" s="504">
        <f>+H21+H40</f>
        <v>200</v>
      </c>
      <c r="I11" s="504">
        <f>+I21+I40</f>
        <v>99.75800000000001</v>
      </c>
      <c r="J11" s="505">
        <f t="shared" si="0"/>
        <v>100.24199999999999</v>
      </c>
      <c r="K11" s="506">
        <f>+I11/H11</f>
        <v>0.49879000000000007</v>
      </c>
    </row>
    <row r="12" spans="1:12" s="116" customFormat="1">
      <c r="B12" s="249"/>
      <c r="C12" s="250"/>
      <c r="D12" s="250"/>
      <c r="E12" s="250"/>
      <c r="F12" s="250"/>
      <c r="G12" s="250"/>
      <c r="H12" s="507">
        <f>SUM(H15:H139)</f>
        <v>111020.82400000001</v>
      </c>
      <c r="I12" s="438">
        <f>SUM(I15:I156)</f>
        <v>35928.562999999995</v>
      </c>
      <c r="J12" s="440">
        <f t="shared" si="0"/>
        <v>75092.261000000013</v>
      </c>
      <c r="K12" s="121">
        <f>+I12/H12</f>
        <v>0.32362003546289653</v>
      </c>
    </row>
    <row r="13" spans="1:12" s="116" customFormat="1"/>
    <row r="14" spans="1:12">
      <c r="A14" s="116"/>
      <c r="B14" s="439" t="str">
        <f>+'Anchoveta-Sardina Española LTP'!D57</f>
        <v>Tp art_Cesion</v>
      </c>
      <c r="C14" s="439" t="str">
        <f>+'Anchoveta-Sardina Española LTP'!E57</f>
        <v>Res Ex</v>
      </c>
      <c r="D14" s="439" t="str">
        <f>+'Anchoveta-Sardina Española LTP'!F57</f>
        <v>Fecha</v>
      </c>
      <c r="E14" s="439" t="str">
        <f>+'Anchoveta-Sardina Española LTP'!G57</f>
        <v>Descuento (-)</v>
      </c>
      <c r="F14" s="439" t="str">
        <f>+'Anchoveta-Sardina Española LTP'!H57</f>
        <v>Abono (+)</v>
      </c>
      <c r="G14" s="439" t="str">
        <f>+'Anchoveta-Sardina Española LTP'!I57</f>
        <v>Especie-Up</v>
      </c>
      <c r="H14" s="439" t="str">
        <f>+'Anchoveta-Sardina Española LTP'!J57</f>
        <v>Cantidad</v>
      </c>
      <c r="I14" s="439" t="s">
        <v>97</v>
      </c>
      <c r="J14" s="439" t="s">
        <v>29</v>
      </c>
      <c r="K14" s="573" t="s">
        <v>123</v>
      </c>
    </row>
    <row r="15" spans="1:12">
      <c r="A15" s="116"/>
      <c r="B15" s="277" t="str">
        <f>+'Anchoveta-Sardina Española LTP'!D58</f>
        <v>55T</v>
      </c>
      <c r="C15" s="277">
        <f>+'Anchoveta-Sardina Española LTP'!E58</f>
        <v>242</v>
      </c>
      <c r="D15" s="278">
        <f>+'Anchoveta-Sardina Española LTP'!F58</f>
        <v>43494</v>
      </c>
      <c r="E15" s="279" t="str">
        <f>+'Anchoveta-Sardina Española LTP'!G58</f>
        <v>Pesq. Bahia Caldera III-IV</v>
      </c>
      <c r="F15" s="279" t="str">
        <f>+'Anchoveta-Sardina Española LTP'!H58</f>
        <v>Grupo Emb III</v>
      </c>
      <c r="G15" s="279" t="str">
        <f>+'Anchoveta-Sardina Española LTP'!I58</f>
        <v>Anchoveta III</v>
      </c>
      <c r="H15" s="280">
        <f>+'Anchoveta-Sardina Española LTP'!J58</f>
        <v>6937.2340000000004</v>
      </c>
      <c r="I15" s="271">
        <f>+D61</f>
        <v>6936.2519999999995</v>
      </c>
      <c r="J15" s="256">
        <f>+H15-I15</f>
        <v>0.98200000000088039</v>
      </c>
      <c r="K15" s="121">
        <f>+I15/H15</f>
        <v>0.99985844502290089</v>
      </c>
    </row>
    <row r="16" spans="1:12">
      <c r="A16" s="116"/>
      <c r="B16" s="277" t="str">
        <f>+'Anchoveta-Sardina Española LTP'!D59</f>
        <v>55T</v>
      </c>
      <c r="C16" s="277">
        <f>+'Anchoveta-Sardina Española LTP'!E59</f>
        <v>651</v>
      </c>
      <c r="D16" s="278">
        <f>+'Anchoveta-Sardina Española LTP'!F59</f>
        <v>43514</v>
      </c>
      <c r="E16" s="279" t="str">
        <f>+'Anchoveta-Sardina Española LTP'!G59</f>
        <v>Soc Com Serv y Trasportes II-IV</v>
      </c>
      <c r="F16" s="279" t="str">
        <f>+'Anchoveta-Sardina Española LTP'!H59</f>
        <v>Grupo Emb IV</v>
      </c>
      <c r="G16" s="279" t="str">
        <f>+'Anchoveta-Sardina Española LTP'!I59</f>
        <v>Anchoveta IV</v>
      </c>
      <c r="H16" s="280">
        <f>+'Anchoveta-Sardina Española LTP'!J59</f>
        <v>404.10399999999998</v>
      </c>
      <c r="I16" s="271">
        <f>+D62</f>
        <v>403.44500000000005</v>
      </c>
      <c r="J16" s="256">
        <f t="shared" ref="J16:J35" si="1">+H16-I16</f>
        <v>0.65899999999993497</v>
      </c>
      <c r="K16" s="121">
        <f t="shared" ref="K16:K35" si="2">+I16/H16</f>
        <v>0.99836923168293323</v>
      </c>
    </row>
    <row r="17" spans="1:11">
      <c r="A17" s="116"/>
      <c r="B17" s="277" t="str">
        <f>+'Anchoveta-Sardina Española LTP'!D60</f>
        <v>55T</v>
      </c>
      <c r="C17" s="277">
        <f>+'Anchoveta-Sardina Española LTP'!E60</f>
        <v>685</v>
      </c>
      <c r="D17" s="278">
        <f>+'Anchoveta-Sardina Española LTP'!F60</f>
        <v>43516</v>
      </c>
      <c r="E17" s="279" t="str">
        <f>+'Anchoveta-Sardina Española LTP'!G60</f>
        <v>Pesq Litoral III-IV</v>
      </c>
      <c r="F17" s="279" t="str">
        <f>+'Anchoveta-Sardina Española LTP'!H60</f>
        <v>Emb Fortuna V Rpa 955947-IV</v>
      </c>
      <c r="G17" s="279" t="str">
        <f>+'Anchoveta-Sardina Española LTP'!I60</f>
        <v>Anchoveta IV</v>
      </c>
      <c r="H17" s="280">
        <f>+'Anchoveta-Sardina Española LTP'!J60</f>
        <v>0</v>
      </c>
      <c r="I17" s="281"/>
      <c r="J17" s="256">
        <f>+H17-I17</f>
        <v>0</v>
      </c>
      <c r="K17" s="121">
        <v>0</v>
      </c>
    </row>
    <row r="18" spans="1:11">
      <c r="A18" s="116"/>
      <c r="B18" s="277" t="str">
        <f>+'Anchoveta-Sardina Española LTP'!D61</f>
        <v>55T</v>
      </c>
      <c r="C18" s="277">
        <f>+'Anchoveta-Sardina Española LTP'!E61</f>
        <v>685</v>
      </c>
      <c r="D18" s="278">
        <f>+'Anchoveta-Sardina Española LTP'!F61</f>
        <v>43516</v>
      </c>
      <c r="E18" s="279" t="str">
        <f>+'Anchoveta-Sardina Española LTP'!G61</f>
        <v>Pesq Litoral III-IV</v>
      </c>
      <c r="F18" s="279" t="str">
        <f>+'Anchoveta-Sardina Española LTP'!H61</f>
        <v>Emb Fortuna V Rpa 955947-IV</v>
      </c>
      <c r="G18" s="279" t="str">
        <f>+'Anchoveta-Sardina Española LTP'!I61</f>
        <v>…</v>
      </c>
      <c r="H18" s="280">
        <f>+'Anchoveta-Sardina Española LTP'!J61</f>
        <v>0</v>
      </c>
      <c r="I18" s="281"/>
      <c r="J18" s="256">
        <f>+H18-I18</f>
        <v>0</v>
      </c>
      <c r="K18" s="121">
        <v>0</v>
      </c>
    </row>
    <row r="19" spans="1:11">
      <c r="A19" s="116"/>
      <c r="B19" s="277" t="str">
        <f>+'Anchoveta-Sardina Española LTP'!D62</f>
        <v>55T</v>
      </c>
      <c r="C19" s="277" t="str">
        <f>+'Anchoveta-Sardina Española LTP'!E62</f>
        <v>826  rectifica 685</v>
      </c>
      <c r="D19" s="278">
        <f>+'Anchoveta-Sardina Española LTP'!F62</f>
        <v>43572</v>
      </c>
      <c r="E19" s="279" t="str">
        <f>+'Anchoveta-Sardina Española LTP'!G62</f>
        <v>Pesq Litoral III-IV</v>
      </c>
      <c r="F19" s="279" t="str">
        <f>+'Anchoveta-Sardina Española LTP'!H62</f>
        <v>Emb Fortuna V Rpa 955947-IV</v>
      </c>
      <c r="G19" s="279" t="str">
        <f>+'Anchoveta-Sardina Española LTP'!I62</f>
        <v>…</v>
      </c>
      <c r="H19" s="280">
        <f>+'Anchoveta-Sardina Española LTP'!J62</f>
        <v>0</v>
      </c>
      <c r="I19" s="281"/>
      <c r="J19" s="256"/>
      <c r="K19" s="121">
        <v>0</v>
      </c>
    </row>
    <row r="20" spans="1:11">
      <c r="A20" s="116"/>
      <c r="B20" s="277" t="str">
        <f>+'Anchoveta-Sardina Española LTP'!D63</f>
        <v>55T</v>
      </c>
      <c r="C20" s="277">
        <f>+'Anchoveta-Sardina Española LTP'!E63</f>
        <v>885</v>
      </c>
      <c r="D20" s="278">
        <f>+'Anchoveta-Sardina Española LTP'!F63</f>
        <v>43537</v>
      </c>
      <c r="E20" s="279" t="str">
        <f>+'Anchoveta-Sardina Española LTP'!G63</f>
        <v>Orizon III-IV</v>
      </c>
      <c r="F20" s="279" t="str">
        <f>+'Anchoveta-Sardina Española LTP'!H63</f>
        <v>Grupo Emb IV</v>
      </c>
      <c r="G20" s="279" t="str">
        <f>+'Anchoveta-Sardina Española LTP'!I63</f>
        <v>Anchoveta IV</v>
      </c>
      <c r="H20" s="280">
        <f>+'Anchoveta-Sardina Española LTP'!J63</f>
        <v>8100</v>
      </c>
      <c r="I20" s="271">
        <f>+D63</f>
        <v>8100</v>
      </c>
      <c r="J20" s="256">
        <f t="shared" si="1"/>
        <v>0</v>
      </c>
      <c r="K20" s="121">
        <f t="shared" si="2"/>
        <v>1</v>
      </c>
    </row>
    <row r="21" spans="1:11">
      <c r="A21" s="116"/>
      <c r="B21" s="277" t="str">
        <f>+'Anchoveta-Sardina Española LTP'!D64</f>
        <v>55T</v>
      </c>
      <c r="C21" s="333">
        <f>+'Anchoveta-Sardina Española LTP'!E64</f>
        <v>885</v>
      </c>
      <c r="D21" s="334">
        <f>+'Anchoveta-Sardina Española LTP'!F64</f>
        <v>43537</v>
      </c>
      <c r="E21" s="335" t="str">
        <f>+'Anchoveta-Sardina Española LTP'!G64</f>
        <v>Orizon III-IV</v>
      </c>
      <c r="F21" s="335" t="str">
        <f>+'Anchoveta-Sardina Española LTP'!H64</f>
        <v>Grupo Emb IV</v>
      </c>
      <c r="G21" s="335" t="str">
        <f>+'Anchoveta-Sardina Española LTP'!I64</f>
        <v>Sardina Española IV</v>
      </c>
      <c r="H21" s="336">
        <f>+'Anchoveta-Sardina Española LTP'!J64</f>
        <v>100</v>
      </c>
      <c r="I21" s="337">
        <f>+E64</f>
        <v>99.75800000000001</v>
      </c>
      <c r="J21" s="256">
        <f t="shared" si="1"/>
        <v>0.24199999999999022</v>
      </c>
      <c r="K21" s="121">
        <f t="shared" si="2"/>
        <v>0.99758000000000013</v>
      </c>
    </row>
    <row r="22" spans="1:11">
      <c r="A22" s="116"/>
      <c r="B22" s="277" t="str">
        <f>+'Anchoveta-Sardina Española LTP'!D65</f>
        <v>55T</v>
      </c>
      <c r="C22" s="277">
        <f>+'Anchoveta-Sardina Española LTP'!E65</f>
        <v>944</v>
      </c>
      <c r="D22" s="278">
        <f>+'Anchoveta-Sardina Española LTP'!F65</f>
        <v>43542</v>
      </c>
      <c r="E22" s="279" t="str">
        <f>+'Anchoveta-Sardina Española LTP'!G65</f>
        <v>Pesq. Bahia Caldera III-IV</v>
      </c>
      <c r="F22" s="279" t="str">
        <f>+'Anchoveta-Sardina Española LTP'!H65</f>
        <v>Grupo Emb IV</v>
      </c>
      <c r="G22" s="279" t="str">
        <f>+'Anchoveta-Sardina Española LTP'!I65</f>
        <v>Anchoveta IV</v>
      </c>
      <c r="H22" s="280">
        <f>+'Anchoveta-Sardina Española LTP'!J65</f>
        <v>1500</v>
      </c>
      <c r="I22" s="271">
        <f>+D65</f>
        <v>1499.9999999999998</v>
      </c>
      <c r="J22" s="256">
        <f t="shared" si="1"/>
        <v>0</v>
      </c>
      <c r="K22" s="121">
        <f t="shared" si="2"/>
        <v>0.99999999999999989</v>
      </c>
    </row>
    <row r="23" spans="1:11">
      <c r="A23" s="116"/>
      <c r="B23" s="432" t="str">
        <f>+'Anchoveta-Sardina Española LTP'!D66</f>
        <v>55T</v>
      </c>
      <c r="C23" s="432">
        <f>+'Anchoveta-Sardina Española LTP'!E66</f>
        <v>1199</v>
      </c>
      <c r="D23" s="433">
        <f>+'Anchoveta-Sardina Española LTP'!F66</f>
        <v>43553</v>
      </c>
      <c r="E23" s="434" t="str">
        <f>+'Anchoveta-Sardina Española LTP'!G66</f>
        <v>Serv Ind Lo Rojas Ltda XV-II</v>
      </c>
      <c r="F23" s="434" t="str">
        <f>+'Anchoveta-Sardina Española LTP'!H66</f>
        <v>Emb Valentina Rpa 967544-XV</v>
      </c>
      <c r="G23" s="434" t="str">
        <f>+'Anchoveta-Sardina Española LTP'!I66</f>
        <v>Anchoveta XV</v>
      </c>
      <c r="H23" s="435">
        <f>+'Anchoveta-Sardina Española LTP'!J66</f>
        <v>943.81500000000005</v>
      </c>
      <c r="I23" s="436">
        <f>+D53</f>
        <v>563</v>
      </c>
      <c r="J23" s="435">
        <f t="shared" si="1"/>
        <v>380.81500000000005</v>
      </c>
      <c r="K23" s="437">
        <f t="shared" si="2"/>
        <v>0.5965152068996572</v>
      </c>
    </row>
    <row r="24" spans="1:11">
      <c r="A24" s="116"/>
      <c r="B24" s="117" t="str">
        <f>+'Anchoveta-Sardina Española LTP'!D67</f>
        <v>55T</v>
      </c>
      <c r="C24" s="117" t="str">
        <f>+'Anchoveta-Sardina Española LTP'!E67</f>
        <v>1330 sin efecto 685</v>
      </c>
      <c r="D24" s="118">
        <f>+'Anchoveta-Sardina Española LTP'!F67</f>
        <v>43572</v>
      </c>
      <c r="E24" s="120" t="str">
        <f>+'Anchoveta-Sardina Española LTP'!G67</f>
        <v>Pesq Litoral III-IV</v>
      </c>
      <c r="F24" s="248" t="str">
        <f>+'Anchoveta-Sardina Española LTP'!H67</f>
        <v>Emb Fortuna V Rpa 955947-IV</v>
      </c>
      <c r="G24" s="248" t="str">
        <f>+'Anchoveta-Sardina Española LTP'!I67</f>
        <v>Anchoveta IV</v>
      </c>
      <c r="H24" s="256">
        <f>+'Anchoveta-Sardina Española LTP'!J67</f>
        <v>0</v>
      </c>
      <c r="I24" s="224"/>
      <c r="J24" s="256"/>
      <c r="K24" s="121">
        <v>0</v>
      </c>
    </row>
    <row r="25" spans="1:11">
      <c r="A25" s="116"/>
      <c r="B25" s="117" t="str">
        <f>+'Anchoveta-Sardina Española LTP'!D68</f>
        <v>55T</v>
      </c>
      <c r="C25" s="117" t="str">
        <f>+'Anchoveta-Sardina Española LTP'!E68</f>
        <v>1461 rectificada 2242</v>
      </c>
      <c r="D25" s="118">
        <f>+'Anchoveta-Sardina Española LTP'!F68</f>
        <v>43563</v>
      </c>
      <c r="E25" s="120" t="str">
        <f>+'Anchoveta-Sardina Española LTP'!G68</f>
        <v>Pesq Litoral III-IV</v>
      </c>
      <c r="F25" s="248" t="str">
        <f>+'Anchoveta-Sardina Española LTP'!H68</f>
        <v>Emb Don BAYRON Rpa 966665-III</v>
      </c>
      <c r="G25" s="248" t="str">
        <f>+'Anchoveta-Sardina Española LTP'!I68</f>
        <v xml:space="preserve">Anchoveta III </v>
      </c>
      <c r="H25" s="344">
        <f>+'Anchoveta-Sardina Española LTP'!J68</f>
        <v>184.113</v>
      </c>
      <c r="I25" s="342"/>
      <c r="J25" s="256">
        <f t="shared" si="1"/>
        <v>184.113</v>
      </c>
      <c r="K25" s="121">
        <f t="shared" si="2"/>
        <v>0</v>
      </c>
    </row>
    <row r="26" spans="1:11">
      <c r="A26" s="116"/>
      <c r="B26" s="117" t="str">
        <f>+'Anchoveta-Sardina Española LTP'!D69</f>
        <v>55T</v>
      </c>
      <c r="C26" s="117" t="str">
        <f>+'Anchoveta-Sardina Española LTP'!E69</f>
        <v>1461 rectificada 2242</v>
      </c>
      <c r="D26" s="118">
        <f>+'Anchoveta-Sardina Española LTP'!F69</f>
        <v>43563</v>
      </c>
      <c r="E26" s="120" t="str">
        <f>+'Anchoveta-Sardina Española LTP'!G69</f>
        <v>Pesq Litoral III-IV</v>
      </c>
      <c r="F26" s="248" t="str">
        <f>+'Anchoveta-Sardina Española LTP'!H69</f>
        <v>Emb Don BAYRON Rpa 966665-III</v>
      </c>
      <c r="G26" s="248" t="str">
        <f>+'Anchoveta-Sardina Española LTP'!I69</f>
        <v>Sardina Española III</v>
      </c>
      <c r="H26" s="344">
        <f>+'Anchoveta-Sardina Española LTP'!J69</f>
        <v>1.663</v>
      </c>
      <c r="I26" s="343"/>
      <c r="J26" s="256">
        <f>+H26-I36</f>
        <v>-195.047</v>
      </c>
      <c r="K26" s="121">
        <f t="shared" si="2"/>
        <v>0</v>
      </c>
    </row>
    <row r="27" spans="1:11">
      <c r="A27" s="116"/>
      <c r="B27" s="272" t="str">
        <f>+'Anchoveta-Sardina Española LTP'!D70</f>
        <v>55T</v>
      </c>
      <c r="C27" s="272">
        <f>+'Anchoveta-Sardina Española LTP'!E70</f>
        <v>1550</v>
      </c>
      <c r="D27" s="273">
        <f>+'Anchoveta-Sardina Española LTP'!F70</f>
        <v>43580</v>
      </c>
      <c r="E27" s="274" t="str">
        <f>+'Anchoveta-Sardina Española LTP'!G70</f>
        <v>Camanchaca III-IV</v>
      </c>
      <c r="F27" s="274" t="str">
        <f>+'Anchoveta-Sardina Española LTP'!H70</f>
        <v xml:space="preserve">Emb Fortuna V y Maimaui-III </v>
      </c>
      <c r="G27" s="274" t="str">
        <f>+'Anchoveta-Sardina Española LTP'!I70</f>
        <v>Anchoveta III</v>
      </c>
      <c r="H27" s="275">
        <f>+'Anchoveta-Sardina Española LTP'!J70</f>
        <v>421.49799999999999</v>
      </c>
      <c r="I27" s="276">
        <f>+D54</f>
        <v>421.2</v>
      </c>
      <c r="J27" s="257">
        <f t="shared" si="1"/>
        <v>0.29800000000000182</v>
      </c>
      <c r="K27" s="251">
        <f t="shared" si="2"/>
        <v>0.99929299783154368</v>
      </c>
    </row>
    <row r="28" spans="1:11">
      <c r="A28" s="116"/>
      <c r="B28" s="432" t="str">
        <f>+'Anchoveta-Sardina Española LTP'!D71</f>
        <v>55T</v>
      </c>
      <c r="C28" s="432">
        <f>+'Anchoveta-Sardina Española LTP'!E71</f>
        <v>1636</v>
      </c>
      <c r="D28" s="433">
        <f>+'Anchoveta-Sardina Española LTP'!F71</f>
        <v>43585</v>
      </c>
      <c r="E28" s="434" t="str">
        <f>+'Anchoveta-Sardina Española LTP'!G71</f>
        <v>Corpesca XV-II</v>
      </c>
      <c r="F28" s="434" t="str">
        <f>+'Anchoveta-Sardina Española LTP'!H71</f>
        <v>Grupo Emb II region</v>
      </c>
      <c r="G28" s="434" t="str">
        <f>+'Anchoveta-Sardina Española LTP'!I71</f>
        <v>Anchoveta II</v>
      </c>
      <c r="H28" s="435">
        <f>+'Anchoveta-Sardina Española LTP'!J71</f>
        <v>12000</v>
      </c>
      <c r="I28" s="436">
        <f>+D55</f>
        <v>5296.8540000000012</v>
      </c>
      <c r="J28" s="430">
        <f t="shared" si="1"/>
        <v>6703.1459999999988</v>
      </c>
      <c r="K28" s="431">
        <f t="shared" si="2"/>
        <v>0.44140450000000009</v>
      </c>
    </row>
    <row r="29" spans="1:11">
      <c r="A29" s="116"/>
      <c r="B29" s="432" t="str">
        <f>+'Anchoveta-Sardina Española LTP'!D72</f>
        <v>55T</v>
      </c>
      <c r="C29" s="432">
        <f>+'Anchoveta-Sardina Española LTP'!E72</f>
        <v>1637</v>
      </c>
      <c r="D29" s="433">
        <f>+'Anchoveta-Sardina Española LTP'!F72</f>
        <v>43585</v>
      </c>
      <c r="E29" s="434" t="str">
        <f>+'Anchoveta-Sardina Española LTP'!G72</f>
        <v>Corpesca XV-II</v>
      </c>
      <c r="F29" s="434" t="str">
        <f>+'Anchoveta-Sardina Española LTP'!H72</f>
        <v>Grupo Emb II region</v>
      </c>
      <c r="G29" s="434" t="str">
        <f>+'Anchoveta-Sardina Española LTP'!I72</f>
        <v>Anchoveta II</v>
      </c>
      <c r="H29" s="435">
        <f>+'Anchoveta-Sardina Española LTP'!J72</f>
        <v>15000</v>
      </c>
      <c r="I29" s="436">
        <f>+D56</f>
        <v>6328.9749999999949</v>
      </c>
      <c r="J29" s="430">
        <f t="shared" si="1"/>
        <v>8671.0250000000051</v>
      </c>
      <c r="K29" s="431">
        <f t="shared" si="2"/>
        <v>0.42193166666666632</v>
      </c>
    </row>
    <row r="30" spans="1:11">
      <c r="A30" s="116"/>
      <c r="B30" s="253" t="str">
        <f>+'Anchoveta-Sardina Española LTP'!D73</f>
        <v>55T</v>
      </c>
      <c r="C30" s="253" t="str">
        <f>+'Anchoveta-Sardina Española LTP'!E73</f>
        <v>1718 rectifica 1550</v>
      </c>
      <c r="D30" s="254">
        <f>+'Anchoveta-Sardina Española LTP'!F73</f>
        <v>43592</v>
      </c>
      <c r="E30" s="255" t="str">
        <f>+'Anchoveta-Sardina Española LTP'!G73</f>
        <v>Camanchaca III-IV</v>
      </c>
      <c r="F30" s="248" t="str">
        <f>+'Anchoveta-Sardina Española LTP'!H73</f>
        <v>Emb Fortuna V_III y Maimaui_III</v>
      </c>
      <c r="G30" s="248" t="str">
        <f>+'Anchoveta-Sardina Española LTP'!I73</f>
        <v>…</v>
      </c>
      <c r="H30" s="256">
        <f>+'Anchoveta-Sardina Española LTP'!J73</f>
        <v>0</v>
      </c>
      <c r="I30" s="224"/>
      <c r="J30" s="256">
        <f t="shared" si="1"/>
        <v>0</v>
      </c>
      <c r="K30" s="121">
        <v>0</v>
      </c>
    </row>
    <row r="31" spans="1:11">
      <c r="A31" s="116"/>
      <c r="B31" s="117" t="str">
        <f>+'Anchoveta-Sardina Española LTP'!D74</f>
        <v>55T</v>
      </c>
      <c r="C31" s="117">
        <f>+'Anchoveta-Sardina Española LTP'!E74</f>
        <v>1956</v>
      </c>
      <c r="D31" s="118">
        <f>+'Anchoveta-Sardina Española LTP'!F74</f>
        <v>43609</v>
      </c>
      <c r="E31" s="120" t="str">
        <f>+'Anchoveta-Sardina Española LTP'!G74</f>
        <v>Alimar III-IV</v>
      </c>
      <c r="F31" s="248" t="str">
        <f>+'Anchoveta-Sardina Española LTP'!H74</f>
        <v>Grupo Emb IV</v>
      </c>
      <c r="G31" s="248" t="str">
        <f>+'Anchoveta-Sardina Española LTP'!I74</f>
        <v xml:space="preserve">Anchoveta IV </v>
      </c>
      <c r="H31" s="256">
        <f>+'Anchoveta-Sardina Española LTP'!J74</f>
        <v>1100</v>
      </c>
      <c r="I31" s="224"/>
      <c r="J31" s="256">
        <f t="shared" si="1"/>
        <v>1100</v>
      </c>
      <c r="K31" s="121">
        <f t="shared" si="2"/>
        <v>0</v>
      </c>
    </row>
    <row r="32" spans="1:11">
      <c r="A32" s="116"/>
      <c r="B32" s="277" t="str">
        <f>+'Anchoveta-Sardina Española LTP'!D75</f>
        <v>55T</v>
      </c>
      <c r="C32" s="277">
        <f>+'Anchoveta-Sardina Española LTP'!E75</f>
        <v>2101</v>
      </c>
      <c r="D32" s="278">
        <f>+'Anchoveta-Sardina Española LTP'!F75</f>
        <v>43623</v>
      </c>
      <c r="E32" s="279" t="str">
        <f>+'Anchoveta-Sardina Española LTP'!G75</f>
        <v>Abastecimientos de Pacifico, 76.542.970-6</v>
      </c>
      <c r="F32" s="279" t="str">
        <f>+'Anchoveta-Sardina Española LTP'!H75</f>
        <v>Grupo Emb III region</v>
      </c>
      <c r="G32" s="279" t="str">
        <f>+'Anchoveta-Sardina Española LTP'!I75</f>
        <v xml:space="preserve">Anchoveta III </v>
      </c>
      <c r="H32" s="280">
        <f>+'Anchoveta-Sardina Española LTP'!J75</f>
        <v>209.48</v>
      </c>
      <c r="I32" s="271">
        <f>+D57</f>
        <v>17.815000000000001</v>
      </c>
      <c r="J32" s="256">
        <f t="shared" si="1"/>
        <v>191.66499999999999</v>
      </c>
      <c r="K32" s="121">
        <f t="shared" si="2"/>
        <v>8.5043918273820907E-2</v>
      </c>
    </row>
    <row r="33" spans="1:11">
      <c r="A33" s="116"/>
      <c r="B33" s="277" t="str">
        <f>+'Anchoveta-Sardina Española LTP'!D76</f>
        <v>55T</v>
      </c>
      <c r="C33" s="282">
        <f>+'Anchoveta-Sardina Española LTP'!E76</f>
        <v>2142</v>
      </c>
      <c r="D33" s="278">
        <f>+'Anchoveta-Sardina Española LTP'!F76</f>
        <v>43627</v>
      </c>
      <c r="E33" s="279" t="str">
        <f>+'Anchoveta-Sardina Española LTP'!G76</f>
        <v>Orizon II-IV</v>
      </c>
      <c r="F33" s="279" t="str">
        <f>+'Anchoveta-Sardina Española LTP'!H76</f>
        <v>Grupo Emb IV region</v>
      </c>
      <c r="G33" s="279" t="str">
        <f>+'Anchoveta-Sardina Española LTP'!I76</f>
        <v xml:space="preserve">Anchoveta III </v>
      </c>
      <c r="H33" s="280">
        <f>+'Anchoveta-Sardina Española LTP'!J76</f>
        <v>7400</v>
      </c>
      <c r="I33" s="271">
        <f>+D58</f>
        <v>2480.6580000000008</v>
      </c>
      <c r="J33" s="256">
        <f t="shared" si="1"/>
        <v>4919.3419999999987</v>
      </c>
      <c r="K33" s="121">
        <f t="shared" si="2"/>
        <v>0.33522405405405414</v>
      </c>
    </row>
    <row r="34" spans="1:11">
      <c r="A34" s="116"/>
      <c r="B34" s="277" t="str">
        <f>+'Anchoveta-Sardina Española LTP'!D77</f>
        <v>55T</v>
      </c>
      <c r="C34" s="277">
        <f>+'Anchoveta-Sardina Española LTP'!E77</f>
        <v>2169</v>
      </c>
      <c r="D34" s="278">
        <f>+'Anchoveta-Sardina Española LTP'!F77</f>
        <v>43627</v>
      </c>
      <c r="E34" s="279" t="str">
        <f>+'Anchoveta-Sardina Española LTP'!G77</f>
        <v>Soc Com Serv y Trasportes II-IV</v>
      </c>
      <c r="F34" s="279" t="str">
        <f>+'Anchoveta-Sardina Española LTP'!H77</f>
        <v>Grupo Emb III region</v>
      </c>
      <c r="G34" s="279" t="str">
        <f>+'Anchoveta-Sardina Española LTP'!I77</f>
        <v>Anchoveta III</v>
      </c>
      <c r="H34" s="280">
        <f>+'Anchoveta-Sardina Española LTP'!J77</f>
        <v>354.714</v>
      </c>
      <c r="I34" s="271">
        <f>+D59</f>
        <v>207.68</v>
      </c>
      <c r="J34" s="256">
        <f t="shared" si="1"/>
        <v>147.03399999999999</v>
      </c>
      <c r="K34" s="121">
        <f t="shared" si="2"/>
        <v>0.58548577163574034</v>
      </c>
    </row>
    <row r="35" spans="1:11" ht="14.4">
      <c r="A35" s="116"/>
      <c r="B35" s="277" t="str">
        <f>+'Anchoveta-Sardina Española LTP'!D78</f>
        <v>55T</v>
      </c>
      <c r="C35" s="277">
        <f>+'Anchoveta-Sardina Española LTP'!E78</f>
        <v>2178</v>
      </c>
      <c r="D35" s="278">
        <f>+'Anchoveta-Sardina Española LTP'!F78</f>
        <v>43627</v>
      </c>
      <c r="E35" s="289" t="str">
        <f>+'Anchoveta-Sardina Española LTP'!G78</f>
        <v>Pesq. Bahia Caldera III-IV</v>
      </c>
      <c r="F35" s="279" t="str">
        <f>+'Anchoveta-Sardina Española LTP'!H78</f>
        <v xml:space="preserve">Grupo Emb III </v>
      </c>
      <c r="G35" s="279" t="str">
        <f>+'Anchoveta-Sardina Española LTP'!I78</f>
        <v>Anchoveta III</v>
      </c>
      <c r="H35" s="280">
        <f>+'Anchoveta-Sardina Española LTP'!J78</f>
        <v>7402</v>
      </c>
      <c r="I35" s="271">
        <f>+D60</f>
        <v>3376.2160000000013</v>
      </c>
      <c r="J35" s="256">
        <f t="shared" si="1"/>
        <v>4025.7839999999987</v>
      </c>
      <c r="K35" s="121">
        <f t="shared" si="2"/>
        <v>0.4561221291542828</v>
      </c>
    </row>
    <row r="36" spans="1:11" ht="14.4">
      <c r="A36" s="116"/>
      <c r="B36" s="588" t="str">
        <f>+'Anchoveta-Sardina Española LTP'!D79</f>
        <v>55T</v>
      </c>
      <c r="C36" s="588">
        <f>+'Anchoveta-Sardina Española LTP'!E79</f>
        <v>2200</v>
      </c>
      <c r="D36" s="589">
        <f>+'Anchoveta-Sardina Española LTP'!F79</f>
        <v>43635</v>
      </c>
      <c r="E36" s="590" t="str">
        <f>+'Anchoveta-Sardina Española LTP'!G79</f>
        <v>Pesq. Bahia Caldera III-IV</v>
      </c>
      <c r="F36" s="591" t="str">
        <f>+'Anchoveta-Sardina Española LTP'!H79</f>
        <v xml:space="preserve">Grupo Emb III </v>
      </c>
      <c r="G36" s="591" t="str">
        <f>+'Anchoveta-Sardina Española LTP'!I79</f>
        <v>Sardina Española III</v>
      </c>
      <c r="H36" s="592">
        <f>+'Anchoveta-Sardina Española LTP'!J79</f>
        <v>200</v>
      </c>
      <c r="I36" s="593">
        <f>+E52</f>
        <v>196.71</v>
      </c>
      <c r="J36" s="594"/>
      <c r="K36" s="595">
        <f t="shared" ref="K36:K41" si="3">+I37/H37</f>
        <v>0</v>
      </c>
    </row>
    <row r="37" spans="1:11">
      <c r="A37" s="116"/>
      <c r="B37" s="117" t="str">
        <f>+'Anchoveta-Sardina Española LTP'!D80</f>
        <v>55T</v>
      </c>
      <c r="C37" s="117">
        <f>+'Anchoveta-Sardina Española LTP'!E80</f>
        <v>2274</v>
      </c>
      <c r="D37" s="118">
        <f>+'Anchoveta-Sardina Española LTP'!F80</f>
        <v>43637</v>
      </c>
      <c r="E37" s="120" t="str">
        <f>+'Anchoveta-Sardina Española LTP'!G80</f>
        <v>ERIC ARACENA REYNUABA III-IV</v>
      </c>
      <c r="F37" s="248" t="str">
        <f>+'Anchoveta-Sardina Española LTP'!H80</f>
        <v>Emb EL CID Rpa 950657-III</v>
      </c>
      <c r="G37" s="248" t="str">
        <f>+'Anchoveta-Sardina Española LTP'!I80</f>
        <v xml:space="preserve">Anchoveta III </v>
      </c>
      <c r="H37" s="256">
        <f>+'Anchoveta-Sardina Española LTP'!J80</f>
        <v>151.76400000000001</v>
      </c>
      <c r="I37" s="224"/>
      <c r="J37" s="256">
        <f t="shared" ref="J37:J43" si="4">+H37-I37</f>
        <v>151.76400000000001</v>
      </c>
      <c r="K37" s="121">
        <f t="shared" si="3"/>
        <v>0</v>
      </c>
    </row>
    <row r="38" spans="1:11" s="104" customFormat="1">
      <c r="A38" s="116"/>
      <c r="B38" s="117" t="str">
        <f>+'Anchoveta-Sardina Española LTP'!D81</f>
        <v>55T</v>
      </c>
      <c r="C38" s="117">
        <f>+'Anchoveta-Sardina Española LTP'!E81</f>
        <v>2275</v>
      </c>
      <c r="D38" s="118">
        <f>+'Anchoveta-Sardina Española LTP'!F81</f>
        <v>43637</v>
      </c>
      <c r="E38" s="120" t="str">
        <f>+'Anchoveta-Sardina Española LTP'!G81</f>
        <v>GIULLIANO REYNUABA SALAS III-IV</v>
      </c>
      <c r="F38" s="248" t="str">
        <f>+'Anchoveta-Sardina Española LTP'!H81</f>
        <v>Emb KALI Rpa 951110-III</v>
      </c>
      <c r="G38" s="248" t="str">
        <f>+'Anchoveta-Sardina Española LTP'!I81</f>
        <v>Anchoveta III</v>
      </c>
      <c r="H38" s="256">
        <f>+'Anchoveta-Sardina Española LTP'!J81</f>
        <v>151.76400000000001</v>
      </c>
      <c r="I38" s="224"/>
      <c r="J38" s="256">
        <f t="shared" si="4"/>
        <v>151.76400000000001</v>
      </c>
      <c r="K38" s="121">
        <f t="shared" si="3"/>
        <v>0</v>
      </c>
    </row>
    <row r="39" spans="1:11" s="104" customFormat="1">
      <c r="A39" s="116"/>
      <c r="B39" s="117" t="str">
        <f>+'Anchoveta-Sardina Española LTP'!D82</f>
        <v>55T</v>
      </c>
      <c r="C39" s="117">
        <f>+'Anchoveta-Sardina Española LTP'!E82</f>
        <v>2276</v>
      </c>
      <c r="D39" s="118">
        <f>+'Anchoveta-Sardina Española LTP'!F82</f>
        <v>43637</v>
      </c>
      <c r="E39" s="120" t="str">
        <f>+'Anchoveta-Sardina Española LTP'!G82</f>
        <v>Pesq Litoral III-IV</v>
      </c>
      <c r="F39" s="248" t="str">
        <f>+'Anchoveta-Sardina Española LTP'!H82</f>
        <v>Emb SANDY III Rpa 967785-III</v>
      </c>
      <c r="G39" s="248" t="str">
        <f>+'Anchoveta-Sardina Española LTP'!I82</f>
        <v xml:space="preserve">Anchoveta III </v>
      </c>
      <c r="H39" s="256">
        <f>+'Anchoveta-Sardina Española LTP'!J82</f>
        <v>173.011</v>
      </c>
      <c r="I39" s="224"/>
      <c r="J39" s="256">
        <f t="shared" si="4"/>
        <v>173.011</v>
      </c>
      <c r="K39" s="121">
        <f t="shared" si="3"/>
        <v>0</v>
      </c>
    </row>
    <row r="40" spans="1:11" s="104" customFormat="1">
      <c r="A40" s="116"/>
      <c r="B40" s="117" t="str">
        <f>+'Anchoveta-Sardina Española LTP'!D83</f>
        <v>55T</v>
      </c>
      <c r="C40" s="117">
        <f>+'Anchoveta-Sardina Española LTP'!E83</f>
        <v>2310</v>
      </c>
      <c r="D40" s="118">
        <f>+'Anchoveta-Sardina Española LTP'!F83</f>
        <v>43642</v>
      </c>
      <c r="E40" s="120" t="str">
        <f>+'Anchoveta-Sardina Española LTP'!G83</f>
        <v>Orizon III-IV</v>
      </c>
      <c r="F40" s="248" t="str">
        <f>+'Anchoveta-Sardina Española LTP'!H83</f>
        <v>Grupo Emb IV region</v>
      </c>
      <c r="G40" s="248" t="str">
        <f>+'Anchoveta-Sardina Española LTP'!I83</f>
        <v>Sardina Española IV</v>
      </c>
      <c r="H40" s="256">
        <f>+'Anchoveta-Sardina Española LTP'!J83</f>
        <v>100</v>
      </c>
      <c r="I40" s="224"/>
      <c r="J40" s="256">
        <f t="shared" si="4"/>
        <v>100</v>
      </c>
      <c r="K40" s="121">
        <f t="shared" si="3"/>
        <v>0</v>
      </c>
    </row>
    <row r="41" spans="1:11" s="104" customFormat="1">
      <c r="A41" s="116"/>
      <c r="B41" s="117" t="str">
        <f>+'Anchoveta-Sardina Española LTP'!D84</f>
        <v>55T</v>
      </c>
      <c r="C41" s="117">
        <f>+'Anchoveta-Sardina Española LTP'!E84</f>
        <v>2402</v>
      </c>
      <c r="D41" s="118">
        <f>+'Anchoveta-Sardina Española LTP'!F84</f>
        <v>43649</v>
      </c>
      <c r="E41" s="120" t="str">
        <f>+'Anchoveta-Sardina Española LTP'!G84</f>
        <v>ABASTECIMIENTO DEL PACIFICO S.A. III-IV</v>
      </c>
      <c r="F41" s="248" t="str">
        <f>+'Anchoveta-Sardina Española LTP'!H84</f>
        <v>Emb KALI Rpa 951110-III</v>
      </c>
      <c r="G41" s="248" t="str">
        <f>+'Anchoveta-Sardina Española LTP'!I84</f>
        <v>Anchoveta III</v>
      </c>
      <c r="H41" s="256">
        <f>+'Anchoveta-Sardina Española LTP'!J84</f>
        <v>188.18600000000001</v>
      </c>
      <c r="I41" s="224"/>
      <c r="J41" s="256">
        <f t="shared" si="4"/>
        <v>188.18600000000001</v>
      </c>
      <c r="K41" s="121">
        <f t="shared" si="3"/>
        <v>0</v>
      </c>
    </row>
    <row r="42" spans="1:11" s="104" customFormat="1">
      <c r="A42" s="116"/>
      <c r="B42" s="117" t="str">
        <f>+'Anchoveta-Sardina Española LTP'!D85</f>
        <v>55T</v>
      </c>
      <c r="C42" s="117">
        <f>+'Anchoveta-Sardina Española LTP'!E85</f>
        <v>2416</v>
      </c>
      <c r="D42" s="118">
        <f>+'Anchoveta-Sardina Española LTP'!F85</f>
        <v>43649</v>
      </c>
      <c r="E42" s="120" t="str">
        <f>+'Anchoveta-Sardina Española LTP'!G85</f>
        <v>ATILIO BARRERA III-IV</v>
      </c>
      <c r="F42" s="248" t="str">
        <f>+'Anchoveta-Sardina Española LTP'!H85</f>
        <v>Emb DON ATILIO Rpa 960355-III</v>
      </c>
      <c r="G42" s="248" t="str">
        <f>+'Anchoveta-Sardina Española LTP'!I85</f>
        <v>Anchoveta III</v>
      </c>
      <c r="H42" s="256">
        <f>+'Anchoveta-Sardina Española LTP'!J85</f>
        <v>284.55900000000003</v>
      </c>
      <c r="I42" s="224"/>
      <c r="J42" s="256">
        <f t="shared" si="4"/>
        <v>284.55900000000003</v>
      </c>
      <c r="K42" s="121">
        <v>0</v>
      </c>
    </row>
    <row r="43" spans="1:11" s="104" customFormat="1">
      <c r="A43" s="116"/>
      <c r="B43" s="432" t="str">
        <f>+'Anchoveta-Sardina Española LTP'!D86</f>
        <v>55T</v>
      </c>
      <c r="C43" s="432">
        <f>+'Anchoveta-Sardina Española LTP'!E86</f>
        <v>2443</v>
      </c>
      <c r="D43" s="433">
        <f>+'Anchoveta-Sardina Española LTP'!F86</f>
        <v>43651</v>
      </c>
      <c r="E43" s="434" t="str">
        <f>+'Anchoveta-Sardina Española LTP'!G86</f>
        <v>Serv Ind Lo Rojas Ltda XV-II</v>
      </c>
      <c r="F43" s="434" t="str">
        <f>+'Anchoveta-Sardina Española LTP'!H86</f>
        <v>Emb Valentina Rpa 967544-XV</v>
      </c>
      <c r="G43" s="434" t="str">
        <f>+'Anchoveta-Sardina Española LTP'!I86</f>
        <v>Anchoveta XV</v>
      </c>
      <c r="H43" s="435">
        <f>+'Anchoveta-Sardina Española LTP'!J86</f>
        <v>3460.6550000000002</v>
      </c>
      <c r="I43" s="436"/>
      <c r="J43" s="435">
        <f t="shared" si="4"/>
        <v>3460.6550000000002</v>
      </c>
      <c r="K43" s="224"/>
    </row>
    <row r="44" spans="1:11" s="104" customFormat="1">
      <c r="A44" s="116"/>
      <c r="B44" s="117" t="str">
        <f>+'Anchoveta-Sardina Española LTP'!D87</f>
        <v>Modifica Incorpota embarcacion</v>
      </c>
      <c r="C44" s="117" t="str">
        <f>+'Anchoveta-Sardina Española LTP'!E87</f>
        <v xml:space="preserve">2522-Modifica R Ex 2178-2019 </v>
      </c>
      <c r="D44" s="118">
        <f>+'Anchoveta-Sardina Española LTP'!F87</f>
        <v>43657</v>
      </c>
      <c r="E44" s="120" t="str">
        <f>+'Anchoveta-Sardina Española LTP'!G87</f>
        <v>Pesq. Bahia Caldera III-IV</v>
      </c>
      <c r="F44" s="248" t="str">
        <f>+'Anchoveta-Sardina Española LTP'!H87</f>
        <v>Emb Fortuna III Rpa 96009-IIII</v>
      </c>
      <c r="G44" s="248" t="str">
        <f>+'Anchoveta-Sardina Española LTP'!I87</f>
        <v>Anchoveta III</v>
      </c>
      <c r="H44" s="256">
        <f>+'Anchoveta-Sardina Española LTP'!J87</f>
        <v>0</v>
      </c>
      <c r="I44" s="224"/>
      <c r="J44" s="256">
        <f t="shared" ref="J44:J46" si="5">+H44-I44</f>
        <v>0</v>
      </c>
      <c r="K44" s="121">
        <v>1</v>
      </c>
    </row>
    <row r="45" spans="1:11" s="104" customFormat="1">
      <c r="A45" s="116"/>
      <c r="B45" s="432" t="str">
        <f>+'Anchoveta-Sardina Española LTP'!D88</f>
        <v>55T</v>
      </c>
      <c r="C45" s="432">
        <f>+'Anchoveta-Sardina Española LTP'!E88</f>
        <v>2987</v>
      </c>
      <c r="D45" s="433">
        <f>+'Anchoveta-Sardina Española LTP'!F88</f>
        <v>43711</v>
      </c>
      <c r="E45" s="434" t="str">
        <f>+'Anchoveta-Sardina Española LTP'!G88</f>
        <v>Corpesca XV-II</v>
      </c>
      <c r="F45" s="434" t="str">
        <f>+'Anchoveta-Sardina Española LTP'!H88</f>
        <v>Grupo Emb XV-I region</v>
      </c>
      <c r="G45" s="434" t="str">
        <f>+'Anchoveta-Sardina Española LTP'!I88</f>
        <v>Anchoveta XV</v>
      </c>
      <c r="H45" s="435">
        <f>+'Anchoveta-Sardina Española LTP'!J88</f>
        <v>40000</v>
      </c>
      <c r="I45" s="436"/>
      <c r="J45" s="435">
        <f t="shared" si="5"/>
        <v>40000</v>
      </c>
      <c r="K45" s="224"/>
    </row>
    <row r="46" spans="1:11" s="104" customFormat="1">
      <c r="A46" s="116"/>
      <c r="B46" s="117" t="str">
        <f>+'Anchoveta-Sardina Española LTP'!D89</f>
        <v>55T</v>
      </c>
      <c r="C46" s="117">
        <f>+'Anchoveta-Sardina Española LTP'!E89</f>
        <v>3146</v>
      </c>
      <c r="D46" s="118">
        <f>+'Anchoveta-Sardina Española LTP'!F89</f>
        <v>43733</v>
      </c>
      <c r="E46" s="120" t="str">
        <f>+'Anchoveta-Sardina Española LTP'!G89</f>
        <v>Arica Seafood Producer S.A. XV-II</v>
      </c>
      <c r="F46" s="248" t="str">
        <f>+'Anchoveta-Sardina Española LTP'!H89</f>
        <v>Grupo Emb XV-I region</v>
      </c>
      <c r="G46" s="248" t="str">
        <f>+'Anchoveta-Sardina Española LTP'!I89</f>
        <v>Anchoveta XV</v>
      </c>
      <c r="H46" s="256">
        <f>+'Anchoveta-Sardina Española LTP'!J89</f>
        <v>4252.2640000000001</v>
      </c>
      <c r="I46" s="224"/>
      <c r="J46" s="256">
        <f t="shared" si="5"/>
        <v>4252.2640000000001</v>
      </c>
      <c r="K46" s="121">
        <v>2</v>
      </c>
    </row>
    <row r="47" spans="1:11" s="104" customFormat="1">
      <c r="A47" s="116"/>
      <c r="B47" s="117">
        <f>+'Anchoveta-Sardina Española LTP'!D90</f>
        <v>0</v>
      </c>
      <c r="C47" s="117">
        <f>+'Anchoveta-Sardina Española LTP'!E90</f>
        <v>0</v>
      </c>
      <c r="D47" s="118">
        <f>+'Anchoveta-Sardina Española LTP'!F90</f>
        <v>0</v>
      </c>
      <c r="E47" s="120">
        <f>+'Anchoveta-Sardina Española LTP'!G90</f>
        <v>0</v>
      </c>
      <c r="F47" s="248">
        <f>+'Anchoveta-Sardina Española LTP'!H90</f>
        <v>0</v>
      </c>
      <c r="G47" s="248">
        <f>+'Anchoveta-Sardina Española LTP'!I90</f>
        <v>0</v>
      </c>
      <c r="H47" s="256">
        <f>+'Anchoveta-Sardina Española LTP'!J90</f>
        <v>0</v>
      </c>
      <c r="I47" s="224"/>
      <c r="J47" s="256">
        <f t="shared" ref="J47" si="6">+H47-I47</f>
        <v>0</v>
      </c>
      <c r="K47" s="121"/>
    </row>
    <row r="48" spans="1:11" ht="12.6" customHeight="1">
      <c r="A48" s="116"/>
      <c r="B48" s="119"/>
      <c r="I48" s="235"/>
      <c r="J48" s="235"/>
      <c r="K48" s="235"/>
    </row>
    <row r="49" spans="2:11" ht="14.4">
      <c r="B49"/>
      <c r="I49" s="235"/>
      <c r="J49" s="235"/>
      <c r="K49" s="235"/>
    </row>
    <row r="50" spans="2:11">
      <c r="D50" s="770" t="s">
        <v>203</v>
      </c>
      <c r="E50" s="770"/>
      <c r="F50" s="770"/>
    </row>
    <row r="51" spans="2:11">
      <c r="B51" s="771" t="s">
        <v>202</v>
      </c>
      <c r="C51" s="772"/>
      <c r="D51" s="521" t="s">
        <v>51</v>
      </c>
      <c r="E51" s="521" t="s">
        <v>108</v>
      </c>
      <c r="F51" s="522" t="s">
        <v>96</v>
      </c>
    </row>
    <row r="52" spans="2:11" ht="14.4">
      <c r="B52" s="773" t="s">
        <v>231</v>
      </c>
      <c r="C52" s="774"/>
      <c r="D52" s="527">
        <v>0</v>
      </c>
      <c r="E52" s="527">
        <v>196.71</v>
      </c>
      <c r="F52" s="382">
        <f>SUM(D52:E52)</f>
        <v>196.71</v>
      </c>
    </row>
    <row r="53" spans="2:11" ht="14.4">
      <c r="B53" s="523" t="s">
        <v>215</v>
      </c>
      <c r="C53" s="524"/>
      <c r="D53" s="596">
        <v>563</v>
      </c>
      <c r="E53" s="527"/>
      <c r="F53" s="338">
        <f>SUM(D53:E53)</f>
        <v>563</v>
      </c>
    </row>
    <row r="54" spans="2:11" ht="14.4">
      <c r="B54" s="525" t="s">
        <v>200</v>
      </c>
      <c r="C54" s="526"/>
      <c r="D54" s="596">
        <v>421.2</v>
      </c>
      <c r="E54" s="527"/>
      <c r="F54" s="382">
        <f t="shared" ref="F54:F65" si="7">SUM(D54:E54)</f>
        <v>421.2</v>
      </c>
    </row>
    <row r="55" spans="2:11" ht="14.4">
      <c r="B55" s="525" t="s">
        <v>129</v>
      </c>
      <c r="C55" s="526"/>
      <c r="D55" s="596">
        <v>5296.8540000000012</v>
      </c>
      <c r="E55" s="527"/>
      <c r="F55" s="382">
        <f t="shared" si="7"/>
        <v>5296.8540000000012</v>
      </c>
    </row>
    <row r="56" spans="2:11" ht="14.4">
      <c r="B56" s="525" t="s">
        <v>124</v>
      </c>
      <c r="C56" s="526"/>
      <c r="D56" s="596">
        <v>6328.9749999999949</v>
      </c>
      <c r="E56" s="527"/>
      <c r="F56" s="382">
        <f t="shared" si="7"/>
        <v>6328.9749999999949</v>
      </c>
    </row>
    <row r="57" spans="2:11" ht="14.4">
      <c r="B57" s="525" t="s">
        <v>216</v>
      </c>
      <c r="C57" s="526"/>
      <c r="D57" s="596">
        <v>17.815000000000001</v>
      </c>
      <c r="E57" s="527"/>
      <c r="F57" s="382">
        <f t="shared" si="7"/>
        <v>17.815000000000001</v>
      </c>
    </row>
    <row r="58" spans="2:11" ht="14.4">
      <c r="B58" s="525" t="s">
        <v>217</v>
      </c>
      <c r="C58" s="526"/>
      <c r="D58" s="596">
        <v>2480.6580000000008</v>
      </c>
      <c r="E58" s="527"/>
      <c r="F58" s="382">
        <f t="shared" si="7"/>
        <v>2480.6580000000008</v>
      </c>
    </row>
    <row r="59" spans="2:11" ht="14.4">
      <c r="B59" s="525" t="s">
        <v>218</v>
      </c>
      <c r="C59" s="526"/>
      <c r="D59" s="596">
        <v>207.68</v>
      </c>
      <c r="E59" s="527"/>
      <c r="F59" s="382">
        <f t="shared" si="7"/>
        <v>207.68</v>
      </c>
    </row>
    <row r="60" spans="2:11" ht="14.4">
      <c r="B60" s="525" t="s">
        <v>214</v>
      </c>
      <c r="C60" s="526"/>
      <c r="D60" s="596">
        <v>3376.2160000000013</v>
      </c>
      <c r="E60" s="527"/>
      <c r="F60" s="382">
        <f t="shared" si="7"/>
        <v>3376.2160000000013</v>
      </c>
    </row>
    <row r="61" spans="2:11" ht="14.4">
      <c r="B61" s="525" t="s">
        <v>98</v>
      </c>
      <c r="C61" s="526"/>
      <c r="D61" s="596">
        <v>6936.2519999999995</v>
      </c>
      <c r="E61" s="527"/>
      <c r="F61" s="382">
        <f t="shared" si="7"/>
        <v>6936.2519999999995</v>
      </c>
    </row>
    <row r="62" spans="2:11" ht="14.4">
      <c r="B62" s="525" t="s">
        <v>99</v>
      </c>
      <c r="C62" s="526"/>
      <c r="D62" s="596">
        <v>403.44500000000005</v>
      </c>
      <c r="E62" s="527"/>
      <c r="F62" s="382">
        <f t="shared" si="7"/>
        <v>403.44500000000005</v>
      </c>
    </row>
    <row r="63" spans="2:11" ht="14.4">
      <c r="B63" s="604" t="s">
        <v>100</v>
      </c>
      <c r="C63" s="526"/>
      <c r="D63" s="596">
        <v>8100</v>
      </c>
      <c r="E63" s="527"/>
      <c r="F63" s="382">
        <f t="shared" si="7"/>
        <v>8100</v>
      </c>
    </row>
    <row r="64" spans="2:11" ht="14.4">
      <c r="B64" s="604" t="s">
        <v>219</v>
      </c>
      <c r="C64" s="526"/>
      <c r="D64" s="596"/>
      <c r="E64" s="527">
        <v>99.75800000000001</v>
      </c>
      <c r="F64" s="382">
        <f t="shared" si="7"/>
        <v>99.75800000000001</v>
      </c>
    </row>
    <row r="65" spans="2:6" ht="14.4">
      <c r="B65" s="525" t="s">
        <v>125</v>
      </c>
      <c r="C65" s="526"/>
      <c r="D65" s="596">
        <v>1499.9999999999998</v>
      </c>
      <c r="E65" s="527"/>
      <c r="F65" s="382">
        <f t="shared" si="7"/>
        <v>1499.9999999999998</v>
      </c>
    </row>
    <row r="66" spans="2:6" ht="14.4">
      <c r="B66" s="770" t="s">
        <v>96</v>
      </c>
      <c r="C66" s="770"/>
      <c r="D66" s="247">
        <f>SUM(D52:D65)</f>
        <v>35632.095000000001</v>
      </c>
      <c r="E66" s="247">
        <f>SUM(E52:E65)</f>
        <v>296.46800000000002</v>
      </c>
      <c r="F66" s="339">
        <f>SUM(F52:F65)</f>
        <v>35928.563000000002</v>
      </c>
    </row>
  </sheetData>
  <sortState ref="B31:D43">
    <sortCondition ref="B31:B43"/>
  </sortState>
  <mergeCells count="23">
    <mergeCell ref="B2:K2"/>
    <mergeCell ref="D50:F50"/>
    <mergeCell ref="C5:D5"/>
    <mergeCell ref="C6:D6"/>
    <mergeCell ref="C8:D8"/>
    <mergeCell ref="C10:D10"/>
    <mergeCell ref="E5:F5"/>
    <mergeCell ref="E6:F6"/>
    <mergeCell ref="E8:F8"/>
    <mergeCell ref="E10:F10"/>
    <mergeCell ref="C3:D3"/>
    <mergeCell ref="E3:F3"/>
    <mergeCell ref="C9:D9"/>
    <mergeCell ref="E9:F9"/>
    <mergeCell ref="C11:D11"/>
    <mergeCell ref="B66:C66"/>
    <mergeCell ref="B51:C51"/>
    <mergeCell ref="B52:C52"/>
    <mergeCell ref="E11:F11"/>
    <mergeCell ref="C4:D4"/>
    <mergeCell ref="E4:F4"/>
    <mergeCell ref="C7:D7"/>
    <mergeCell ref="E7:F7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C1:G41"/>
  <sheetViews>
    <sheetView showGridLines="0" topLeftCell="C1" workbookViewId="0">
      <selection activeCell="C51" sqref="C51"/>
    </sheetView>
  </sheetViews>
  <sheetFormatPr baseColWidth="10" defaultRowHeight="14.4"/>
  <cols>
    <col min="1" max="1" width="6.109375" customWidth="1"/>
    <col min="2" max="2" width="8.6640625" customWidth="1"/>
    <col min="3" max="3" width="70.6640625" customWidth="1"/>
    <col min="4" max="4" width="13.88671875" customWidth="1"/>
    <col min="5" max="5" width="13.5546875" customWidth="1"/>
    <col min="6" max="6" width="13.44140625" customWidth="1"/>
    <col min="7" max="7" width="15.33203125" customWidth="1"/>
  </cols>
  <sheetData>
    <row r="1" spans="3:7" ht="25.95" customHeight="1">
      <c r="C1" s="793" t="s">
        <v>101</v>
      </c>
      <c r="D1" s="793"/>
      <c r="E1" s="793"/>
      <c r="F1" s="793"/>
      <c r="G1" s="793"/>
    </row>
    <row r="3" spans="3:7">
      <c r="D3" s="790" t="s">
        <v>211</v>
      </c>
      <c r="E3" s="791"/>
      <c r="F3" s="791"/>
      <c r="G3" s="792"/>
    </row>
    <row r="4" spans="3:7">
      <c r="C4" s="246" t="s">
        <v>209</v>
      </c>
      <c r="D4" s="242">
        <v>2</v>
      </c>
      <c r="E4" s="242">
        <v>3</v>
      </c>
      <c r="F4" s="242">
        <v>4</v>
      </c>
      <c r="G4" s="246" t="s">
        <v>212</v>
      </c>
    </row>
    <row r="5" spans="3:7">
      <c r="C5" s="243" t="s">
        <v>127</v>
      </c>
      <c r="D5" s="110">
        <v>0.02</v>
      </c>
      <c r="E5" s="110"/>
      <c r="F5" s="244"/>
      <c r="G5" s="245">
        <v>0.02</v>
      </c>
    </row>
    <row r="6" spans="3:7">
      <c r="C6" s="243" t="s">
        <v>210</v>
      </c>
      <c r="D6" s="110"/>
      <c r="E6" s="110">
        <v>6.2E-2</v>
      </c>
      <c r="F6" s="244">
        <v>0.13300000000000001</v>
      </c>
      <c r="G6" s="245">
        <v>0.19500000000000001</v>
      </c>
    </row>
    <row r="7" spans="3:7">
      <c r="C7" s="597" t="s">
        <v>303</v>
      </c>
      <c r="D7" s="596"/>
      <c r="E7" s="598">
        <v>3.1E-2</v>
      </c>
      <c r="F7" s="599"/>
      <c r="G7" s="245">
        <v>8.2000000000000003E-2</v>
      </c>
    </row>
    <row r="8" spans="3:7" ht="14.4" hidden="1" customHeight="1">
      <c r="E8" s="581"/>
      <c r="F8" s="581"/>
      <c r="G8" s="581"/>
    </row>
    <row r="9" spans="3:7" ht="14.4" hidden="1" customHeight="1">
      <c r="C9" s="580" t="s">
        <v>74</v>
      </c>
      <c r="D9" s="581"/>
      <c r="E9" s="583"/>
      <c r="F9" s="583"/>
      <c r="G9" s="583"/>
    </row>
    <row r="10" spans="3:7" ht="14.4" hidden="1" customHeight="1">
      <c r="C10" s="582" t="s">
        <v>75</v>
      </c>
      <c r="D10" s="583"/>
      <c r="E10" s="24" t="s">
        <v>49</v>
      </c>
      <c r="F10" s="24" t="s">
        <v>78</v>
      </c>
      <c r="G10" s="24" t="s">
        <v>79</v>
      </c>
    </row>
    <row r="11" spans="3:7" ht="14.4" hidden="1" customHeight="1">
      <c r="C11" s="794" t="s">
        <v>76</v>
      </c>
      <c r="D11" s="24" t="s">
        <v>77</v>
      </c>
      <c r="E11" s="23">
        <v>35115</v>
      </c>
      <c r="F11" s="23">
        <v>10</v>
      </c>
      <c r="G11" s="23"/>
    </row>
    <row r="12" spans="3:7" ht="14.4" hidden="1" customHeight="1">
      <c r="C12" s="795"/>
      <c r="D12" s="23" t="s">
        <v>80</v>
      </c>
      <c r="E12" s="23">
        <v>961584</v>
      </c>
      <c r="F12" s="23">
        <v>10</v>
      </c>
      <c r="G12" s="23">
        <v>0.02</v>
      </c>
    </row>
    <row r="13" spans="3:7" ht="15" hidden="1" customHeight="1" thickBot="1">
      <c r="C13" s="795"/>
      <c r="D13" s="23" t="s">
        <v>81</v>
      </c>
      <c r="E13" s="25">
        <v>966432</v>
      </c>
      <c r="F13" s="25">
        <v>10</v>
      </c>
      <c r="G13" s="25"/>
    </row>
    <row r="14" spans="3:7" ht="15" hidden="1" thickBot="1">
      <c r="C14" s="796"/>
      <c r="D14" s="25" t="s">
        <v>82</v>
      </c>
    </row>
    <row r="15" spans="3:7" hidden="1"/>
    <row r="16" spans="3:7" hidden="1"/>
    <row r="17" spans="3:7" ht="14.4" hidden="1" customHeight="1">
      <c r="E17" s="581"/>
      <c r="F17" s="581"/>
      <c r="G17" s="581"/>
    </row>
    <row r="18" spans="3:7" ht="14.4" hidden="1" customHeight="1">
      <c r="C18" s="580" t="s">
        <v>88</v>
      </c>
      <c r="D18" s="581"/>
      <c r="E18" s="583"/>
      <c r="F18" s="583"/>
      <c r="G18" s="583"/>
    </row>
    <row r="19" spans="3:7" ht="14.4" hidden="1" customHeight="1">
      <c r="C19" s="582" t="s">
        <v>75</v>
      </c>
      <c r="D19" s="583"/>
      <c r="E19" s="28" t="s">
        <v>49</v>
      </c>
      <c r="F19" s="28" t="s">
        <v>78</v>
      </c>
      <c r="G19" s="28" t="s">
        <v>79</v>
      </c>
    </row>
    <row r="20" spans="3:7" ht="14.4" hidden="1" customHeight="1">
      <c r="C20" s="788" t="s">
        <v>83</v>
      </c>
      <c r="D20" s="28" t="s">
        <v>77</v>
      </c>
      <c r="E20" s="28"/>
      <c r="F20" s="798">
        <v>40</v>
      </c>
      <c r="G20" s="798">
        <v>0</v>
      </c>
    </row>
    <row r="21" spans="3:7" ht="14.4" hidden="1" customHeight="1">
      <c r="C21" s="797"/>
      <c r="D21" s="28" t="s">
        <v>84</v>
      </c>
      <c r="E21" s="28">
        <v>951110</v>
      </c>
      <c r="F21" s="798"/>
      <c r="G21" s="798"/>
    </row>
    <row r="22" spans="3:7" ht="14.4" hidden="1" customHeight="1">
      <c r="C22" s="797"/>
      <c r="D22" s="28" t="s">
        <v>71</v>
      </c>
      <c r="E22" s="28">
        <v>966665</v>
      </c>
      <c r="F22" s="798"/>
      <c r="G22" s="798"/>
    </row>
    <row r="23" spans="3:7" ht="14.4" hidden="1" customHeight="1">
      <c r="C23" s="797"/>
      <c r="D23" s="16" t="s">
        <v>72</v>
      </c>
      <c r="E23" s="28">
        <v>960563</v>
      </c>
      <c r="F23" s="798"/>
      <c r="G23" s="798"/>
    </row>
    <row r="24" spans="3:7" ht="14.4" hidden="1" customHeight="1">
      <c r="C24" s="797"/>
      <c r="D24" s="16" t="s">
        <v>89</v>
      </c>
      <c r="E24" s="16">
        <v>923266</v>
      </c>
      <c r="F24" s="798"/>
      <c r="G24" s="798"/>
    </row>
    <row r="25" spans="3:7" hidden="1">
      <c r="C25" s="789"/>
      <c r="D25" s="16" t="s">
        <v>90</v>
      </c>
      <c r="E25" s="27"/>
      <c r="F25" s="27"/>
      <c r="G25" s="27"/>
    </row>
    <row r="26" spans="3:7" hidden="1">
      <c r="C26" s="26"/>
      <c r="D26" s="27"/>
    </row>
    <row r="27" spans="3:7" hidden="1"/>
    <row r="28" spans="3:7" ht="14.4" hidden="1" customHeight="1">
      <c r="E28" s="581"/>
      <c r="F28" s="581"/>
      <c r="G28" s="581"/>
    </row>
    <row r="29" spans="3:7" ht="14.4" hidden="1" customHeight="1">
      <c r="C29" s="580" t="s">
        <v>85</v>
      </c>
      <c r="D29" s="581"/>
      <c r="E29" s="583"/>
      <c r="F29" s="583"/>
      <c r="G29" s="583"/>
    </row>
    <row r="30" spans="3:7" ht="14.4" hidden="1" customHeight="1">
      <c r="C30" s="582" t="s">
        <v>75</v>
      </c>
      <c r="D30" s="583"/>
      <c r="E30" s="24" t="s">
        <v>49</v>
      </c>
      <c r="F30" s="24" t="s">
        <v>78</v>
      </c>
      <c r="G30" s="24" t="s">
        <v>79</v>
      </c>
    </row>
    <row r="31" spans="3:7" ht="14.4" hidden="1" customHeight="1">
      <c r="C31" s="788" t="s">
        <v>86</v>
      </c>
      <c r="D31" s="24" t="s">
        <v>77</v>
      </c>
      <c r="E31" s="23">
        <v>961267</v>
      </c>
      <c r="F31" s="23">
        <v>7.5</v>
      </c>
      <c r="G31" s="99">
        <v>6.2E-2</v>
      </c>
    </row>
    <row r="32" spans="3:7" ht="14.4" hidden="1" customHeight="1">
      <c r="C32" s="797"/>
      <c r="D32" s="23" t="s">
        <v>73</v>
      </c>
      <c r="E32" s="23">
        <v>901588</v>
      </c>
      <c r="F32" s="23">
        <v>7.5</v>
      </c>
      <c r="G32" s="99">
        <v>0.13300000000000001</v>
      </c>
    </row>
    <row r="33" spans="3:7" ht="14.4" hidden="1" customHeight="1">
      <c r="C33" s="797"/>
      <c r="D33" s="23" t="s">
        <v>87</v>
      </c>
      <c r="E33" s="23"/>
      <c r="F33" s="23"/>
      <c r="G33" s="23">
        <v>0.02</v>
      </c>
    </row>
    <row r="34" spans="3:7" hidden="1">
      <c r="C34" s="789"/>
      <c r="D34" s="23" t="s">
        <v>81</v>
      </c>
      <c r="G34">
        <f>SUM(G31:G33)</f>
        <v>0.215</v>
      </c>
    </row>
    <row r="35" spans="3:7" hidden="1"/>
    <row r="36" spans="3:7" ht="14.4" hidden="1" customHeight="1">
      <c r="E36" s="581"/>
      <c r="F36" s="581"/>
      <c r="G36" s="581"/>
    </row>
    <row r="37" spans="3:7" ht="14.4" hidden="1" customHeight="1">
      <c r="C37" s="580" t="s">
        <v>126</v>
      </c>
      <c r="D37" s="581"/>
      <c r="E37" s="583"/>
      <c r="F37" s="583"/>
      <c r="G37" s="583"/>
    </row>
    <row r="38" spans="3:7" ht="14.4" hidden="1" customHeight="1">
      <c r="C38" s="582" t="s">
        <v>127</v>
      </c>
      <c r="D38" s="583"/>
      <c r="E38" s="24" t="s">
        <v>49</v>
      </c>
      <c r="F38" s="24" t="s">
        <v>78</v>
      </c>
      <c r="G38" s="24" t="s">
        <v>79</v>
      </c>
    </row>
    <row r="39" spans="3:7" ht="14.4" hidden="1" customHeight="1">
      <c r="C39" s="788" t="s">
        <v>86</v>
      </c>
      <c r="D39" s="24" t="s">
        <v>77</v>
      </c>
      <c r="E39" s="23"/>
      <c r="F39" s="23"/>
      <c r="G39" s="23">
        <v>0.02</v>
      </c>
    </row>
    <row r="40" spans="3:7" hidden="1">
      <c r="C40" s="789"/>
      <c r="D40" s="23" t="s">
        <v>81</v>
      </c>
      <c r="G40">
        <f>SUM(G39:G39)</f>
        <v>0.02</v>
      </c>
    </row>
    <row r="41" spans="3:7">
      <c r="G41" s="322">
        <f>SUM(G5:G7)</f>
        <v>0.29699999999999999</v>
      </c>
    </row>
  </sheetData>
  <mergeCells count="8">
    <mergeCell ref="C39:C40"/>
    <mergeCell ref="D3:G3"/>
    <mergeCell ref="C1:G1"/>
    <mergeCell ref="C11:C14"/>
    <mergeCell ref="C31:C34"/>
    <mergeCell ref="C20:C25"/>
    <mergeCell ref="F20:F24"/>
    <mergeCell ref="G20:G2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P62"/>
  <sheetViews>
    <sheetView showGridLines="0" zoomScale="88" zoomScaleNormal="88" workbookViewId="0">
      <selection activeCell="J28" sqref="J28"/>
    </sheetView>
  </sheetViews>
  <sheetFormatPr baseColWidth="10" defaultColWidth="11.5546875" defaultRowHeight="14.4"/>
  <cols>
    <col min="1" max="1" width="2" style="137" customWidth="1"/>
    <col min="2" max="2" width="8.6640625" style="137" customWidth="1"/>
    <col min="3" max="3" width="19.5546875" style="142" customWidth="1"/>
    <col min="4" max="4" width="9" style="137" customWidth="1"/>
    <col min="5" max="5" width="13.33203125" style="137" customWidth="1"/>
    <col min="6" max="6" width="9.5546875" style="137" customWidth="1"/>
    <col min="7" max="7" width="4.88671875" style="137" customWidth="1"/>
    <col min="8" max="8" width="4" style="137" customWidth="1"/>
    <col min="9" max="9" width="3.5546875" style="137" customWidth="1"/>
    <col min="10" max="10" width="29.5546875" style="137" customWidth="1"/>
    <col min="11" max="11" width="12.33203125" style="137" customWidth="1"/>
    <col min="12" max="12" width="9.109375" style="147" customWidth="1"/>
    <col min="13" max="13" width="10.6640625" style="148" customWidth="1"/>
    <col min="14" max="16384" width="11.5546875" style="137"/>
  </cols>
  <sheetData>
    <row r="1" spans="2:13">
      <c r="B1" s="138" t="s">
        <v>130</v>
      </c>
      <c r="C1" s="143"/>
      <c r="J1" s="171" t="s">
        <v>78</v>
      </c>
      <c r="K1" s="182">
        <v>37941</v>
      </c>
      <c r="L1" s="149"/>
      <c r="M1" s="172"/>
    </row>
    <row r="2" spans="2:13" ht="12" customHeight="1">
      <c r="B2" s="140"/>
      <c r="C2" s="164" t="s">
        <v>131</v>
      </c>
      <c r="D2" s="170" t="s">
        <v>132</v>
      </c>
      <c r="E2" s="166" t="s">
        <v>133</v>
      </c>
      <c r="F2" s="166" t="s">
        <v>134</v>
      </c>
      <c r="J2" s="189" t="s">
        <v>131</v>
      </c>
      <c r="K2" s="190" t="s">
        <v>132</v>
      </c>
      <c r="L2" s="191" t="s">
        <v>132</v>
      </c>
      <c r="M2" s="192" t="s">
        <v>133</v>
      </c>
    </row>
    <row r="3" spans="2:13" ht="12" customHeight="1">
      <c r="B3" s="146">
        <v>1</v>
      </c>
      <c r="C3" s="165" t="s">
        <v>135</v>
      </c>
      <c r="D3" s="167">
        <v>5.5997199999999997E-2</v>
      </c>
      <c r="E3" s="167">
        <v>2124.59</v>
      </c>
      <c r="F3" s="167">
        <v>2124.59</v>
      </c>
      <c r="I3" s="799" t="s">
        <v>13</v>
      </c>
      <c r="J3" s="183" t="s">
        <v>56</v>
      </c>
      <c r="K3" s="184">
        <v>5.5997199999999997E-2</v>
      </c>
      <c r="L3" s="185"/>
      <c r="M3" s="186">
        <f>+(K3+L3)*$K$1</f>
        <v>2124.5897651999999</v>
      </c>
    </row>
    <row r="4" spans="2:13" ht="12" customHeight="1">
      <c r="B4" s="146">
        <v>2</v>
      </c>
      <c r="C4" s="165" t="s">
        <v>136</v>
      </c>
      <c r="D4" s="167">
        <v>0.41747820000000002</v>
      </c>
      <c r="E4" s="167">
        <v>15839.54</v>
      </c>
      <c r="F4" s="168">
        <v>15839.54</v>
      </c>
      <c r="I4" s="799"/>
      <c r="J4" s="183" t="s">
        <v>57</v>
      </c>
      <c r="K4" s="184">
        <v>0.41747820000000002</v>
      </c>
      <c r="L4" s="187"/>
      <c r="M4" s="186">
        <f t="shared" ref="M4:M18" si="0">+(K4+L4)*$K$1</f>
        <v>15839.5403862</v>
      </c>
    </row>
    <row r="5" spans="2:13" ht="12" customHeight="1">
      <c r="B5" s="146">
        <v>3</v>
      </c>
      <c r="C5" s="165" t="s">
        <v>20</v>
      </c>
      <c r="D5" s="167">
        <v>3.2301999999999999E-3</v>
      </c>
      <c r="E5" s="167" t="s">
        <v>137</v>
      </c>
      <c r="F5" s="167">
        <v>122.557</v>
      </c>
      <c r="I5" s="799"/>
      <c r="J5" s="183" t="s">
        <v>58</v>
      </c>
      <c r="K5" s="184">
        <v>3.2301999999999999E-3</v>
      </c>
      <c r="L5" s="187"/>
      <c r="M5" s="186">
        <f t="shared" si="0"/>
        <v>122.5570182</v>
      </c>
    </row>
    <row r="6" spans="2:13" ht="12" customHeight="1">
      <c r="B6" s="146">
        <v>4</v>
      </c>
      <c r="C6" s="165" t="s">
        <v>21</v>
      </c>
      <c r="D6" s="167">
        <v>7.7349999999999999E-4</v>
      </c>
      <c r="E6" s="167">
        <v>29.347000000000001</v>
      </c>
      <c r="F6" s="167">
        <v>29.347000000000001</v>
      </c>
      <c r="I6" s="799"/>
      <c r="J6" s="183" t="s">
        <v>59</v>
      </c>
      <c r="K6" s="184">
        <v>7.7349999999999999E-4</v>
      </c>
      <c r="L6" s="187"/>
      <c r="M6" s="186">
        <f t="shared" si="0"/>
        <v>29.3473635</v>
      </c>
    </row>
    <row r="7" spans="2:13" ht="12" customHeight="1">
      <c r="B7" s="146">
        <v>5</v>
      </c>
      <c r="C7" s="165" t="s">
        <v>138</v>
      </c>
      <c r="D7" s="167">
        <v>9.7119000000000007E-3</v>
      </c>
      <c r="E7" s="167">
        <v>368.47899999999998</v>
      </c>
      <c r="F7" s="167">
        <v>368.47899999999998</v>
      </c>
      <c r="I7" s="799"/>
      <c r="J7" s="183" t="s">
        <v>15</v>
      </c>
      <c r="K7" s="184">
        <v>9.7119000000000007E-3</v>
      </c>
      <c r="L7" s="187"/>
      <c r="M7" s="186">
        <f t="shared" si="0"/>
        <v>368.47919790000003</v>
      </c>
    </row>
    <row r="8" spans="2:13" ht="12" customHeight="1">
      <c r="B8" s="146">
        <v>6</v>
      </c>
      <c r="C8" s="165" t="s">
        <v>23</v>
      </c>
      <c r="D8" s="167">
        <v>0.360149</v>
      </c>
      <c r="E8" s="167">
        <v>13664.413</v>
      </c>
      <c r="F8" s="168">
        <v>13664.413</v>
      </c>
      <c r="I8" s="799"/>
      <c r="J8" s="183" t="s">
        <v>60</v>
      </c>
      <c r="K8" s="184">
        <v>0.360149</v>
      </c>
      <c r="L8" s="187">
        <f>SUM(D37:D39)+SUM(D53:D54)+SUM(D56:D59)</f>
        <v>4.9500000000000002E-2</v>
      </c>
      <c r="M8" s="186">
        <f t="shared" si="0"/>
        <v>15542.492709</v>
      </c>
    </row>
    <row r="9" spans="2:13" ht="12" customHeight="1">
      <c r="B9" s="146">
        <v>7</v>
      </c>
      <c r="C9" s="165" t="s">
        <v>24</v>
      </c>
      <c r="D9" s="167">
        <v>2.5666E-3</v>
      </c>
      <c r="E9" s="167">
        <v>97.379000000000005</v>
      </c>
      <c r="F9" s="167">
        <v>97.379000000000005</v>
      </c>
      <c r="I9" s="799"/>
      <c r="J9" s="183" t="s">
        <v>61</v>
      </c>
      <c r="K9" s="184">
        <v>2.5666E-3</v>
      </c>
      <c r="L9" s="187">
        <f>SUM(D31:D36)</f>
        <v>1.8499999999999999E-2</v>
      </c>
      <c r="M9" s="186">
        <f t="shared" si="0"/>
        <v>799.28787059999991</v>
      </c>
    </row>
    <row r="10" spans="2:13" ht="12" customHeight="1">
      <c r="B10" s="146">
        <v>8</v>
      </c>
      <c r="C10" s="165" t="s">
        <v>139</v>
      </c>
      <c r="D10" s="167">
        <v>9.3399999999999993E-5</v>
      </c>
      <c r="E10" s="167">
        <v>3.544</v>
      </c>
      <c r="F10" s="167">
        <v>3.544</v>
      </c>
      <c r="I10" s="799"/>
      <c r="J10" s="183" t="s">
        <v>62</v>
      </c>
      <c r="K10" s="184">
        <v>9.3399999999999993E-5</v>
      </c>
      <c r="L10" s="187"/>
      <c r="M10" s="186">
        <f t="shared" si="0"/>
        <v>3.5436893999999999</v>
      </c>
    </row>
    <row r="11" spans="2:13" ht="12" customHeight="1">
      <c r="B11" s="144"/>
      <c r="C11" s="145"/>
      <c r="D11" s="169">
        <f>SUM(D3:D10)</f>
        <v>0.85</v>
      </c>
      <c r="E11" s="169">
        <f t="shared" ref="E11:F11" si="1">SUM(E3:E10)</f>
        <v>32127.292000000005</v>
      </c>
      <c r="F11" s="169">
        <f t="shared" si="1"/>
        <v>32249.849000000006</v>
      </c>
      <c r="I11" s="799"/>
      <c r="J11" s="183" t="s">
        <v>112</v>
      </c>
      <c r="K11" s="188"/>
      <c r="L11" s="187">
        <f>SUM(D18:D30)</f>
        <v>2.0000000000000004E-2</v>
      </c>
      <c r="M11" s="186">
        <f t="shared" si="0"/>
        <v>758.82000000000016</v>
      </c>
    </row>
    <row r="12" spans="2:13" ht="12" customHeight="1">
      <c r="I12" s="799"/>
      <c r="J12" s="183" t="s">
        <v>16</v>
      </c>
      <c r="K12" s="188"/>
      <c r="L12" s="188">
        <f>+D55</f>
        <v>6.0000000000000001E-3</v>
      </c>
      <c r="M12" s="186">
        <f t="shared" si="0"/>
        <v>227.64600000000002</v>
      </c>
    </row>
    <row r="13" spans="2:13" ht="12" customHeight="1">
      <c r="I13" s="799"/>
      <c r="J13" s="183" t="s">
        <v>17</v>
      </c>
      <c r="K13" s="188"/>
      <c r="L13" s="188">
        <f>+D60+D61</f>
        <v>1.6E-2</v>
      </c>
      <c r="M13" s="186">
        <f t="shared" si="0"/>
        <v>607.05600000000004</v>
      </c>
    </row>
    <row r="14" spans="2:13" ht="12" customHeight="1">
      <c r="B14" s="138" t="s">
        <v>140</v>
      </c>
      <c r="C14" s="143"/>
      <c r="D14"/>
      <c r="E14"/>
      <c r="F14"/>
      <c r="I14" s="800"/>
      <c r="J14" s="183" t="str">
        <f>+C40</f>
        <v>ALIMENTOS DEL SUR SPA.</v>
      </c>
      <c r="K14" s="188"/>
      <c r="L14" s="188">
        <f>+D40+D46+D47+D50</f>
        <v>1.15E-2</v>
      </c>
      <c r="M14" s="186">
        <f t="shared" si="0"/>
        <v>436.32150000000001</v>
      </c>
    </row>
    <row r="15" spans="2:13" ht="12" customHeight="1">
      <c r="B15" s="139"/>
      <c r="C15" s="143"/>
      <c r="D15"/>
      <c r="E15"/>
      <c r="F15"/>
      <c r="J15" s="175" t="str">
        <f>+C41</f>
        <v>ATILIO REYES BARRERA</v>
      </c>
      <c r="K15" s="175"/>
      <c r="L15" s="176">
        <f>+D41+D42+D43</f>
        <v>7.4999999999999997E-3</v>
      </c>
      <c r="M15" s="186">
        <f t="shared" si="0"/>
        <v>284.5575</v>
      </c>
    </row>
    <row r="16" spans="2:13" ht="12" customHeight="1">
      <c r="B16" s="151"/>
      <c r="C16" s="151"/>
      <c r="D16" s="151" t="s">
        <v>143</v>
      </c>
      <c r="E16" s="151"/>
      <c r="F16" s="151"/>
      <c r="J16" s="175" t="str">
        <f>+C44</f>
        <v>PEDRO IRIGOYEN LTOA. INV</v>
      </c>
      <c r="K16" s="175"/>
      <c r="L16" s="176">
        <f>+D44</f>
        <v>2.5000000000000001E-3</v>
      </c>
      <c r="M16" s="186">
        <f t="shared" si="0"/>
        <v>94.852500000000006</v>
      </c>
    </row>
    <row r="17" spans="2:16" ht="12" customHeight="1">
      <c r="B17" s="151" t="s">
        <v>141</v>
      </c>
      <c r="C17" s="151" t="s">
        <v>142</v>
      </c>
      <c r="D17" s="151" t="s">
        <v>144</v>
      </c>
      <c r="E17" s="151" t="s">
        <v>133</v>
      </c>
      <c r="F17" s="151" t="s">
        <v>134</v>
      </c>
      <c r="J17" s="175" t="str">
        <f>+C45</f>
        <v>ABASTECIMIENTO DEL PACIFICO S.A.</v>
      </c>
      <c r="K17" s="175"/>
      <c r="L17" s="176">
        <f>+D45+D49+D51</f>
        <v>1.0500000000000001E-2</v>
      </c>
      <c r="M17" s="186">
        <f t="shared" si="0"/>
        <v>398.38050000000004</v>
      </c>
    </row>
    <row r="18" spans="2:16" ht="12" customHeight="1">
      <c r="B18" s="152">
        <v>1</v>
      </c>
      <c r="C18" s="152" t="s">
        <v>145</v>
      </c>
      <c r="D18" s="152">
        <v>1.25E-3</v>
      </c>
      <c r="E18" s="151">
        <v>47.426000000000002</v>
      </c>
      <c r="F18" s="151">
        <v>47.426000000000002</v>
      </c>
      <c r="J18" s="175" t="str">
        <f>+C48</f>
        <v>ERIC ARACENA REYNUABA</v>
      </c>
      <c r="K18" s="175"/>
      <c r="L18" s="176">
        <f>+D48</f>
        <v>4.0000000000000001E-3</v>
      </c>
      <c r="M18" s="186">
        <f t="shared" si="0"/>
        <v>151.76400000000001</v>
      </c>
    </row>
    <row r="19" spans="2:16" ht="12" customHeight="1">
      <c r="B19" s="152">
        <v>2</v>
      </c>
      <c r="C19" s="152" t="s">
        <v>146</v>
      </c>
      <c r="D19" s="152">
        <v>1.25E-3</v>
      </c>
      <c r="E19" s="151">
        <v>47.426000000000002</v>
      </c>
      <c r="F19" s="151">
        <v>47.426000000000002</v>
      </c>
      <c r="J19" s="141" t="str">
        <f>+C52</f>
        <v>GIULLIANO REYNUABA SALAS</v>
      </c>
      <c r="K19" s="141"/>
      <c r="L19" s="149">
        <f>+D52</f>
        <v>4.0000000000000001E-3</v>
      </c>
      <c r="M19" s="186">
        <f>+(K19+L19)*$K$1</f>
        <v>151.76400000000001</v>
      </c>
    </row>
    <row r="20" spans="2:16" ht="12" customHeight="1">
      <c r="B20" s="152">
        <v>3</v>
      </c>
      <c r="C20" s="152" t="s">
        <v>146</v>
      </c>
      <c r="D20" s="152">
        <v>1.25E-3</v>
      </c>
      <c r="E20" s="151">
        <v>47.426000000000002</v>
      </c>
      <c r="F20" s="151">
        <v>47.426000000000002</v>
      </c>
      <c r="J20" s="193" t="s">
        <v>13</v>
      </c>
      <c r="K20" s="193">
        <f>SUM(K3:K19)</f>
        <v>0.85</v>
      </c>
      <c r="L20" s="193">
        <f t="shared" ref="L20:M20" si="2">SUM(L3:L19)</f>
        <v>0.15000000000000002</v>
      </c>
      <c r="M20" s="193">
        <f t="shared" si="2"/>
        <v>37941.000000000007</v>
      </c>
    </row>
    <row r="21" spans="2:16" ht="12" customHeight="1">
      <c r="B21" s="152">
        <v>4</v>
      </c>
      <c r="C21" s="152" t="s">
        <v>145</v>
      </c>
      <c r="D21" s="152">
        <v>1.25E-3</v>
      </c>
      <c r="E21" s="151">
        <v>47.426000000000002</v>
      </c>
      <c r="F21" s="151">
        <v>47.426000000000002</v>
      </c>
      <c r="I21" s="177"/>
      <c r="J21" s="178"/>
      <c r="K21" s="178"/>
      <c r="L21" s="179"/>
      <c r="M21" s="180"/>
      <c r="N21" s="177"/>
      <c r="O21" s="177"/>
      <c r="P21" s="177"/>
    </row>
    <row r="22" spans="2:16" ht="12" customHeight="1">
      <c r="B22" s="152">
        <v>5</v>
      </c>
      <c r="C22" s="152" t="s">
        <v>146</v>
      </c>
      <c r="D22" s="152">
        <v>1.25E-3</v>
      </c>
      <c r="E22" s="151">
        <v>47.426000000000002</v>
      </c>
      <c r="F22" s="151">
        <v>47.426000000000002</v>
      </c>
      <c r="I22" s="801"/>
      <c r="J22" s="801"/>
      <c r="K22" s="801"/>
      <c r="L22" s="181"/>
      <c r="M22" s="180"/>
      <c r="N22" s="177"/>
      <c r="O22" s="177"/>
      <c r="P22" s="177"/>
    </row>
    <row r="23" spans="2:16" ht="12" customHeight="1">
      <c r="B23" s="152">
        <v>6</v>
      </c>
      <c r="C23" s="152" t="s">
        <v>147</v>
      </c>
      <c r="D23" s="152">
        <v>1.25E-3</v>
      </c>
      <c r="E23" s="151">
        <v>47.426000000000002</v>
      </c>
      <c r="F23" s="151">
        <v>47.426000000000002</v>
      </c>
      <c r="I23" s="177"/>
      <c r="J23" s="177"/>
      <c r="K23" s="177"/>
      <c r="L23" s="181"/>
      <c r="M23" s="180"/>
      <c r="N23" s="177"/>
      <c r="O23" s="177"/>
      <c r="P23" s="177"/>
    </row>
    <row r="24" spans="2:16" ht="12" customHeight="1">
      <c r="B24" s="152">
        <v>7</v>
      </c>
      <c r="C24" s="152" t="s">
        <v>146</v>
      </c>
      <c r="D24" s="152">
        <v>1.25E-3</v>
      </c>
      <c r="E24" s="151">
        <v>47.426000000000002</v>
      </c>
      <c r="F24" s="151">
        <v>47.426000000000002</v>
      </c>
      <c r="I24" s="177"/>
      <c r="J24" s="177"/>
      <c r="K24" s="177"/>
      <c r="L24" s="181"/>
      <c r="M24" s="180"/>
      <c r="N24" s="177"/>
      <c r="O24" s="177"/>
      <c r="P24" s="177"/>
    </row>
    <row r="25" spans="2:16" ht="12" customHeight="1">
      <c r="B25" s="152">
        <v>8</v>
      </c>
      <c r="C25" s="152" t="s">
        <v>145</v>
      </c>
      <c r="D25" s="152">
        <v>1.25E-3</v>
      </c>
      <c r="E25" s="151">
        <v>47.426000000000002</v>
      </c>
      <c r="F25" s="151">
        <v>47.426000000000002</v>
      </c>
    </row>
    <row r="26" spans="2:16" ht="12" customHeight="1">
      <c r="B26" s="152">
        <v>9</v>
      </c>
      <c r="C26" s="152" t="s">
        <v>145</v>
      </c>
      <c r="D26" s="152">
        <v>2E-3</v>
      </c>
      <c r="E26" s="151">
        <v>75.882000000000005</v>
      </c>
      <c r="F26" s="151">
        <v>75.882000000000005</v>
      </c>
      <c r="L26" s="150"/>
    </row>
    <row r="27" spans="2:16" ht="12" customHeight="1">
      <c r="B27" s="152">
        <v>10</v>
      </c>
      <c r="C27" s="152" t="s">
        <v>145</v>
      </c>
      <c r="D27" s="152">
        <v>2E-3</v>
      </c>
      <c r="E27" s="151">
        <v>75.882000000000005</v>
      </c>
      <c r="F27" s="151">
        <v>75.882000000000005</v>
      </c>
      <c r="L27" s="174"/>
    </row>
    <row r="28" spans="2:16" ht="12" customHeight="1">
      <c r="B28" s="152">
        <v>11</v>
      </c>
      <c r="C28" s="152" t="s">
        <v>145</v>
      </c>
      <c r="D28" s="152">
        <v>2E-3</v>
      </c>
      <c r="E28" s="151">
        <v>75.882000000000005</v>
      </c>
      <c r="F28" s="151">
        <v>75.882000000000005</v>
      </c>
      <c r="L28" s="150"/>
    </row>
    <row r="29" spans="2:16" ht="12" customHeight="1">
      <c r="B29" s="152">
        <v>12</v>
      </c>
      <c r="C29" s="152" t="s">
        <v>146</v>
      </c>
      <c r="D29" s="152">
        <v>2E-3</v>
      </c>
      <c r="E29" s="151">
        <v>75.882000000000005</v>
      </c>
      <c r="F29" s="151">
        <v>75.882000000000005</v>
      </c>
      <c r="L29" s="150"/>
    </row>
    <row r="30" spans="2:16" ht="12" customHeight="1">
      <c r="B30" s="152">
        <v>13</v>
      </c>
      <c r="C30" s="152" t="s">
        <v>146</v>
      </c>
      <c r="D30" s="152">
        <v>2E-3</v>
      </c>
      <c r="E30" s="151">
        <v>75.882000000000005</v>
      </c>
      <c r="F30" s="151">
        <v>75.882000000000005</v>
      </c>
      <c r="L30" s="150"/>
    </row>
    <row r="31" spans="2:16" ht="12" customHeight="1">
      <c r="B31" s="153">
        <v>14</v>
      </c>
      <c r="C31" s="153" t="s">
        <v>24</v>
      </c>
      <c r="D31" s="153">
        <v>3.0000000000000001E-3</v>
      </c>
      <c r="E31" s="151">
        <v>113.82299999999999</v>
      </c>
      <c r="F31" s="151">
        <v>113.82299999999999</v>
      </c>
    </row>
    <row r="32" spans="2:16" ht="12" customHeight="1">
      <c r="B32" s="153">
        <v>15</v>
      </c>
      <c r="C32" s="153" t="s">
        <v>24</v>
      </c>
      <c r="D32" s="153">
        <v>3.0000000000000001E-3</v>
      </c>
      <c r="E32" s="151">
        <v>113.82299999999999</v>
      </c>
      <c r="F32" s="151">
        <v>113.82299999999999</v>
      </c>
    </row>
    <row r="33" spans="2:6" ht="12" customHeight="1">
      <c r="B33" s="153">
        <v>16</v>
      </c>
      <c r="C33" s="153" t="s">
        <v>24</v>
      </c>
      <c r="D33" s="153">
        <v>3.0000000000000001E-3</v>
      </c>
      <c r="E33" s="151">
        <v>113.82299999999999</v>
      </c>
      <c r="F33" s="151">
        <v>113.82299999999999</v>
      </c>
    </row>
    <row r="34" spans="2:6" ht="12" customHeight="1">
      <c r="B34" s="153">
        <v>17</v>
      </c>
      <c r="C34" s="153" t="s">
        <v>24</v>
      </c>
      <c r="D34" s="153">
        <v>3.0000000000000001E-3</v>
      </c>
      <c r="E34" s="151">
        <v>113.82299999999999</v>
      </c>
      <c r="F34" s="151">
        <v>113.82299999999999</v>
      </c>
    </row>
    <row r="35" spans="2:6" ht="12" customHeight="1">
      <c r="B35" s="153">
        <v>18</v>
      </c>
      <c r="C35" s="153" t="s">
        <v>24</v>
      </c>
      <c r="D35" s="153">
        <v>3.0000000000000001E-3</v>
      </c>
      <c r="E35" s="151">
        <v>113.82299999999999</v>
      </c>
      <c r="F35" s="151">
        <v>113.82299999999999</v>
      </c>
    </row>
    <row r="36" spans="2:6" ht="12" customHeight="1">
      <c r="B36" s="153">
        <v>19</v>
      </c>
      <c r="C36" s="153" t="s">
        <v>24</v>
      </c>
      <c r="D36" s="153">
        <v>3.5000000000000001E-3</v>
      </c>
      <c r="E36" s="151">
        <v>132.79400000000001</v>
      </c>
      <c r="F36" s="151">
        <v>132.79400000000001</v>
      </c>
    </row>
    <row r="37" spans="2:6" ht="12" customHeight="1">
      <c r="B37" s="154">
        <v>20</v>
      </c>
      <c r="C37" s="154" t="s">
        <v>23</v>
      </c>
      <c r="D37" s="154">
        <v>3.5000000000000001E-3</v>
      </c>
      <c r="E37" s="151">
        <v>132.79400000000001</v>
      </c>
      <c r="F37" s="151">
        <v>132.79400000000001</v>
      </c>
    </row>
    <row r="38" spans="2:6" ht="12" customHeight="1">
      <c r="B38" s="154">
        <v>21</v>
      </c>
      <c r="C38" s="154" t="s">
        <v>23</v>
      </c>
      <c r="D38" s="154">
        <v>4.0000000000000001E-3</v>
      </c>
      <c r="E38" s="151">
        <v>151.76400000000001</v>
      </c>
      <c r="F38" s="151">
        <v>151.76400000000001</v>
      </c>
    </row>
    <row r="39" spans="2:6" ht="12" customHeight="1">
      <c r="B39" s="154">
        <v>22</v>
      </c>
      <c r="C39" s="154" t="s">
        <v>23</v>
      </c>
      <c r="D39" s="154">
        <v>4.0000000000000001E-3</v>
      </c>
      <c r="E39" s="151">
        <v>151.76400000000001</v>
      </c>
      <c r="F39" s="151">
        <v>151.76400000000001</v>
      </c>
    </row>
    <row r="40" spans="2:6" ht="12" customHeight="1">
      <c r="B40" s="155">
        <v>1</v>
      </c>
      <c r="C40" s="155" t="s">
        <v>148</v>
      </c>
      <c r="D40" s="155">
        <v>2.5000000000000001E-3</v>
      </c>
      <c r="E40" s="151">
        <v>94.852999999999994</v>
      </c>
      <c r="F40" s="151">
        <v>94.852999999999994</v>
      </c>
    </row>
    <row r="41" spans="2:6" ht="12" customHeight="1">
      <c r="B41" s="151">
        <v>2</v>
      </c>
      <c r="C41" s="151" t="s">
        <v>149</v>
      </c>
      <c r="D41" s="151">
        <v>2.5000000000000001E-3</v>
      </c>
      <c r="E41" s="151">
        <v>94.852999999999994</v>
      </c>
      <c r="F41" s="151">
        <v>94.852999999999994</v>
      </c>
    </row>
    <row r="42" spans="2:6" ht="12" customHeight="1">
      <c r="B42" s="151">
        <v>3</v>
      </c>
      <c r="C42" s="151" t="s">
        <v>149</v>
      </c>
      <c r="D42" s="151">
        <v>2.5000000000000001E-3</v>
      </c>
      <c r="E42" s="151">
        <v>94.852999999999994</v>
      </c>
      <c r="F42" s="151">
        <v>94.852999999999994</v>
      </c>
    </row>
    <row r="43" spans="2:6" ht="12" customHeight="1">
      <c r="B43" s="156">
        <v>4</v>
      </c>
      <c r="C43" s="156" t="s">
        <v>149</v>
      </c>
      <c r="D43" s="156">
        <v>2.5000000000000001E-3</v>
      </c>
      <c r="E43" s="151">
        <v>94.852999999999994</v>
      </c>
      <c r="F43" s="151">
        <v>94.852999999999994</v>
      </c>
    </row>
    <row r="44" spans="2:6" ht="12" customHeight="1">
      <c r="B44" s="157">
        <v>5</v>
      </c>
      <c r="C44" s="157" t="s">
        <v>150</v>
      </c>
      <c r="D44" s="157">
        <v>2.5000000000000001E-3</v>
      </c>
      <c r="E44" s="151">
        <v>94.852999999999994</v>
      </c>
      <c r="F44" s="151">
        <v>94.852999999999994</v>
      </c>
    </row>
    <row r="45" spans="2:6" ht="12" customHeight="1">
      <c r="B45" s="158">
        <v>6</v>
      </c>
      <c r="C45" s="158" t="s">
        <v>151</v>
      </c>
      <c r="D45" s="158">
        <v>2.5000000000000001E-3</v>
      </c>
      <c r="E45" s="151">
        <v>94.852999999999994</v>
      </c>
      <c r="F45" s="151">
        <v>94.852999999999994</v>
      </c>
    </row>
    <row r="46" spans="2:6" ht="12" customHeight="1">
      <c r="B46" s="159">
        <v>7</v>
      </c>
      <c r="C46" s="159" t="s">
        <v>148</v>
      </c>
      <c r="D46" s="159">
        <v>2.5000000000000001E-3</v>
      </c>
      <c r="E46" s="151">
        <v>94.852999999999994</v>
      </c>
      <c r="F46" s="151">
        <v>94.852999999999994</v>
      </c>
    </row>
    <row r="47" spans="2:6" ht="12" customHeight="1">
      <c r="B47" s="159">
        <v>8</v>
      </c>
      <c r="C47" s="159" t="s">
        <v>148</v>
      </c>
      <c r="D47" s="159">
        <v>2.5000000000000001E-3</v>
      </c>
      <c r="E47" s="151">
        <v>94.852999999999994</v>
      </c>
      <c r="F47" s="151">
        <v>94.852999999999994</v>
      </c>
    </row>
    <row r="48" spans="2:6" ht="12" customHeight="1">
      <c r="B48" s="160">
        <v>9</v>
      </c>
      <c r="C48" s="160" t="s">
        <v>152</v>
      </c>
      <c r="D48" s="160">
        <v>4.0000000000000001E-3</v>
      </c>
      <c r="E48" s="151">
        <v>151.76400000000001</v>
      </c>
      <c r="F48" s="151">
        <v>151.76400000000001</v>
      </c>
    </row>
    <row r="49" spans="2:6" ht="12" customHeight="1">
      <c r="B49" s="158">
        <v>10</v>
      </c>
      <c r="C49" s="158" t="s">
        <v>151</v>
      </c>
      <c r="D49" s="158">
        <v>4.0000000000000001E-3</v>
      </c>
      <c r="E49" s="151">
        <v>151.76400000000001</v>
      </c>
      <c r="F49" s="151">
        <v>151.76400000000001</v>
      </c>
    </row>
    <row r="50" spans="2:6" ht="12" customHeight="1">
      <c r="B50" s="155">
        <v>11</v>
      </c>
      <c r="C50" s="155" t="s">
        <v>148</v>
      </c>
      <c r="D50" s="155">
        <v>4.0000000000000001E-3</v>
      </c>
      <c r="E50" s="151">
        <v>151.76400000000001</v>
      </c>
      <c r="F50" s="151">
        <v>151.76400000000001</v>
      </c>
    </row>
    <row r="51" spans="2:6" ht="12" customHeight="1">
      <c r="B51" s="158">
        <v>12</v>
      </c>
      <c r="C51" s="158" t="s">
        <v>151</v>
      </c>
      <c r="D51" s="158">
        <v>4.0000000000000001E-3</v>
      </c>
      <c r="E51" s="151">
        <v>151.76400000000001</v>
      </c>
      <c r="F51" s="151">
        <v>151.76400000000001</v>
      </c>
    </row>
    <row r="52" spans="2:6" ht="12" customHeight="1">
      <c r="B52" s="151">
        <v>13</v>
      </c>
      <c r="C52" s="151" t="s">
        <v>153</v>
      </c>
      <c r="D52" s="151">
        <v>4.0000000000000001E-3</v>
      </c>
      <c r="E52" s="151">
        <v>151.76400000000001</v>
      </c>
      <c r="F52" s="151">
        <v>151.76400000000001</v>
      </c>
    </row>
    <row r="53" spans="2:6" ht="12" customHeight="1">
      <c r="B53" s="154">
        <v>14</v>
      </c>
      <c r="C53" s="154" t="s">
        <v>23</v>
      </c>
      <c r="D53" s="154">
        <v>6.0000000000000001E-3</v>
      </c>
      <c r="E53" s="151">
        <v>227.64599999999999</v>
      </c>
      <c r="F53" s="151">
        <v>227.64599999999999</v>
      </c>
    </row>
    <row r="54" spans="2:6" ht="12" customHeight="1">
      <c r="B54" s="154">
        <v>15</v>
      </c>
      <c r="C54" s="154" t="s">
        <v>23</v>
      </c>
      <c r="D54" s="154">
        <v>6.0000000000000001E-3</v>
      </c>
      <c r="E54" s="151">
        <v>227.64599999999999</v>
      </c>
      <c r="F54" s="151">
        <v>227.64599999999999</v>
      </c>
    </row>
    <row r="55" spans="2:6" ht="12" customHeight="1">
      <c r="B55" s="161">
        <v>16</v>
      </c>
      <c r="C55" s="161" t="s">
        <v>154</v>
      </c>
      <c r="D55" s="161">
        <v>6.0000000000000001E-3</v>
      </c>
      <c r="E55" s="151">
        <v>227.64599999999999</v>
      </c>
      <c r="F55" s="151">
        <v>227.64599999999999</v>
      </c>
    </row>
    <row r="56" spans="2:6" ht="12" customHeight="1">
      <c r="B56" s="154">
        <v>17</v>
      </c>
      <c r="C56" s="154" t="s">
        <v>23</v>
      </c>
      <c r="D56" s="154">
        <v>6.0000000000000001E-3</v>
      </c>
      <c r="E56" s="151">
        <v>227.64599999999999</v>
      </c>
      <c r="F56" s="151">
        <v>227.64599999999999</v>
      </c>
    </row>
    <row r="57" spans="2:6" ht="12" customHeight="1">
      <c r="B57" s="154">
        <v>18</v>
      </c>
      <c r="C57" s="154" t="s">
        <v>23</v>
      </c>
      <c r="D57" s="154">
        <v>6.0000000000000001E-3</v>
      </c>
      <c r="E57" s="151">
        <v>227.64599999999999</v>
      </c>
      <c r="F57" s="151">
        <v>227.64599999999999</v>
      </c>
    </row>
    <row r="58" spans="2:6" ht="12" customHeight="1">
      <c r="B58" s="154">
        <v>19</v>
      </c>
      <c r="C58" s="154" t="s">
        <v>23</v>
      </c>
      <c r="D58" s="154">
        <v>7.0000000000000001E-3</v>
      </c>
      <c r="E58" s="151">
        <v>265.58699999999999</v>
      </c>
      <c r="F58" s="151">
        <v>265.58699999999999</v>
      </c>
    </row>
    <row r="59" spans="2:6" ht="12" customHeight="1">
      <c r="B59" s="154">
        <v>20</v>
      </c>
      <c r="C59" s="154" t="s">
        <v>23</v>
      </c>
      <c r="D59" s="154">
        <v>7.0000000000000001E-3</v>
      </c>
      <c r="E59" s="151">
        <v>265.58699999999999</v>
      </c>
      <c r="F59" s="151">
        <v>265.58699999999999</v>
      </c>
    </row>
    <row r="60" spans="2:6" ht="12" customHeight="1">
      <c r="B60" s="162">
        <v>21</v>
      </c>
      <c r="C60" s="162" t="s">
        <v>155</v>
      </c>
      <c r="D60" s="162">
        <v>8.0000000000000002E-3</v>
      </c>
      <c r="E60" s="151">
        <v>303.52800000000002</v>
      </c>
      <c r="F60" s="151">
        <v>303.52800000000002</v>
      </c>
    </row>
    <row r="61" spans="2:6" ht="12" customHeight="1">
      <c r="B61" s="163">
        <v>22</v>
      </c>
      <c r="C61" s="163" t="s">
        <v>155</v>
      </c>
      <c r="D61" s="163">
        <v>8.0000000000000002E-3</v>
      </c>
      <c r="E61" s="151">
        <v>303.52800000000002</v>
      </c>
      <c r="F61" s="151">
        <v>303.52800000000002</v>
      </c>
    </row>
    <row r="62" spans="2:6">
      <c r="D62" s="173">
        <f>SUM(D18:D61)</f>
        <v>0.15000000000000011</v>
      </c>
      <c r="E62" s="141">
        <f>SUM(E18:E61)</f>
        <v>5691.1530000000021</v>
      </c>
    </row>
  </sheetData>
  <mergeCells count="2">
    <mergeCell ref="I3:I14"/>
    <mergeCell ref="I22:K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3"/>
  <sheetViews>
    <sheetView showGridLines="0" topLeftCell="A46" zoomScale="80" zoomScaleNormal="80" workbookViewId="0">
      <selection activeCell="D51" sqref="D51"/>
    </sheetView>
  </sheetViews>
  <sheetFormatPr baseColWidth="10" defaultColWidth="10.44140625" defaultRowHeight="12"/>
  <cols>
    <col min="1" max="2" width="10.44140625" style="21"/>
    <col min="3" max="3" width="6.6640625" style="21" customWidth="1"/>
    <col min="4" max="4" width="20" style="21" customWidth="1"/>
    <col min="5" max="13" width="10.44140625" style="21"/>
    <col min="14" max="14" width="10.44140625" style="653"/>
    <col min="15" max="15" width="10.44140625" style="211"/>
    <col min="16" max="16384" width="10.44140625" style="21"/>
  </cols>
  <sheetData>
    <row r="1" spans="1:17" s="194" customFormat="1" ht="24">
      <c r="A1" s="641" t="s">
        <v>156</v>
      </c>
      <c r="B1" s="641" t="s">
        <v>157</v>
      </c>
      <c r="C1" s="641" t="s">
        <v>158</v>
      </c>
      <c r="D1" s="641" t="s">
        <v>159</v>
      </c>
      <c r="E1" s="642" t="s">
        <v>160</v>
      </c>
      <c r="F1" s="641" t="s">
        <v>161</v>
      </c>
      <c r="G1" s="641" t="s">
        <v>162</v>
      </c>
      <c r="H1" s="643" t="s">
        <v>163</v>
      </c>
      <c r="I1" s="643" t="s">
        <v>164</v>
      </c>
      <c r="J1" s="643" t="s">
        <v>165</v>
      </c>
      <c r="K1" s="643" t="s">
        <v>166</v>
      </c>
      <c r="L1" s="644" t="s">
        <v>167</v>
      </c>
      <c r="M1" s="645" t="s">
        <v>168</v>
      </c>
      <c r="N1" s="646" t="s">
        <v>169</v>
      </c>
      <c r="O1" s="647" t="s">
        <v>170</v>
      </c>
      <c r="P1" s="23" t="s">
        <v>306</v>
      </c>
      <c r="Q1" s="23" t="s">
        <v>307</v>
      </c>
    </row>
    <row r="2" spans="1:17" ht="14.4">
      <c r="A2" s="195" t="s">
        <v>171</v>
      </c>
      <c r="B2" s="195" t="s">
        <v>172</v>
      </c>
      <c r="C2" s="195" t="s">
        <v>47</v>
      </c>
      <c r="D2" s="195" t="s">
        <v>131</v>
      </c>
      <c r="E2" s="22" t="str">
        <f>'Anchoveta-Sardina Española LTP'!D6</f>
        <v xml:space="preserve">ARICA SEAFOOD PRODUCER S.A. </v>
      </c>
      <c r="F2" s="22" t="s">
        <v>173</v>
      </c>
      <c r="G2" s="22" t="s">
        <v>174</v>
      </c>
      <c r="H2" s="22">
        <f>'Anchoveta-Sardina Española LTP'!F6</f>
        <v>3897.0630000000001</v>
      </c>
      <c r="I2" s="22">
        <f>'Anchoveta-Sardina Española LTP'!G6</f>
        <v>0</v>
      </c>
      <c r="J2" s="22">
        <f>'Anchoveta-Sardina Española LTP'!H6</f>
        <v>3897.0630000000001</v>
      </c>
      <c r="K2" s="22">
        <f>'Anchoveta-Sardina Española LTP'!I6</f>
        <v>0</v>
      </c>
      <c r="L2" s="22">
        <f>'Anchoveta-Sardina Española LTP'!J6</f>
        <v>3897.0630000000001</v>
      </c>
      <c r="M2" s="196">
        <f>'Anchoveta-Sardina Española LTP'!K6</f>
        <v>0</v>
      </c>
      <c r="N2" s="648" t="s">
        <v>43</v>
      </c>
      <c r="O2" s="197">
        <f>+'Anchoveta-Sardina Española LTP'!$C$3</f>
        <v>43740</v>
      </c>
      <c r="P2" s="346">
        <v>2019</v>
      </c>
      <c r="Q2" s="346"/>
    </row>
    <row r="3" spans="1:17" ht="14.4">
      <c r="A3" s="195" t="s">
        <v>171</v>
      </c>
      <c r="B3" s="195" t="s">
        <v>172</v>
      </c>
      <c r="C3" s="195" t="s">
        <v>47</v>
      </c>
      <c r="D3" s="195" t="s">
        <v>131</v>
      </c>
      <c r="E3" s="22" t="s">
        <v>63</v>
      </c>
      <c r="F3" s="22" t="s">
        <v>175</v>
      </c>
      <c r="G3" s="22" t="s">
        <v>176</v>
      </c>
      <c r="H3" s="22">
        <f>'Anchoveta-Sardina Española LTP'!F7</f>
        <v>1299.0160000000001</v>
      </c>
      <c r="I3" s="22">
        <f>'Anchoveta-Sardina Española LTP'!G7</f>
        <v>-4252.2640000000001</v>
      </c>
      <c r="J3" s="22">
        <f>'Anchoveta-Sardina Española LTP'!H7</f>
        <v>943.81500000000005</v>
      </c>
      <c r="K3" s="22">
        <f>'Anchoveta-Sardina Española LTP'!I7</f>
        <v>0</v>
      </c>
      <c r="L3" s="22">
        <f>'Anchoveta-Sardina Española LTP'!J7</f>
        <v>943.81500000000005</v>
      </c>
      <c r="M3" s="196">
        <f>'Anchoveta-Sardina Española LTP'!K7</f>
        <v>0</v>
      </c>
      <c r="N3" s="648" t="s">
        <v>43</v>
      </c>
      <c r="O3" s="197">
        <f>+'Anchoveta-Sardina Española LTP'!$C$3</f>
        <v>43740</v>
      </c>
      <c r="P3" s="346">
        <v>2019</v>
      </c>
      <c r="Q3" s="346"/>
    </row>
    <row r="4" spans="1:17" ht="14.4">
      <c r="A4" s="195" t="s">
        <v>171</v>
      </c>
      <c r="B4" s="195" t="s">
        <v>172</v>
      </c>
      <c r="C4" s="195" t="s">
        <v>47</v>
      </c>
      <c r="D4" s="195" t="s">
        <v>131</v>
      </c>
      <c r="E4" s="22" t="s">
        <v>63</v>
      </c>
      <c r="F4" s="22" t="s">
        <v>177</v>
      </c>
      <c r="G4" s="22" t="s">
        <v>176</v>
      </c>
      <c r="H4" s="22">
        <f t="shared" ref="H4:M4" si="0">SUM(H2:H3)</f>
        <v>5196.0789999999997</v>
      </c>
      <c r="I4" s="22">
        <f t="shared" si="0"/>
        <v>-4252.2640000000001</v>
      </c>
      <c r="J4" s="22">
        <f t="shared" si="0"/>
        <v>4840.8780000000006</v>
      </c>
      <c r="K4" s="22">
        <f t="shared" si="0"/>
        <v>0</v>
      </c>
      <c r="L4" s="22">
        <f t="shared" si="0"/>
        <v>4840.8780000000006</v>
      </c>
      <c r="M4" s="196">
        <f t="shared" si="0"/>
        <v>0</v>
      </c>
      <c r="N4" s="648" t="s">
        <v>43</v>
      </c>
      <c r="O4" s="197">
        <f>+'Anchoveta-Sardina Española LTP'!$C$3</f>
        <v>43740</v>
      </c>
      <c r="P4" s="346">
        <v>2019</v>
      </c>
      <c r="Q4" s="346"/>
    </row>
    <row r="5" spans="1:17" ht="14.4">
      <c r="A5" s="195" t="s">
        <v>171</v>
      </c>
      <c r="B5" s="195" t="s">
        <v>172</v>
      </c>
      <c r="C5" s="195" t="s">
        <v>47</v>
      </c>
      <c r="D5" s="195" t="s">
        <v>131</v>
      </c>
      <c r="E5" s="22" t="str">
        <f>'Anchoveta-Sardina Española LTP'!D8</f>
        <v xml:space="preserve">CAMANCHACA S.A. CIA. PESQ    </v>
      </c>
      <c r="F5" s="22" t="s">
        <v>173</v>
      </c>
      <c r="G5" s="22" t="s">
        <v>174</v>
      </c>
      <c r="H5" s="22">
        <f>'Anchoveta-Sardina Española LTP'!F8</f>
        <v>94151.356</v>
      </c>
      <c r="I5" s="22">
        <f>'Anchoveta-Sardina Española LTP'!G8</f>
        <v>0</v>
      </c>
      <c r="J5" s="22">
        <f>'Anchoveta-Sardina Española LTP'!H8</f>
        <v>94151.356</v>
      </c>
      <c r="K5" s="22">
        <f>'Anchoveta-Sardina Española LTP'!I8</f>
        <v>47379.327000000005</v>
      </c>
      <c r="L5" s="22">
        <f>'Anchoveta-Sardina Española LTP'!J8</f>
        <v>46772.028999999995</v>
      </c>
      <c r="M5" s="196">
        <f>'Anchoveta-Sardina Española LTP'!K8</f>
        <v>0.50322511552568616</v>
      </c>
      <c r="N5" s="648" t="s">
        <v>43</v>
      </c>
      <c r="O5" s="197">
        <f>+'Anchoveta-Sardina Española LTP'!$C$3</f>
        <v>43740</v>
      </c>
      <c r="P5" s="346">
        <v>2019</v>
      </c>
      <c r="Q5" s="346"/>
    </row>
    <row r="6" spans="1:17" ht="14.4">
      <c r="A6" s="195" t="s">
        <v>171</v>
      </c>
      <c r="B6" s="195" t="s">
        <v>172</v>
      </c>
      <c r="C6" s="195" t="s">
        <v>47</v>
      </c>
      <c r="D6" s="195" t="s">
        <v>131</v>
      </c>
      <c r="E6" s="22" t="str">
        <f>'Anchoveta-Sardina Española LTP'!D8</f>
        <v xml:space="preserve">CAMANCHACA S.A. CIA. PESQ    </v>
      </c>
      <c r="F6" s="22" t="s">
        <v>175</v>
      </c>
      <c r="G6" s="22" t="s">
        <v>176</v>
      </c>
      <c r="H6" s="22">
        <f>'Anchoveta-Sardina Española LTP'!F9</f>
        <v>31383.651999999998</v>
      </c>
      <c r="I6" s="22">
        <f>'Anchoveta-Sardina Española LTP'!G9</f>
        <v>0</v>
      </c>
      <c r="J6" s="22">
        <f>'Anchoveta-Sardina Española LTP'!H9</f>
        <v>78155.680999999997</v>
      </c>
      <c r="K6" s="22">
        <f>'Anchoveta-Sardina Española LTP'!I9</f>
        <v>17976.174999999992</v>
      </c>
      <c r="L6" s="22">
        <f>'Anchoveta-Sardina Española LTP'!J9</f>
        <v>60179.506000000008</v>
      </c>
      <c r="M6" s="196">
        <f>'Anchoveta-Sardina Española LTP'!K9</f>
        <v>0.23000471328501371</v>
      </c>
      <c r="N6" s="648" t="s">
        <v>43</v>
      </c>
      <c r="O6" s="197">
        <f>+'Anchoveta-Sardina Española LTP'!$C$3</f>
        <v>43740</v>
      </c>
      <c r="P6" s="346">
        <v>2019</v>
      </c>
      <c r="Q6" s="346"/>
    </row>
    <row r="7" spans="1:17" ht="14.4">
      <c r="A7" s="195" t="s">
        <v>171</v>
      </c>
      <c r="B7" s="195" t="s">
        <v>172</v>
      </c>
      <c r="C7" s="195" t="s">
        <v>47</v>
      </c>
      <c r="D7" s="195" t="s">
        <v>131</v>
      </c>
      <c r="E7" s="22" t="str">
        <f>'Anchoveta-Sardina Española LTP'!D8</f>
        <v xml:space="preserve">CAMANCHACA S.A. CIA. PESQ    </v>
      </c>
      <c r="F7" s="22" t="s">
        <v>177</v>
      </c>
      <c r="G7" s="22" t="s">
        <v>176</v>
      </c>
      <c r="H7" s="22">
        <f t="shared" ref="H7:M7" si="1">SUM(H5:H6)</f>
        <v>125535.008</v>
      </c>
      <c r="I7" s="22">
        <f t="shared" si="1"/>
        <v>0</v>
      </c>
      <c r="J7" s="22">
        <f t="shared" si="1"/>
        <v>172307.03700000001</v>
      </c>
      <c r="K7" s="22">
        <f t="shared" si="1"/>
        <v>65355.501999999993</v>
      </c>
      <c r="L7" s="22">
        <f t="shared" si="1"/>
        <v>106951.535</v>
      </c>
      <c r="M7" s="196">
        <f t="shared" si="1"/>
        <v>0.73322982881069987</v>
      </c>
      <c r="N7" s="648" t="s">
        <v>43</v>
      </c>
      <c r="O7" s="197">
        <f>+'Anchoveta-Sardina Española LTP'!$C$3</f>
        <v>43740</v>
      </c>
      <c r="P7" s="346">
        <v>2019</v>
      </c>
    </row>
    <row r="8" spans="1:17" ht="14.4">
      <c r="A8" s="195" t="s">
        <v>171</v>
      </c>
      <c r="B8" s="195" t="s">
        <v>172</v>
      </c>
      <c r="C8" s="195" t="s">
        <v>47</v>
      </c>
      <c r="D8" s="195" t="s">
        <v>131</v>
      </c>
      <c r="E8" s="22" t="s">
        <v>66</v>
      </c>
      <c r="F8" s="22" t="s">
        <v>173</v>
      </c>
      <c r="G8" s="22" t="s">
        <v>174</v>
      </c>
      <c r="H8" s="22">
        <f>'Anchoveta-Sardina Española LTP'!F10</f>
        <v>9438.16</v>
      </c>
      <c r="I8" s="22">
        <f>'Anchoveta-Sardina Española LTP'!G10</f>
        <v>-4404.47</v>
      </c>
      <c r="J8" s="22">
        <f>'Anchoveta-Sardina Española LTP'!H10</f>
        <v>5033.6899999999996</v>
      </c>
      <c r="K8" s="22">
        <f>'Anchoveta-Sardina Española LTP'!I10</f>
        <v>0</v>
      </c>
      <c r="L8" s="22">
        <f>'Anchoveta-Sardina Española LTP'!J10</f>
        <v>5033.6899999999996</v>
      </c>
      <c r="M8" s="196">
        <f>'Anchoveta-Sardina Española LTP'!K10</f>
        <v>0</v>
      </c>
      <c r="N8" s="648" t="s">
        <v>43</v>
      </c>
      <c r="O8" s="197">
        <f>+'Anchoveta-Sardina Española LTP'!$C$3</f>
        <v>43740</v>
      </c>
      <c r="P8" s="346">
        <v>2019</v>
      </c>
    </row>
    <row r="9" spans="1:17" ht="14.4">
      <c r="A9" s="195" t="s">
        <v>171</v>
      </c>
      <c r="B9" s="195" t="s">
        <v>172</v>
      </c>
      <c r="C9" s="195" t="s">
        <v>47</v>
      </c>
      <c r="D9" s="195" t="s">
        <v>131</v>
      </c>
      <c r="E9" s="22" t="str">
        <f>'Anchoveta-Sardina Española LTP'!D10</f>
        <v>SERVICIOS INDUSTRIALES LO ROJAS LTDA</v>
      </c>
      <c r="F9" s="22" t="s">
        <v>175</v>
      </c>
      <c r="G9" s="22" t="s">
        <v>176</v>
      </c>
      <c r="H9" s="22">
        <f>'Anchoveta-Sardina Española LTP'!F11</f>
        <v>3146.04</v>
      </c>
      <c r="I9" s="22">
        <f>'Anchoveta-Sardina Española LTP'!G11</f>
        <v>0</v>
      </c>
      <c r="J9" s="22">
        <f>'Anchoveta-Sardina Española LTP'!H11</f>
        <v>8179.73</v>
      </c>
      <c r="K9" s="22">
        <f>'Anchoveta-Sardina Española LTP'!I11</f>
        <v>0</v>
      </c>
      <c r="L9" s="22">
        <f>'Anchoveta-Sardina Española LTP'!J11</f>
        <v>8179.73</v>
      </c>
      <c r="M9" s="196">
        <f>'Anchoveta-Sardina Española LTP'!K11</f>
        <v>0</v>
      </c>
      <c r="N9" s="648" t="s">
        <v>43</v>
      </c>
      <c r="O9" s="197">
        <f>+'Anchoveta-Sardina Española LTP'!$C$3</f>
        <v>43740</v>
      </c>
      <c r="P9" s="346">
        <v>2019</v>
      </c>
    </row>
    <row r="10" spans="1:17" ht="14.4">
      <c r="A10" s="195" t="s">
        <v>171</v>
      </c>
      <c r="B10" s="195" t="s">
        <v>172</v>
      </c>
      <c r="C10" s="195" t="s">
        <v>47</v>
      </c>
      <c r="D10" s="195" t="s">
        <v>131</v>
      </c>
      <c r="E10" s="22" t="str">
        <f>'Anchoveta-Sardina Española LTP'!D10</f>
        <v>SERVICIOS INDUSTRIALES LO ROJAS LTDA</v>
      </c>
      <c r="F10" s="22" t="s">
        <v>177</v>
      </c>
      <c r="G10" s="22" t="s">
        <v>176</v>
      </c>
      <c r="H10" s="22">
        <f t="shared" ref="H10:M10" si="2">SUM(H8:H9)</f>
        <v>12584.2</v>
      </c>
      <c r="I10" s="22">
        <f t="shared" si="2"/>
        <v>-4404.47</v>
      </c>
      <c r="J10" s="22">
        <f t="shared" si="2"/>
        <v>13213.419999999998</v>
      </c>
      <c r="K10" s="22">
        <f t="shared" si="2"/>
        <v>0</v>
      </c>
      <c r="L10" s="22">
        <f t="shared" si="2"/>
        <v>13213.419999999998</v>
      </c>
      <c r="M10" s="196">
        <f t="shared" si="2"/>
        <v>0</v>
      </c>
      <c r="N10" s="648" t="s">
        <v>43</v>
      </c>
      <c r="O10" s="197">
        <f>+'Anchoveta-Sardina Española LTP'!$C$3</f>
        <v>43740</v>
      </c>
      <c r="P10" s="346">
        <v>2019</v>
      </c>
    </row>
    <row r="11" spans="1:17" ht="14.4">
      <c r="A11" s="195" t="s">
        <v>171</v>
      </c>
      <c r="B11" s="195" t="s">
        <v>172</v>
      </c>
      <c r="C11" s="195" t="s">
        <v>47</v>
      </c>
      <c r="D11" s="195" t="s">
        <v>131</v>
      </c>
      <c r="E11" s="22" t="str">
        <f>'Anchoveta-Sardina Española LTP'!D12</f>
        <v>PROCESOS MTECNOLOGICOS DEL BIO BIO SpA</v>
      </c>
      <c r="F11" s="22" t="s">
        <v>173</v>
      </c>
      <c r="G11" s="22" t="s">
        <v>174</v>
      </c>
      <c r="H11" s="22">
        <f>'Anchoveta-Sardina Española LTP'!F12</f>
        <v>7786.4819999999991</v>
      </c>
      <c r="I11" s="22">
        <f>'Anchoveta-Sardina Española LTP'!G12</f>
        <v>0</v>
      </c>
      <c r="J11" s="22">
        <f>'Anchoveta-Sardina Española LTP'!H12</f>
        <v>7786.4819999999991</v>
      </c>
      <c r="K11" s="22">
        <f>'Anchoveta-Sardina Española LTP'!I12</f>
        <v>0</v>
      </c>
      <c r="L11" s="22">
        <f>'Anchoveta-Sardina Española LTP'!J12</f>
        <v>7786.4819999999991</v>
      </c>
      <c r="M11" s="196">
        <f>'Anchoveta-Sardina Española LTP'!K12</f>
        <v>0</v>
      </c>
      <c r="N11" s="648" t="s">
        <v>43</v>
      </c>
      <c r="O11" s="197">
        <f>+'Anchoveta-Sardina Española LTP'!$C$3</f>
        <v>43740</v>
      </c>
      <c r="P11" s="346">
        <v>2019</v>
      </c>
    </row>
    <row r="12" spans="1:17" ht="14.4">
      <c r="A12" s="195" t="s">
        <v>171</v>
      </c>
      <c r="B12" s="195" t="s">
        <v>172</v>
      </c>
      <c r="C12" s="195" t="s">
        <v>47</v>
      </c>
      <c r="D12" s="195" t="s">
        <v>131</v>
      </c>
      <c r="E12" s="22" t="str">
        <f>'Anchoveta-Sardina Española LTP'!D12</f>
        <v>PROCESOS MTECNOLOGICOS DEL BIO BIO SpA</v>
      </c>
      <c r="F12" s="22" t="s">
        <v>175</v>
      </c>
      <c r="G12" s="22" t="s">
        <v>176</v>
      </c>
      <c r="H12" s="22">
        <f>'Anchoveta-Sardina Española LTP'!F13</f>
        <v>2595.4830000000002</v>
      </c>
      <c r="I12" s="22">
        <f>'Anchoveta-Sardina Española LTP'!G13</f>
        <v>0</v>
      </c>
      <c r="J12" s="22">
        <f>'Anchoveta-Sardina Española LTP'!H13</f>
        <v>10381.965</v>
      </c>
      <c r="K12" s="22">
        <f>'Anchoveta-Sardina Española LTP'!I13</f>
        <v>0</v>
      </c>
      <c r="L12" s="22">
        <f>'Anchoveta-Sardina Española LTP'!J13</f>
        <v>10381.965</v>
      </c>
      <c r="M12" s="196">
        <f>'Anchoveta-Sardina Española LTP'!K13</f>
        <v>0</v>
      </c>
      <c r="N12" s="648" t="s">
        <v>43</v>
      </c>
      <c r="O12" s="197">
        <f>+'Anchoveta-Sardina Española LTP'!$C$3</f>
        <v>43740</v>
      </c>
      <c r="P12" s="346">
        <v>2019</v>
      </c>
    </row>
    <row r="13" spans="1:17" ht="14.4">
      <c r="A13" s="195" t="s">
        <v>171</v>
      </c>
      <c r="B13" s="195" t="s">
        <v>172</v>
      </c>
      <c r="C13" s="195" t="s">
        <v>47</v>
      </c>
      <c r="D13" s="195" t="s">
        <v>131</v>
      </c>
      <c r="E13" s="22" t="str">
        <f>'Anchoveta-Sardina Española LTP'!D12</f>
        <v>PROCESOS MTECNOLOGICOS DEL BIO BIO SpA</v>
      </c>
      <c r="F13" s="22" t="s">
        <v>177</v>
      </c>
      <c r="G13" s="22" t="s">
        <v>176</v>
      </c>
      <c r="H13" s="22">
        <f t="shared" ref="H13:M13" si="3">SUM(H11:H12)</f>
        <v>10381.965</v>
      </c>
      <c r="I13" s="22">
        <f t="shared" si="3"/>
        <v>0</v>
      </c>
      <c r="J13" s="22">
        <f t="shared" si="3"/>
        <v>18168.447</v>
      </c>
      <c r="K13" s="22">
        <f t="shared" si="3"/>
        <v>0</v>
      </c>
      <c r="L13" s="22">
        <f t="shared" si="3"/>
        <v>18168.447</v>
      </c>
      <c r="M13" s="196">
        <f t="shared" si="3"/>
        <v>0</v>
      </c>
      <c r="N13" s="648" t="s">
        <v>43</v>
      </c>
      <c r="O13" s="197">
        <f>+'Anchoveta-Sardina Española LTP'!$C$3</f>
        <v>43740</v>
      </c>
      <c r="P13" s="346">
        <v>2019</v>
      </c>
    </row>
    <row r="14" spans="1:17" ht="14.4">
      <c r="A14" s="195" t="s">
        <v>171</v>
      </c>
      <c r="B14" s="195" t="s">
        <v>172</v>
      </c>
      <c r="C14" s="195" t="s">
        <v>47</v>
      </c>
      <c r="D14" s="195" t="s">
        <v>131</v>
      </c>
      <c r="E14" s="22" t="str">
        <f>'Anchoveta-Sardina Española LTP'!D14</f>
        <v xml:space="preserve">CORPESCA S.A                                           </v>
      </c>
      <c r="F14" s="22" t="s">
        <v>173</v>
      </c>
      <c r="G14" s="22" t="s">
        <v>174</v>
      </c>
      <c r="H14" s="22">
        <f>'Anchoveta-Sardina Española LTP'!F14</f>
        <v>356634.93800000002</v>
      </c>
      <c r="I14" s="22">
        <f>'Anchoveta-Sardina Española LTP'!G14</f>
        <v>-27000</v>
      </c>
      <c r="J14" s="22">
        <f>'Anchoveta-Sardina Española LTP'!H14</f>
        <v>329634.93800000002</v>
      </c>
      <c r="K14" s="22">
        <f>'Anchoveta-Sardina Española LTP'!I14</f>
        <v>211686.68299999976</v>
      </c>
      <c r="L14" s="22">
        <f>'Anchoveta-Sardina Española LTP'!J14</f>
        <v>117948.25500000027</v>
      </c>
      <c r="M14" s="196">
        <f>'Anchoveta-Sardina Española LTP'!K14</f>
        <v>0.64218521338899992</v>
      </c>
      <c r="N14" s="648" t="s">
        <v>43</v>
      </c>
      <c r="O14" s="197">
        <f>+'Anchoveta-Sardina Española LTP'!$C$3</f>
        <v>43740</v>
      </c>
      <c r="P14" s="346">
        <v>2019</v>
      </c>
    </row>
    <row r="15" spans="1:17" ht="14.4">
      <c r="A15" s="195" t="s">
        <v>171</v>
      </c>
      <c r="B15" s="195" t="s">
        <v>172</v>
      </c>
      <c r="C15" s="195" t="s">
        <v>47</v>
      </c>
      <c r="D15" s="195" t="s">
        <v>131</v>
      </c>
      <c r="E15" s="22" t="str">
        <f>'Anchoveta-Sardina Española LTP'!D14</f>
        <v xml:space="preserve">CORPESCA S.A                                           </v>
      </c>
      <c r="F15" s="22" t="s">
        <v>175</v>
      </c>
      <c r="G15" s="22" t="s">
        <v>176</v>
      </c>
      <c r="H15" s="22">
        <f>'Anchoveta-Sardina Española LTP'!F15</f>
        <v>118877.80899999999</v>
      </c>
      <c r="I15" s="22">
        <f>'Anchoveta-Sardina Española LTP'!G15</f>
        <v>-40000</v>
      </c>
      <c r="J15" s="22">
        <f>'Anchoveta-Sardina Española LTP'!H15</f>
        <v>196826.06400000025</v>
      </c>
      <c r="K15" s="22">
        <f>'Anchoveta-Sardina Española LTP'!I15</f>
        <v>46036.338000000018</v>
      </c>
      <c r="L15" s="22">
        <f>'Anchoveta-Sardina Española LTP'!J15</f>
        <v>150789.72600000023</v>
      </c>
      <c r="M15" s="196">
        <f>'Anchoveta-Sardina Española LTP'!K15</f>
        <v>0.23389350507969289</v>
      </c>
      <c r="N15" s="648" t="s">
        <v>43</v>
      </c>
      <c r="O15" s="197">
        <f>+'Anchoveta-Sardina Española LTP'!$C$3</f>
        <v>43740</v>
      </c>
      <c r="P15" s="346">
        <v>2019</v>
      </c>
    </row>
    <row r="16" spans="1:17" ht="15" thickBot="1">
      <c r="A16" s="198" t="s">
        <v>171</v>
      </c>
      <c r="B16" s="198" t="s">
        <v>172</v>
      </c>
      <c r="C16" s="198" t="s">
        <v>47</v>
      </c>
      <c r="D16" s="198" t="s">
        <v>131</v>
      </c>
      <c r="E16" s="199" t="str">
        <f>'Anchoveta-Sardina Española LTP'!D14</f>
        <v xml:space="preserve">CORPESCA S.A                                           </v>
      </c>
      <c r="F16" s="199" t="s">
        <v>177</v>
      </c>
      <c r="G16" s="199" t="s">
        <v>176</v>
      </c>
      <c r="H16" s="199">
        <f t="shared" ref="H16:M16" si="4">SUM(H14:H15)</f>
        <v>475512.74700000003</v>
      </c>
      <c r="I16" s="199">
        <f t="shared" si="4"/>
        <v>-67000</v>
      </c>
      <c r="J16" s="199">
        <f t="shared" si="4"/>
        <v>526461.00200000033</v>
      </c>
      <c r="K16" s="199">
        <f t="shared" si="4"/>
        <v>257723.02099999978</v>
      </c>
      <c r="L16" s="199">
        <f t="shared" si="4"/>
        <v>268737.98100000049</v>
      </c>
      <c r="M16" s="200">
        <f t="shared" si="4"/>
        <v>0.87607871846869279</v>
      </c>
      <c r="N16" s="649" t="s">
        <v>43</v>
      </c>
      <c r="O16" s="201">
        <f>+'Anchoveta-Sardina Española LTP'!$C$3</f>
        <v>43740</v>
      </c>
      <c r="P16" s="346">
        <v>2019</v>
      </c>
    </row>
    <row r="17" spans="1:16" ht="15" thickBot="1">
      <c r="A17" s="216" t="s">
        <v>171</v>
      </c>
      <c r="B17" s="217" t="s">
        <v>172</v>
      </c>
      <c r="C17" s="217" t="s">
        <v>47</v>
      </c>
      <c r="D17" s="217" t="s">
        <v>131</v>
      </c>
      <c r="E17" s="218" t="s">
        <v>178</v>
      </c>
      <c r="F17" s="215" t="s">
        <v>177</v>
      </c>
      <c r="G17" s="212" t="s">
        <v>176</v>
      </c>
      <c r="H17" s="212">
        <f>H4+H7+H10+H13+H16</f>
        <v>629209.99900000007</v>
      </c>
      <c r="I17" s="212">
        <f t="shared" ref="I17" si="5">I4+I7+I10+I13+I16</f>
        <v>-75656.733999999997</v>
      </c>
      <c r="J17" s="212">
        <f>+I17+H17</f>
        <v>553553.26500000013</v>
      </c>
      <c r="K17" s="212">
        <f>+'Anchoveta-Sardina Española LTP'!I16</f>
        <v>323078.52299999981</v>
      </c>
      <c r="L17" s="212">
        <f>+J17-K17</f>
        <v>230474.74200000032</v>
      </c>
      <c r="M17" s="213">
        <f>+K17/J17</f>
        <v>0.58364486929726578</v>
      </c>
      <c r="N17" s="650" t="s">
        <v>43</v>
      </c>
      <c r="O17" s="214">
        <f>+'Anchoveta-Sardina Española LTP'!$C$3</f>
        <v>43740</v>
      </c>
      <c r="P17" s="346">
        <v>2019</v>
      </c>
    </row>
    <row r="18" spans="1:16" ht="14.4">
      <c r="A18" s="202" t="s">
        <v>179</v>
      </c>
      <c r="B18" s="202" t="s">
        <v>172</v>
      </c>
      <c r="C18" s="202" t="s">
        <v>180</v>
      </c>
      <c r="D18" s="202" t="s">
        <v>131</v>
      </c>
      <c r="E18" s="202" t="str">
        <f>+'Anchoveta-Sardina Española LTP'!D18</f>
        <v xml:space="preserve">ALIMENTOS MARINOS S.A.         </v>
      </c>
      <c r="F18" s="202" t="s">
        <v>177</v>
      </c>
      <c r="G18" s="202" t="s">
        <v>176</v>
      </c>
      <c r="H18" s="202">
        <f>'Anchoveta-Sardina Española LTP'!F18</f>
        <v>2124.5897651999999</v>
      </c>
      <c r="I18" s="202">
        <f>'Anchoveta-Sardina Española LTP'!G18</f>
        <v>-1100</v>
      </c>
      <c r="J18" s="202">
        <f>'Anchoveta-Sardina Española LTP'!H18</f>
        <v>1024.5897651999999</v>
      </c>
      <c r="K18" s="202">
        <f>'Anchoveta-Sardina Española LTP'!I18</f>
        <v>0</v>
      </c>
      <c r="L18" s="202">
        <f>'Anchoveta-Sardina Española LTP'!J18</f>
        <v>1024.5897651999999</v>
      </c>
      <c r="M18" s="203">
        <f>'Anchoveta-Sardina Española LTP'!K18</f>
        <v>0</v>
      </c>
      <c r="N18" s="651" t="s">
        <v>43</v>
      </c>
      <c r="O18" s="204">
        <f>+'Anchoveta-Sardina Española LTP'!$C$3</f>
        <v>43740</v>
      </c>
      <c r="P18" s="346">
        <v>2019</v>
      </c>
    </row>
    <row r="19" spans="1:16" ht="14.4">
      <c r="A19" s="22" t="s">
        <v>179</v>
      </c>
      <c r="B19" s="22" t="s">
        <v>172</v>
      </c>
      <c r="C19" s="22" t="s">
        <v>180</v>
      </c>
      <c r="D19" s="22" t="s">
        <v>131</v>
      </c>
      <c r="E19" s="202" t="str">
        <f>+'Anchoveta-Sardina Española LTP'!D19</f>
        <v xml:space="preserve">BAHIA CALDERA S.A. PESQ.          </v>
      </c>
      <c r="F19" s="22" t="s">
        <v>177</v>
      </c>
      <c r="G19" s="22" t="s">
        <v>176</v>
      </c>
      <c r="H19" s="202">
        <f>'Anchoveta-Sardina Española LTP'!F19</f>
        <v>15839.5403862</v>
      </c>
      <c r="I19" s="202">
        <f>'Anchoveta-Sardina Española LTP'!G19</f>
        <v>-15839.534</v>
      </c>
      <c r="J19" s="202">
        <f>'Anchoveta-Sardina Española LTP'!H19</f>
        <v>6.3862000006338349E-3</v>
      </c>
      <c r="K19" s="202">
        <f>'Anchoveta-Sardina Española LTP'!I19</f>
        <v>0</v>
      </c>
      <c r="L19" s="202">
        <f>'Anchoveta-Sardina Española LTP'!J19</f>
        <v>6.3862000006338349E-3</v>
      </c>
      <c r="M19" s="196">
        <f>'Anchoveta-Sardina Española LTP'!K19</f>
        <v>0</v>
      </c>
      <c r="N19" s="648" t="s">
        <v>43</v>
      </c>
      <c r="O19" s="197">
        <f>+'Anchoveta-Sardina Española LTP'!$C$3</f>
        <v>43740</v>
      </c>
      <c r="P19" s="346">
        <v>2019</v>
      </c>
    </row>
    <row r="20" spans="1:16" ht="14.4">
      <c r="A20" s="22" t="s">
        <v>179</v>
      </c>
      <c r="B20" s="22" t="s">
        <v>172</v>
      </c>
      <c r="C20" s="22" t="s">
        <v>180</v>
      </c>
      <c r="D20" s="22" t="s">
        <v>131</v>
      </c>
      <c r="E20" s="202" t="str">
        <f>+'Anchoveta-Sardina Española LTP'!D20</f>
        <v xml:space="preserve">BLUMAR S.A.                                              </v>
      </c>
      <c r="F20" s="22" t="s">
        <v>177</v>
      </c>
      <c r="G20" s="22" t="s">
        <v>176</v>
      </c>
      <c r="H20" s="202">
        <f>'Anchoveta-Sardina Española LTP'!F20</f>
        <v>122.5570182</v>
      </c>
      <c r="I20" s="202">
        <f>'Anchoveta-Sardina Española LTP'!G20</f>
        <v>0</v>
      </c>
      <c r="J20" s="202">
        <f>'Anchoveta-Sardina Española LTP'!H20</f>
        <v>122.5570182</v>
      </c>
      <c r="K20" s="202">
        <f>'Anchoveta-Sardina Española LTP'!I20</f>
        <v>0</v>
      </c>
      <c r="L20" s="202">
        <f>'Anchoveta-Sardina Española LTP'!J20</f>
        <v>122.5570182</v>
      </c>
      <c r="M20" s="196">
        <f>'Anchoveta-Sardina Española LTP'!K20</f>
        <v>0</v>
      </c>
      <c r="N20" s="648" t="s">
        <v>43</v>
      </c>
      <c r="O20" s="197">
        <f>+'Anchoveta-Sardina Española LTP'!$C$3</f>
        <v>43740</v>
      </c>
      <c r="P20" s="346">
        <v>2019</v>
      </c>
    </row>
    <row r="21" spans="1:16" ht="14.4">
      <c r="A21" s="22" t="s">
        <v>179</v>
      </c>
      <c r="B21" s="22" t="s">
        <v>172</v>
      </c>
      <c r="C21" s="22" t="s">
        <v>180</v>
      </c>
      <c r="D21" s="22" t="s">
        <v>131</v>
      </c>
      <c r="E21" s="202" t="str">
        <f>+'Anchoveta-Sardina Española LTP'!D21</f>
        <v xml:space="preserve">CAMANCHACA S.A. CIA. PESQ    </v>
      </c>
      <c r="F21" s="22" t="s">
        <v>177</v>
      </c>
      <c r="G21" s="22" t="s">
        <v>176</v>
      </c>
      <c r="H21" s="202">
        <f>'Anchoveta-Sardina Española LTP'!F21</f>
        <v>29.3473635</v>
      </c>
      <c r="I21" s="202">
        <f>'Anchoveta-Sardina Española LTP'!G21</f>
        <v>0</v>
      </c>
      <c r="J21" s="202">
        <f>'Anchoveta-Sardina Española LTP'!H21</f>
        <v>29.3473635</v>
      </c>
      <c r="K21" s="202">
        <f>'Anchoveta-Sardina Española LTP'!I21</f>
        <v>0</v>
      </c>
      <c r="L21" s="202">
        <f>'Anchoveta-Sardina Española LTP'!J21</f>
        <v>29.3473635</v>
      </c>
      <c r="M21" s="196">
        <f>'Anchoveta-Sardina Española LTP'!K21</f>
        <v>0</v>
      </c>
      <c r="N21" s="648" t="s">
        <v>43</v>
      </c>
      <c r="O21" s="197">
        <f>+'Anchoveta-Sardina Española LTP'!$C$3</f>
        <v>43740</v>
      </c>
      <c r="P21" s="346">
        <v>2019</v>
      </c>
    </row>
    <row r="22" spans="1:16" ht="14.4">
      <c r="A22" s="22" t="s">
        <v>179</v>
      </c>
      <c r="B22" s="22" t="s">
        <v>172</v>
      </c>
      <c r="C22" s="22" t="s">
        <v>180</v>
      </c>
      <c r="D22" s="22" t="s">
        <v>131</v>
      </c>
      <c r="E22" s="202" t="str">
        <f>+'Anchoveta-Sardina Española LTP'!D22</f>
        <v>PESQUERA LITORAL SpA</v>
      </c>
      <c r="F22" s="22" t="s">
        <v>177</v>
      </c>
      <c r="G22" s="22" t="s">
        <v>176</v>
      </c>
      <c r="H22" s="202">
        <f>'Anchoveta-Sardina Española LTP'!F22</f>
        <v>368.47919790000003</v>
      </c>
      <c r="I22" s="202">
        <f>'Anchoveta-Sardina Española LTP'!G22</f>
        <v>-357.12400000000002</v>
      </c>
      <c r="J22" s="202">
        <f>'Anchoveta-Sardina Española LTP'!H22</f>
        <v>11.355197900000007</v>
      </c>
      <c r="K22" s="202">
        <f>'Anchoveta-Sardina Española LTP'!I22</f>
        <v>0</v>
      </c>
      <c r="L22" s="202">
        <f>'Anchoveta-Sardina Española LTP'!J22</f>
        <v>11.355197900000007</v>
      </c>
      <c r="M22" s="196">
        <f>'Anchoveta-Sardina Española LTP'!K22</f>
        <v>0</v>
      </c>
      <c r="N22" s="648" t="s">
        <v>43</v>
      </c>
      <c r="O22" s="197">
        <f>+'Anchoveta-Sardina Española LTP'!$C$3</f>
        <v>43740</v>
      </c>
      <c r="P22" s="346">
        <v>2019</v>
      </c>
    </row>
    <row r="23" spans="1:16" ht="14.4">
      <c r="A23" s="22" t="s">
        <v>179</v>
      </c>
      <c r="B23" s="22" t="s">
        <v>172</v>
      </c>
      <c r="C23" s="22" t="s">
        <v>180</v>
      </c>
      <c r="D23" s="22" t="s">
        <v>131</v>
      </c>
      <c r="E23" s="202" t="str">
        <f>+'Anchoveta-Sardina Española LTP'!D23</f>
        <v xml:space="preserve">ORIZON S.A                                                   </v>
      </c>
      <c r="F23" s="22" t="s">
        <v>177</v>
      </c>
      <c r="G23" s="22" t="s">
        <v>176</v>
      </c>
      <c r="H23" s="202">
        <f>'Anchoveta-Sardina Española LTP'!F23</f>
        <v>15542.492709</v>
      </c>
      <c r="I23" s="202">
        <f>'Anchoveta-Sardina Española LTP'!G23</f>
        <v>-15500</v>
      </c>
      <c r="J23" s="202">
        <f>'Anchoveta-Sardina Española LTP'!H23</f>
        <v>42.492709000000104</v>
      </c>
      <c r="K23" s="202">
        <f>'Anchoveta-Sardina Española LTP'!I23</f>
        <v>0</v>
      </c>
      <c r="L23" s="202">
        <f>'Anchoveta-Sardina Española LTP'!J23</f>
        <v>42.492709000000104</v>
      </c>
      <c r="M23" s="196">
        <f>'Anchoveta-Sardina Española LTP'!K23</f>
        <v>0</v>
      </c>
      <c r="N23" s="648" t="s">
        <v>43</v>
      </c>
      <c r="O23" s="197">
        <f>+'Anchoveta-Sardina Española LTP'!$C$3</f>
        <v>43740</v>
      </c>
      <c r="P23" s="346">
        <v>2019</v>
      </c>
    </row>
    <row r="24" spans="1:16" ht="14.4">
      <c r="A24" s="22" t="s">
        <v>179</v>
      </c>
      <c r="B24" s="22" t="s">
        <v>172</v>
      </c>
      <c r="C24" s="22" t="s">
        <v>180</v>
      </c>
      <c r="D24" s="22" t="s">
        <v>131</v>
      </c>
      <c r="E24" s="202" t="str">
        <f>+'Anchoveta-Sardina Española LTP'!D24</f>
        <v xml:space="preserve">CAMANCHACA PESCA SUR S.A.  </v>
      </c>
      <c r="F24" s="22" t="s">
        <v>177</v>
      </c>
      <c r="G24" s="22" t="s">
        <v>176</v>
      </c>
      <c r="H24" s="202">
        <f>'Anchoveta-Sardina Española LTP'!F24</f>
        <v>799.28787059999991</v>
      </c>
      <c r="I24" s="202">
        <f>'Anchoveta-Sardina Española LTP'!G24</f>
        <v>-421.49799999999999</v>
      </c>
      <c r="J24" s="202">
        <f>'Anchoveta-Sardina Española LTP'!H24</f>
        <v>377.78987059999992</v>
      </c>
      <c r="K24" s="202">
        <f>'Anchoveta-Sardina Española LTP'!I24</f>
        <v>0</v>
      </c>
      <c r="L24" s="202">
        <f>'Anchoveta-Sardina Española LTP'!J24</f>
        <v>377.78987059999992</v>
      </c>
      <c r="M24" s="196">
        <f>'Anchoveta-Sardina Española LTP'!K24</f>
        <v>0</v>
      </c>
      <c r="N24" s="648" t="s">
        <v>43</v>
      </c>
      <c r="O24" s="197">
        <f>+'Anchoveta-Sardina Española LTP'!$C$3</f>
        <v>43740</v>
      </c>
      <c r="P24" s="346">
        <v>2019</v>
      </c>
    </row>
    <row r="25" spans="1:16" ht="14.4">
      <c r="A25" s="22" t="s">
        <v>179</v>
      </c>
      <c r="B25" s="22" t="s">
        <v>172</v>
      </c>
      <c r="C25" s="22" t="s">
        <v>180</v>
      </c>
      <c r="D25" s="22" t="s">
        <v>131</v>
      </c>
      <c r="E25" s="202" t="str">
        <f>+'Anchoveta-Sardina Española LTP'!D25</f>
        <v xml:space="preserve">LANDES S.A. SOC. PESQ.                           </v>
      </c>
      <c r="F25" s="22" t="s">
        <v>177</v>
      </c>
      <c r="G25" s="22" t="s">
        <v>176</v>
      </c>
      <c r="H25" s="202">
        <f>'Anchoveta-Sardina Española LTP'!F25</f>
        <v>3.5436893999999999</v>
      </c>
      <c r="I25" s="202">
        <f>'Anchoveta-Sardina Española LTP'!G25</f>
        <v>0</v>
      </c>
      <c r="J25" s="202">
        <f>'Anchoveta-Sardina Española LTP'!H25</f>
        <v>3.5436893999999999</v>
      </c>
      <c r="K25" s="202">
        <f>'Anchoveta-Sardina Española LTP'!I25</f>
        <v>0</v>
      </c>
      <c r="L25" s="202">
        <f>'Anchoveta-Sardina Española LTP'!J25</f>
        <v>3.5436893999999999</v>
      </c>
      <c r="M25" s="196">
        <f>'Anchoveta-Sardina Española LTP'!K25</f>
        <v>0</v>
      </c>
      <c r="N25" s="648" t="s">
        <v>43</v>
      </c>
      <c r="O25" s="197">
        <f>+'Anchoveta-Sardina Española LTP'!$C$3</f>
        <v>43740</v>
      </c>
      <c r="P25" s="346">
        <v>2019</v>
      </c>
    </row>
    <row r="26" spans="1:16" ht="14.4">
      <c r="A26" s="22" t="s">
        <v>179</v>
      </c>
      <c r="B26" s="22" t="s">
        <v>172</v>
      </c>
      <c r="C26" s="22" t="s">
        <v>180</v>
      </c>
      <c r="D26" s="22" t="s">
        <v>131</v>
      </c>
      <c r="E26" s="202" t="str">
        <f>+'Anchoveta-Sardina Española LTP'!D26</f>
        <v>SOCIEDAD COMERCIAL DE SERVICIOS Y TRANSPORTES STA LIMITADA</v>
      </c>
      <c r="F26" s="22" t="s">
        <v>177</v>
      </c>
      <c r="G26" s="22" t="s">
        <v>176</v>
      </c>
      <c r="H26" s="202">
        <f>'Anchoveta-Sardina Española LTP'!F26</f>
        <v>758.82000000000016</v>
      </c>
      <c r="I26" s="202">
        <f>'Anchoveta-Sardina Española LTP'!G26</f>
        <v>-758.81799999999998</v>
      </c>
      <c r="J26" s="202">
        <f>'Anchoveta-Sardina Española LTP'!H26</f>
        <v>2.00000000018008E-3</v>
      </c>
      <c r="K26" s="202">
        <f>'Anchoveta-Sardina Española LTP'!I26</f>
        <v>0</v>
      </c>
      <c r="L26" s="202">
        <f>'Anchoveta-Sardina Española LTP'!J26</f>
        <v>2.00000000018008E-3</v>
      </c>
      <c r="M26" s="196">
        <f>'Anchoveta-Sardina Española LTP'!K26</f>
        <v>0</v>
      </c>
      <c r="N26" s="648" t="s">
        <v>43</v>
      </c>
      <c r="O26" s="197">
        <f>+'Anchoveta-Sardina Española LTP'!$C$3</f>
        <v>43740</v>
      </c>
      <c r="P26" s="346">
        <v>2019</v>
      </c>
    </row>
    <row r="27" spans="1:16" ht="14.4">
      <c r="A27" s="22" t="s">
        <v>179</v>
      </c>
      <c r="B27" s="22" t="s">
        <v>172</v>
      </c>
      <c r="C27" s="22" t="s">
        <v>180</v>
      </c>
      <c r="D27" s="22" t="s">
        <v>131</v>
      </c>
      <c r="E27" s="202" t="str">
        <f>+'Anchoveta-Sardina Española LTP'!D27</f>
        <v>FOODCORP CHILE S.A.</v>
      </c>
      <c r="F27" s="22" t="s">
        <v>177</v>
      </c>
      <c r="G27" s="22" t="s">
        <v>176</v>
      </c>
      <c r="H27" s="202">
        <f>'Anchoveta-Sardina Española LTP'!F27</f>
        <v>227.64600000000002</v>
      </c>
      <c r="I27" s="202">
        <f>'Anchoveta-Sardina Española LTP'!G27</f>
        <v>0</v>
      </c>
      <c r="J27" s="202">
        <f>'Anchoveta-Sardina Española LTP'!H27</f>
        <v>227.64600000000002</v>
      </c>
      <c r="K27" s="202">
        <f>'Anchoveta-Sardina Española LTP'!I27</f>
        <v>0</v>
      </c>
      <c r="L27" s="202">
        <f>'Anchoveta-Sardina Española LTP'!J27</f>
        <v>227.64600000000002</v>
      </c>
      <c r="M27" s="196">
        <f>'Anchoveta-Sardina Española LTP'!K27</f>
        <v>0</v>
      </c>
      <c r="N27" s="648" t="s">
        <v>43</v>
      </c>
      <c r="O27" s="197">
        <f>+'Anchoveta-Sardina Española LTP'!$C$3</f>
        <v>43740</v>
      </c>
      <c r="P27" s="346">
        <v>2019</v>
      </c>
    </row>
    <row r="28" spans="1:16" ht="14.4">
      <c r="A28" s="22" t="s">
        <v>179</v>
      </c>
      <c r="B28" s="22" t="s">
        <v>172</v>
      </c>
      <c r="C28" s="22" t="s">
        <v>180</v>
      </c>
      <c r="D28" s="22" t="s">
        <v>131</v>
      </c>
      <c r="E28" s="202" t="str">
        <f>+'Anchoveta-Sardina Española LTP'!D28</f>
        <v xml:space="preserve">CARLOS SAEZ ALARCON </v>
      </c>
      <c r="F28" s="22" t="s">
        <v>177</v>
      </c>
      <c r="G28" s="22" t="s">
        <v>176</v>
      </c>
      <c r="H28" s="202">
        <f>'Anchoveta-Sardina Española LTP'!F28</f>
        <v>607.05600000000004</v>
      </c>
      <c r="I28" s="202">
        <f>'Anchoveta-Sardina Española LTP'!G28</f>
        <v>0</v>
      </c>
      <c r="J28" s="202">
        <f>'Anchoveta-Sardina Española LTP'!H28</f>
        <v>607.05600000000004</v>
      </c>
      <c r="K28" s="202">
        <f>'Anchoveta-Sardina Española LTP'!I28</f>
        <v>0</v>
      </c>
      <c r="L28" s="202">
        <f>'Anchoveta-Sardina Española LTP'!J28</f>
        <v>607.05600000000004</v>
      </c>
      <c r="M28" s="196">
        <f>'Anchoveta-Sardina Española LTP'!K28</f>
        <v>0</v>
      </c>
      <c r="N28" s="648" t="s">
        <v>43</v>
      </c>
      <c r="O28" s="197">
        <f>+'Anchoveta-Sardina Española LTP'!$C$3</f>
        <v>43740</v>
      </c>
      <c r="P28" s="346">
        <v>2019</v>
      </c>
    </row>
    <row r="29" spans="1:16" ht="14.4">
      <c r="A29" s="199" t="s">
        <v>179</v>
      </c>
      <c r="B29" s="199" t="s">
        <v>172</v>
      </c>
      <c r="C29" s="199" t="s">
        <v>180</v>
      </c>
      <c r="D29" s="199" t="s">
        <v>131</v>
      </c>
      <c r="E29" s="202" t="str">
        <f>+'Anchoveta-Sardina Española LTP'!D29</f>
        <v>ALIMENTOS DEL SUR SPA.</v>
      </c>
      <c r="F29" s="199" t="s">
        <v>177</v>
      </c>
      <c r="G29" s="199" t="s">
        <v>176</v>
      </c>
      <c r="H29" s="202">
        <f>'Anchoveta-Sardina Española LTP'!F29</f>
        <v>436.32150000000001</v>
      </c>
      <c r="I29" s="202">
        <f>'Anchoveta-Sardina Española LTP'!G29</f>
        <v>0</v>
      </c>
      <c r="J29" s="202">
        <f>'Anchoveta-Sardina Española LTP'!H29</f>
        <v>436.32150000000001</v>
      </c>
      <c r="K29" s="202">
        <f>'Anchoveta-Sardina Española LTP'!I29</f>
        <v>0</v>
      </c>
      <c r="L29" s="202">
        <f>'Anchoveta-Sardina Española LTP'!J29</f>
        <v>436.32150000000001</v>
      </c>
      <c r="M29" s="200">
        <f>'Anchoveta-Sardina Española LTP'!K29</f>
        <v>0</v>
      </c>
      <c r="N29" s="648" t="s">
        <v>43</v>
      </c>
      <c r="O29" s="201">
        <f>+'Anchoveta-Sardina Española LTP'!$C$3</f>
        <v>43740</v>
      </c>
      <c r="P29" s="346">
        <v>2019</v>
      </c>
    </row>
    <row r="30" spans="1:16" ht="14.4">
      <c r="A30" s="22" t="s">
        <v>179</v>
      </c>
      <c r="B30" s="22" t="s">
        <v>172</v>
      </c>
      <c r="C30" s="22" t="s">
        <v>180</v>
      </c>
      <c r="D30" s="22" t="s">
        <v>131</v>
      </c>
      <c r="E30" s="202" t="str">
        <f>+'Anchoveta-Sardina Española LTP'!D30</f>
        <v>ATILIO REYES BARRERA</v>
      </c>
      <c r="F30" s="22" t="s">
        <v>173</v>
      </c>
      <c r="G30" s="22" t="s">
        <v>176</v>
      </c>
      <c r="H30" s="202">
        <f>'Anchoveta-Sardina Española LTP'!F30</f>
        <v>284.5575</v>
      </c>
      <c r="I30" s="202">
        <f>'Anchoveta-Sardina Española LTP'!G30</f>
        <v>-284.55900000000003</v>
      </c>
      <c r="J30" s="202">
        <f>'Anchoveta-Sardina Española LTP'!H30</f>
        <v>-1.5000000000213731E-3</v>
      </c>
      <c r="K30" s="202">
        <f>'Anchoveta-Sardina Española LTP'!I30</f>
        <v>0</v>
      </c>
      <c r="L30" s="202">
        <f>'Anchoveta-Sardina Española LTP'!J30</f>
        <v>-1.5000000000213731E-3</v>
      </c>
      <c r="M30" s="200">
        <f>'Anchoveta-Sardina Española LTP'!K30</f>
        <v>0</v>
      </c>
      <c r="N30" s="648" t="s">
        <v>43</v>
      </c>
      <c r="O30" s="201">
        <f>+'Anchoveta-Sardina Española LTP'!$C$3</f>
        <v>43740</v>
      </c>
      <c r="P30" s="346">
        <v>2019</v>
      </c>
    </row>
    <row r="31" spans="1:16" ht="14.4">
      <c r="A31" s="199" t="s">
        <v>179</v>
      </c>
      <c r="B31" s="199" t="s">
        <v>172</v>
      </c>
      <c r="C31" s="199" t="s">
        <v>180</v>
      </c>
      <c r="D31" s="199" t="s">
        <v>131</v>
      </c>
      <c r="E31" s="202" t="str">
        <f>+'Anchoveta-Sardina Española LTP'!D31</f>
        <v>PEDRO IRIGOYEN LTOA. INV</v>
      </c>
      <c r="F31" s="199" t="s">
        <v>173</v>
      </c>
      <c r="G31" s="199" t="s">
        <v>176</v>
      </c>
      <c r="H31" s="202">
        <f>'Anchoveta-Sardina Española LTP'!F31</f>
        <v>94.852500000000006</v>
      </c>
      <c r="I31" s="202">
        <f>'Anchoveta-Sardina Española LTP'!G31</f>
        <v>0</v>
      </c>
      <c r="J31" s="202">
        <f>'Anchoveta-Sardina Española LTP'!H31</f>
        <v>94.852500000000006</v>
      </c>
      <c r="K31" s="202">
        <f>'Anchoveta-Sardina Española LTP'!I31</f>
        <v>0</v>
      </c>
      <c r="L31" s="202">
        <f>'Anchoveta-Sardina Española LTP'!J31</f>
        <v>94.852500000000006</v>
      </c>
      <c r="M31" s="200">
        <f>'Anchoveta-Sardina Española LTP'!K31</f>
        <v>0</v>
      </c>
      <c r="N31" s="648" t="s">
        <v>43</v>
      </c>
      <c r="O31" s="201">
        <f>+'Anchoveta-Sardina Española LTP'!$C$3</f>
        <v>43740</v>
      </c>
      <c r="P31" s="346">
        <v>2019</v>
      </c>
    </row>
    <row r="32" spans="1:16" ht="14.4">
      <c r="A32" s="22" t="s">
        <v>179</v>
      </c>
      <c r="B32" s="22" t="s">
        <v>172</v>
      </c>
      <c r="C32" s="22" t="s">
        <v>180</v>
      </c>
      <c r="D32" s="22" t="s">
        <v>131</v>
      </c>
      <c r="E32" s="202" t="str">
        <f>+'Anchoveta-Sardina Española LTP'!D32</f>
        <v>ABASTECIMIENTO DEL PACIFICO S.A.</v>
      </c>
      <c r="F32" s="22" t="s">
        <v>173</v>
      </c>
      <c r="G32" s="22" t="s">
        <v>176</v>
      </c>
      <c r="H32" s="202">
        <f>'Anchoveta-Sardina Española LTP'!F32</f>
        <v>398.38050000000004</v>
      </c>
      <c r="I32" s="202">
        <f>'Anchoveta-Sardina Española LTP'!G32</f>
        <v>-397.666</v>
      </c>
      <c r="J32" s="202">
        <f>'Anchoveta-Sardina Española LTP'!H32</f>
        <v>0.71450000000004366</v>
      </c>
      <c r="K32" s="202">
        <f>'Anchoveta-Sardina Española LTP'!I32</f>
        <v>0</v>
      </c>
      <c r="L32" s="202">
        <f>'Anchoveta-Sardina Española LTP'!J32</f>
        <v>0.71450000000004366</v>
      </c>
      <c r="M32" s="200">
        <f>'Anchoveta-Sardina Española LTP'!K32</f>
        <v>0</v>
      </c>
      <c r="N32" s="648" t="s">
        <v>43</v>
      </c>
      <c r="O32" s="201">
        <f>+'Anchoveta-Sardina Española LTP'!$C$3</f>
        <v>43740</v>
      </c>
      <c r="P32" s="346">
        <v>2019</v>
      </c>
    </row>
    <row r="33" spans="1:16" ht="14.4">
      <c r="A33" s="199" t="s">
        <v>179</v>
      </c>
      <c r="B33" s="199" t="s">
        <v>172</v>
      </c>
      <c r="C33" s="199" t="s">
        <v>180</v>
      </c>
      <c r="D33" s="199" t="s">
        <v>131</v>
      </c>
      <c r="E33" s="202" t="str">
        <f>+'Anchoveta-Sardina Española LTP'!D33</f>
        <v>ERIC ARACENA REYNUABA</v>
      </c>
      <c r="F33" s="199" t="s">
        <v>173</v>
      </c>
      <c r="G33" s="199" t="s">
        <v>176</v>
      </c>
      <c r="H33" s="202">
        <f>'Anchoveta-Sardina Española LTP'!F33</f>
        <v>151.76400000000001</v>
      </c>
      <c r="I33" s="202">
        <f>'Anchoveta-Sardina Española LTP'!G33</f>
        <v>-151.76400000000001</v>
      </c>
      <c r="J33" s="202">
        <f>'Anchoveta-Sardina Española LTP'!H33</f>
        <v>0</v>
      </c>
      <c r="K33" s="202">
        <f>'Anchoveta-Sardina Española LTP'!I33</f>
        <v>0</v>
      </c>
      <c r="L33" s="202">
        <f>'Anchoveta-Sardina Española LTP'!J33</f>
        <v>0</v>
      </c>
      <c r="M33" s="200">
        <f>'Anchoveta-Sardina Española LTP'!K33</f>
        <v>0</v>
      </c>
      <c r="N33" s="648" t="s">
        <v>43</v>
      </c>
      <c r="O33" s="201">
        <f>+'Anchoveta-Sardina Española LTP'!$C$3</f>
        <v>43740</v>
      </c>
      <c r="P33" s="346">
        <v>2019</v>
      </c>
    </row>
    <row r="34" spans="1:16" ht="15" thickBot="1">
      <c r="A34" s="199" t="s">
        <v>179</v>
      </c>
      <c r="B34" s="199" t="s">
        <v>172</v>
      </c>
      <c r="C34" s="199" t="s">
        <v>180</v>
      </c>
      <c r="D34" s="199" t="s">
        <v>131</v>
      </c>
      <c r="E34" s="607" t="str">
        <f>+'Anchoveta-Sardina Española LTP'!D34</f>
        <v>GIULLIANO REYNUABA SALAS</v>
      </c>
      <c r="F34" s="199" t="s">
        <v>173</v>
      </c>
      <c r="G34" s="199" t="s">
        <v>176</v>
      </c>
      <c r="H34" s="607">
        <f>'Anchoveta-Sardina Española LTP'!F34</f>
        <v>151.76400000000001</v>
      </c>
      <c r="I34" s="607">
        <f>'Anchoveta-Sardina Española LTP'!G34</f>
        <v>-151.76400000000001</v>
      </c>
      <c r="J34" s="607">
        <f>'Anchoveta-Sardina Española LTP'!H34</f>
        <v>0</v>
      </c>
      <c r="K34" s="607">
        <f>'Anchoveta-Sardina Española LTP'!I34</f>
        <v>0</v>
      </c>
      <c r="L34" s="607">
        <f>'Anchoveta-Sardina Española LTP'!J34</f>
        <v>0</v>
      </c>
      <c r="M34" s="200">
        <f>'Anchoveta-Sardina Española LTP'!K34</f>
        <v>0</v>
      </c>
      <c r="N34" s="649" t="s">
        <v>43</v>
      </c>
      <c r="O34" s="201">
        <f>+'Anchoveta-Sardina Española LTP'!$C$3</f>
        <v>43740</v>
      </c>
      <c r="P34" s="346">
        <v>2019</v>
      </c>
    </row>
    <row r="35" spans="1:16" ht="15" thickBot="1">
      <c r="A35" s="215" t="s">
        <v>179</v>
      </c>
      <c r="B35" s="212" t="s">
        <v>172</v>
      </c>
      <c r="C35" s="212" t="s">
        <v>180</v>
      </c>
      <c r="D35" s="212" t="s">
        <v>131</v>
      </c>
      <c r="E35" s="212" t="s">
        <v>178</v>
      </c>
      <c r="F35" s="212" t="s">
        <v>173</v>
      </c>
      <c r="G35" s="212" t="s">
        <v>176</v>
      </c>
      <c r="H35" s="212">
        <f>'Anchoveta-Sardina Española LTP'!F35</f>
        <v>37941.000000000007</v>
      </c>
      <c r="I35" s="212">
        <f>'Anchoveta-Sardina Española LTP'!G35</f>
        <v>-34962.726999999999</v>
      </c>
      <c r="J35" s="212">
        <f>'Anchoveta-Sardina Española LTP'!H35</f>
        <v>2978.2730000000083</v>
      </c>
      <c r="K35" s="212">
        <f>'Anchoveta-Sardina Española LTP'!I35</f>
        <v>0</v>
      </c>
      <c r="L35" s="212">
        <f>'Anchoveta-Sardina Española LTP'!J35</f>
        <v>2978.2730000000083</v>
      </c>
      <c r="M35" s="213">
        <f>'Anchoveta-Sardina Española LTP'!K35</f>
        <v>0</v>
      </c>
      <c r="N35" s="650" t="s">
        <v>43</v>
      </c>
      <c r="O35" s="214">
        <f>+'Anchoveta-Sardina Española LTP'!$C$3</f>
        <v>43740</v>
      </c>
      <c r="P35" s="346">
        <v>2019</v>
      </c>
    </row>
    <row r="36" spans="1:16" ht="14.4">
      <c r="A36" s="202" t="s">
        <v>181</v>
      </c>
      <c r="B36" s="202" t="s">
        <v>182</v>
      </c>
      <c r="C36" s="202" t="s">
        <v>47</v>
      </c>
      <c r="D36" s="202" t="s">
        <v>131</v>
      </c>
      <c r="E36" s="202" t="str">
        <f>+'Anchoveta-Sardina Española LTP'!D37</f>
        <v xml:space="preserve">ARICA SEAFOOD PRODUCER S.A.  </v>
      </c>
      <c r="F36" s="202" t="s">
        <v>173</v>
      </c>
      <c r="G36" s="202" t="s">
        <v>174</v>
      </c>
      <c r="H36" s="202">
        <f>'Anchoveta-Sardina Española LTP'!F37</f>
        <v>3.661</v>
      </c>
      <c r="I36" s="202">
        <f>'Anchoveta-Sardina Española LTP'!G32</f>
        <v>-397.666</v>
      </c>
      <c r="J36" s="202">
        <f>'Anchoveta-Sardina Española LTP'!H32</f>
        <v>0.71450000000004366</v>
      </c>
      <c r="K36" s="202">
        <f>'Anchoveta-Sardina Española LTP'!I32</f>
        <v>0</v>
      </c>
      <c r="L36" s="202">
        <f>'Anchoveta-Sardina Española LTP'!J32</f>
        <v>0.71450000000004366</v>
      </c>
      <c r="M36" s="203">
        <f>'Anchoveta-Sardina Española LTP'!K32</f>
        <v>0</v>
      </c>
      <c r="N36" s="651" t="s">
        <v>43</v>
      </c>
      <c r="O36" s="204">
        <f>+'Anchoveta-Sardina Española LTP'!$C$3</f>
        <v>43740</v>
      </c>
      <c r="P36" s="346">
        <v>2019</v>
      </c>
    </row>
    <row r="37" spans="1:16" ht="14.4">
      <c r="A37" s="22" t="s">
        <v>181</v>
      </c>
      <c r="B37" s="22" t="s">
        <v>182</v>
      </c>
      <c r="C37" s="22" t="s">
        <v>47</v>
      </c>
      <c r="D37" s="22" t="s">
        <v>131</v>
      </c>
      <c r="E37" s="202" t="str">
        <f>+'Anchoveta-Sardina Española LTP'!$D$37</f>
        <v xml:space="preserve">ARICA SEAFOOD PRODUCER S.A.  </v>
      </c>
      <c r="F37" s="22" t="s">
        <v>175</v>
      </c>
      <c r="G37" s="22" t="s">
        <v>176</v>
      </c>
      <c r="H37" s="202">
        <f>'Anchoveta-Sardina Española LTP'!F38</f>
        <v>1.2190000000000001</v>
      </c>
      <c r="I37" s="22">
        <f>'Anchoveta-Sardina Española LTP'!G33</f>
        <v>-151.76400000000001</v>
      </c>
      <c r="J37" s="22">
        <f>'Anchoveta-Sardina Española LTP'!H33</f>
        <v>0</v>
      </c>
      <c r="K37" s="22">
        <f>'Anchoveta-Sardina Española LTP'!I33</f>
        <v>0</v>
      </c>
      <c r="L37" s="22">
        <f>'Anchoveta-Sardina Española LTP'!J33</f>
        <v>0</v>
      </c>
      <c r="M37" s="196">
        <f>'Anchoveta-Sardina Española LTP'!K33</f>
        <v>0</v>
      </c>
      <c r="N37" s="648" t="s">
        <v>43</v>
      </c>
      <c r="O37" s="197">
        <f>+'Anchoveta-Sardina Española LTP'!$C$3</f>
        <v>43740</v>
      </c>
      <c r="P37" s="346">
        <v>2019</v>
      </c>
    </row>
    <row r="38" spans="1:16" ht="14.4">
      <c r="A38" s="22" t="s">
        <v>181</v>
      </c>
      <c r="B38" s="22" t="s">
        <v>182</v>
      </c>
      <c r="C38" s="22" t="s">
        <v>47</v>
      </c>
      <c r="D38" s="22" t="s">
        <v>131</v>
      </c>
      <c r="E38" s="202" t="str">
        <f>+'Anchoveta-Sardina Española LTP'!$D$37</f>
        <v xml:space="preserve">ARICA SEAFOOD PRODUCER S.A.  </v>
      </c>
      <c r="F38" s="22" t="s">
        <v>177</v>
      </c>
      <c r="G38" s="22" t="s">
        <v>176</v>
      </c>
      <c r="H38" s="22">
        <f>SUM(H36:H37)</f>
        <v>4.88</v>
      </c>
      <c r="I38" s="22">
        <f t="shared" ref="I38:L38" si="6">SUM(I36:I37)</f>
        <v>-549.43000000000006</v>
      </c>
      <c r="J38" s="22">
        <f t="shared" si="6"/>
        <v>0.71450000000004366</v>
      </c>
      <c r="K38" s="22">
        <f t="shared" si="6"/>
        <v>0</v>
      </c>
      <c r="L38" s="22">
        <f t="shared" si="6"/>
        <v>0.71450000000004366</v>
      </c>
      <c r="M38" s="196">
        <f>SUM(M36:M37)</f>
        <v>0</v>
      </c>
      <c r="N38" s="648" t="s">
        <v>43</v>
      </c>
      <c r="O38" s="197">
        <f>+'Anchoveta-Sardina Española LTP'!$C$3</f>
        <v>43740</v>
      </c>
      <c r="P38" s="346">
        <v>2019</v>
      </c>
    </row>
    <row r="39" spans="1:16" ht="14.4">
      <c r="A39" s="22" t="s">
        <v>181</v>
      </c>
      <c r="B39" s="22" t="s">
        <v>182</v>
      </c>
      <c r="C39" s="22" t="s">
        <v>47</v>
      </c>
      <c r="D39" s="22" t="s">
        <v>131</v>
      </c>
      <c r="E39" s="202" t="str">
        <f>+'Anchoveta-Sardina Española LTP'!$D$39</f>
        <v xml:space="preserve">CAMANCHACA S.A. CIA. PESQ      </v>
      </c>
      <c r="F39" s="22" t="s">
        <v>173</v>
      </c>
      <c r="G39" s="22" t="s">
        <v>174</v>
      </c>
      <c r="H39" s="22">
        <f>'Anchoveta-Sardina Española LTP'!F39</f>
        <v>234.869</v>
      </c>
      <c r="I39" s="22">
        <f>'Anchoveta-Sardina Española LTP'!G34</f>
        <v>-151.76400000000001</v>
      </c>
      <c r="J39" s="22">
        <f>'Anchoveta-Sardina Española LTP'!H34</f>
        <v>0</v>
      </c>
      <c r="K39" s="22">
        <f>'Anchoveta-Sardina Española LTP'!I34</f>
        <v>0</v>
      </c>
      <c r="L39" s="22">
        <f>'Anchoveta-Sardina Española LTP'!J34</f>
        <v>0</v>
      </c>
      <c r="M39" s="196">
        <f>'Anchoveta-Sardina Española LTP'!K34</f>
        <v>0</v>
      </c>
      <c r="N39" s="648" t="s">
        <v>43</v>
      </c>
      <c r="O39" s="197">
        <f>+'Anchoveta-Sardina Española LTP'!$C$3</f>
        <v>43740</v>
      </c>
      <c r="P39" s="346">
        <v>2019</v>
      </c>
    </row>
    <row r="40" spans="1:16" ht="14.4">
      <c r="A40" s="22" t="s">
        <v>181</v>
      </c>
      <c r="B40" s="22" t="s">
        <v>182</v>
      </c>
      <c r="C40" s="22" t="s">
        <v>47</v>
      </c>
      <c r="D40" s="22" t="s">
        <v>131</v>
      </c>
      <c r="E40" s="202" t="str">
        <f>+'Anchoveta-Sardina Española LTP'!$D$39</f>
        <v xml:space="preserve">CAMANCHACA S.A. CIA. PESQ      </v>
      </c>
      <c r="F40" s="22" t="s">
        <v>175</v>
      </c>
      <c r="G40" s="22" t="s">
        <v>176</v>
      </c>
      <c r="H40" s="22">
        <f>'Anchoveta-Sardina Española LTP'!F40</f>
        <v>78.218999999999994</v>
      </c>
      <c r="I40" s="22">
        <f>'Anchoveta-Sardina Española LTP'!G35</f>
        <v>-34962.726999999999</v>
      </c>
      <c r="J40" s="22">
        <f>'Anchoveta-Sardina Española LTP'!H35</f>
        <v>2978.2730000000083</v>
      </c>
      <c r="K40" s="22">
        <f>'Anchoveta-Sardina Española LTP'!I35</f>
        <v>0</v>
      </c>
      <c r="L40" s="22">
        <f>'Anchoveta-Sardina Española LTP'!J35</f>
        <v>2978.2730000000083</v>
      </c>
      <c r="M40" s="196">
        <f>'Anchoveta-Sardina Española LTP'!K35</f>
        <v>0</v>
      </c>
      <c r="N40" s="648" t="s">
        <v>43</v>
      </c>
      <c r="O40" s="197">
        <f>+'Anchoveta-Sardina Española LTP'!$C$3</f>
        <v>43740</v>
      </c>
      <c r="P40" s="346">
        <v>2019</v>
      </c>
    </row>
    <row r="41" spans="1:16" ht="14.4">
      <c r="A41" s="22" t="s">
        <v>181</v>
      </c>
      <c r="B41" s="22" t="s">
        <v>182</v>
      </c>
      <c r="C41" s="22" t="s">
        <v>47</v>
      </c>
      <c r="D41" s="22" t="s">
        <v>131</v>
      </c>
      <c r="E41" s="202" t="str">
        <f>+'Anchoveta-Sardina Española LTP'!$D$39</f>
        <v xml:space="preserve">CAMANCHACA S.A. CIA. PESQ      </v>
      </c>
      <c r="F41" s="22" t="s">
        <v>177</v>
      </c>
      <c r="G41" s="22" t="s">
        <v>176</v>
      </c>
      <c r="H41" s="22">
        <f>SUM(H39:H40)</f>
        <v>313.08799999999997</v>
      </c>
      <c r="I41" s="22">
        <f t="shared" ref="I41:L41" si="7">SUM(I39:I40)</f>
        <v>-35114.491000000002</v>
      </c>
      <c r="J41" s="22">
        <f t="shared" si="7"/>
        <v>2978.2730000000083</v>
      </c>
      <c r="K41" s="22">
        <f t="shared" si="7"/>
        <v>0</v>
      </c>
      <c r="L41" s="22">
        <f t="shared" si="7"/>
        <v>2978.2730000000083</v>
      </c>
      <c r="M41" s="196">
        <f>SUM(M39:M40)</f>
        <v>0</v>
      </c>
      <c r="N41" s="648" t="s">
        <v>43</v>
      </c>
      <c r="O41" s="197">
        <f>+'Anchoveta-Sardina Española LTP'!$C$3</f>
        <v>43740</v>
      </c>
      <c r="P41" s="346">
        <v>2019</v>
      </c>
    </row>
    <row r="42" spans="1:16" ht="14.4">
      <c r="A42" s="22" t="s">
        <v>181</v>
      </c>
      <c r="B42" s="22" t="s">
        <v>182</v>
      </c>
      <c r="C42" s="22" t="s">
        <v>47</v>
      </c>
      <c r="D42" s="22" t="s">
        <v>131</v>
      </c>
      <c r="E42" s="202" t="str">
        <f>+'Anchoveta-Sardina Española LTP'!$D$41</f>
        <v xml:space="preserve">CORPESCA S.A.                             </v>
      </c>
      <c r="F42" s="22" t="s">
        <v>173</v>
      </c>
      <c r="G42" s="22" t="s">
        <v>174</v>
      </c>
      <c r="H42" s="22">
        <f>'Anchoveta-Sardina Española LTP'!F41</f>
        <v>875.47</v>
      </c>
      <c r="I42" s="22">
        <f>'Anchoveta-Sardina Española LTP'!G36</f>
        <v>0</v>
      </c>
      <c r="J42" s="22">
        <f>'Anchoveta-Sardina Española LTP'!H36</f>
        <v>0</v>
      </c>
      <c r="K42" s="22">
        <f>'Anchoveta-Sardina Española LTP'!I36</f>
        <v>0</v>
      </c>
      <c r="L42" s="22">
        <f>'Anchoveta-Sardina Española LTP'!J36</f>
        <v>0</v>
      </c>
      <c r="M42" s="196">
        <f>'Anchoveta-Sardina Española LTP'!K36</f>
        <v>0</v>
      </c>
      <c r="N42" s="648" t="s">
        <v>43</v>
      </c>
      <c r="O42" s="197">
        <f>+'Anchoveta-Sardina Española LTP'!$C$3</f>
        <v>43740</v>
      </c>
      <c r="P42" s="346">
        <v>2019</v>
      </c>
    </row>
    <row r="43" spans="1:16" ht="14.4">
      <c r="A43" s="22" t="s">
        <v>181</v>
      </c>
      <c r="B43" s="22" t="s">
        <v>182</v>
      </c>
      <c r="C43" s="22" t="s">
        <v>47</v>
      </c>
      <c r="D43" s="22" t="s">
        <v>131</v>
      </c>
      <c r="E43" s="202" t="str">
        <f>+'Anchoveta-Sardina Española LTP'!$D$41</f>
        <v xml:space="preserve">CORPESCA S.A.                             </v>
      </c>
      <c r="F43" s="22" t="s">
        <v>175</v>
      </c>
      <c r="G43" s="22" t="s">
        <v>176</v>
      </c>
      <c r="H43" s="22">
        <f>'Anchoveta-Sardina Española LTP'!F42</f>
        <v>291.56099999999998</v>
      </c>
      <c r="I43" s="22">
        <f>'Anchoveta-Sardina Española LTP'!G37</f>
        <v>0</v>
      </c>
      <c r="J43" s="22">
        <f>'Anchoveta-Sardina Española LTP'!H37</f>
        <v>3.661</v>
      </c>
      <c r="K43" s="22">
        <f>'Anchoveta-Sardina Española LTP'!I37</f>
        <v>0</v>
      </c>
      <c r="L43" s="22">
        <f>'Anchoveta-Sardina Española LTP'!J37</f>
        <v>3.661</v>
      </c>
      <c r="M43" s="196">
        <f>'Anchoveta-Sardina Española LTP'!K37</f>
        <v>0</v>
      </c>
      <c r="N43" s="648" t="s">
        <v>43</v>
      </c>
      <c r="O43" s="197">
        <f>+'Anchoveta-Sardina Española LTP'!$C$3</f>
        <v>43740</v>
      </c>
      <c r="P43" s="346">
        <v>2019</v>
      </c>
    </row>
    <row r="44" spans="1:16" ht="15" thickBot="1">
      <c r="A44" s="199" t="s">
        <v>181</v>
      </c>
      <c r="B44" s="199" t="s">
        <v>182</v>
      </c>
      <c r="C44" s="199" t="s">
        <v>47</v>
      </c>
      <c r="D44" s="199" t="s">
        <v>131</v>
      </c>
      <c r="E44" s="607" t="str">
        <f>+'Anchoveta-Sardina Española LTP'!$D$41</f>
        <v xml:space="preserve">CORPESCA S.A.                             </v>
      </c>
      <c r="F44" s="199" t="s">
        <v>177</v>
      </c>
      <c r="G44" s="199" t="s">
        <v>176</v>
      </c>
      <c r="H44" s="199">
        <f>SUM(H42:H43)</f>
        <v>1167.0309999999999</v>
      </c>
      <c r="I44" s="199">
        <f t="shared" ref="I44:L44" si="8">SUM(I42:I43)</f>
        <v>0</v>
      </c>
      <c r="J44" s="199">
        <f t="shared" si="8"/>
        <v>3.661</v>
      </c>
      <c r="K44" s="199">
        <f t="shared" si="8"/>
        <v>0</v>
      </c>
      <c r="L44" s="199">
        <f t="shared" si="8"/>
        <v>3.661</v>
      </c>
      <c r="M44" s="200">
        <f>SUM(M42:M43)</f>
        <v>0</v>
      </c>
      <c r="N44" s="649" t="s">
        <v>43</v>
      </c>
      <c r="O44" s="201">
        <f>+'Anchoveta-Sardina Española LTP'!$C$3</f>
        <v>43740</v>
      </c>
      <c r="P44" s="346">
        <v>2019</v>
      </c>
    </row>
    <row r="45" spans="1:16" ht="15" thickBot="1">
      <c r="A45" s="219" t="s">
        <v>181</v>
      </c>
      <c r="B45" s="220" t="s">
        <v>182</v>
      </c>
      <c r="C45" s="220" t="s">
        <v>47</v>
      </c>
      <c r="D45" s="220" t="s">
        <v>131</v>
      </c>
      <c r="E45" s="220" t="s">
        <v>178</v>
      </c>
      <c r="F45" s="220" t="s">
        <v>177</v>
      </c>
      <c r="G45" s="220" t="s">
        <v>176</v>
      </c>
      <c r="H45" s="220">
        <f>H38+H41+H44</f>
        <v>1484.9989999999998</v>
      </c>
      <c r="I45" s="220">
        <f t="shared" ref="I45:L45" si="9">I38+I41+I44</f>
        <v>-35663.921000000002</v>
      </c>
      <c r="J45" s="220">
        <f t="shared" si="9"/>
        <v>2982.6485000000084</v>
      </c>
      <c r="K45" s="220">
        <f t="shared" si="9"/>
        <v>0</v>
      </c>
      <c r="L45" s="639">
        <f t="shared" si="9"/>
        <v>2982.6485000000084</v>
      </c>
      <c r="M45" s="640">
        <f>+K45/J45</f>
        <v>0</v>
      </c>
      <c r="N45" s="652" t="s">
        <v>43</v>
      </c>
      <c r="O45" s="221">
        <f>+'Anchoveta-Sardina Española LTP'!$C$3</f>
        <v>43740</v>
      </c>
      <c r="P45" s="346">
        <v>2019</v>
      </c>
    </row>
    <row r="46" spans="1:16" ht="14.4">
      <c r="A46" s="205" t="s">
        <v>183</v>
      </c>
      <c r="B46" s="205" t="s">
        <v>182</v>
      </c>
      <c r="C46" s="205" t="s">
        <v>180</v>
      </c>
      <c r="D46" s="205" t="s">
        <v>131</v>
      </c>
      <c r="E46" s="202" t="str">
        <f>'Anchoveta-Sardina Española LTP'!D45</f>
        <v xml:space="preserve">ALIMENTOS MARINOS S.A.          </v>
      </c>
      <c r="F46" s="202" t="s">
        <v>177</v>
      </c>
      <c r="G46" s="202" t="s">
        <v>176</v>
      </c>
      <c r="H46" s="202">
        <f>'Anchoveta-Sardina Española LTP'!F45</f>
        <v>119.553</v>
      </c>
      <c r="I46" s="202">
        <f>'Anchoveta-Sardina Española LTP'!G45</f>
        <v>0</v>
      </c>
      <c r="J46" s="202">
        <f>'Anchoveta-Sardina Española LTP'!H45</f>
        <v>119.553</v>
      </c>
      <c r="K46" s="202">
        <f>'Anchoveta-Sardina Española LTP'!I45</f>
        <v>0</v>
      </c>
      <c r="L46" s="202">
        <f>'Anchoveta-Sardina Española LTP'!J45</f>
        <v>119.553</v>
      </c>
      <c r="M46" s="223">
        <f>'Anchoveta-Sardina Española LTP'!K45</f>
        <v>0</v>
      </c>
      <c r="N46" s="651" t="s">
        <v>43</v>
      </c>
      <c r="O46" s="204">
        <f>+'Anchoveta-Sardina Española LTP'!$C$3</f>
        <v>43740</v>
      </c>
      <c r="P46" s="346">
        <v>2019</v>
      </c>
    </row>
    <row r="47" spans="1:16" ht="14.4">
      <c r="A47" s="195" t="s">
        <v>183</v>
      </c>
      <c r="B47" s="195" t="s">
        <v>182</v>
      </c>
      <c r="C47" s="195" t="s">
        <v>180</v>
      </c>
      <c r="D47" s="195" t="s">
        <v>131</v>
      </c>
      <c r="E47" s="22" t="str">
        <f>'Anchoveta-Sardina Española LTP'!D46</f>
        <v xml:space="preserve">BAHIA CALDERA S.A. PESQ.          </v>
      </c>
      <c r="F47" s="22" t="s">
        <v>177</v>
      </c>
      <c r="G47" s="22" t="s">
        <v>176</v>
      </c>
      <c r="H47" s="22">
        <f>'Anchoveta-Sardina Española LTP'!F46</f>
        <v>520.51199999999994</v>
      </c>
      <c r="I47" s="22">
        <f>'Anchoveta-Sardina Española LTP'!G46</f>
        <v>-200</v>
      </c>
      <c r="J47" s="22">
        <f>'Anchoveta-Sardina Española LTP'!H46</f>
        <v>320.51199999999994</v>
      </c>
      <c r="K47" s="22">
        <f>'Anchoveta-Sardina Española LTP'!I46</f>
        <v>0</v>
      </c>
      <c r="L47" s="22">
        <f>'Anchoveta-Sardina Española LTP'!J46</f>
        <v>320.51199999999994</v>
      </c>
      <c r="M47" s="206">
        <f>'Anchoveta-Sardina Española LTP'!K46</f>
        <v>0</v>
      </c>
      <c r="N47" s="648" t="s">
        <v>43</v>
      </c>
      <c r="O47" s="197">
        <f>+'Anchoveta-Sardina Española LTP'!$C$3</f>
        <v>43740</v>
      </c>
      <c r="P47" s="346">
        <v>2019</v>
      </c>
    </row>
    <row r="48" spans="1:16" ht="14.4">
      <c r="A48" s="195" t="s">
        <v>183</v>
      </c>
      <c r="B48" s="195" t="s">
        <v>182</v>
      </c>
      <c r="C48" s="195" t="s">
        <v>180</v>
      </c>
      <c r="D48" s="195" t="s">
        <v>131</v>
      </c>
      <c r="E48" s="22" t="str">
        <f>'Anchoveta-Sardina Española LTP'!D47</f>
        <v>FOODCORP CHILE S.A.</v>
      </c>
      <c r="F48" s="22" t="s">
        <v>177</v>
      </c>
      <c r="G48" s="22" t="s">
        <v>176</v>
      </c>
      <c r="H48" s="22">
        <f>'Anchoveta-Sardina Española LTP'!F47</f>
        <v>8.7999999999999995E-2</v>
      </c>
      <c r="I48" s="22">
        <f>'Anchoveta-Sardina Española LTP'!G47</f>
        <v>0</v>
      </c>
      <c r="J48" s="22">
        <f>'Anchoveta-Sardina Española LTP'!H47</f>
        <v>8.7999999999999995E-2</v>
      </c>
      <c r="K48" s="22">
        <f>'Anchoveta-Sardina Española LTP'!I47</f>
        <v>0</v>
      </c>
      <c r="L48" s="22">
        <f>'Anchoveta-Sardina Española LTP'!J47</f>
        <v>8.7999999999999995E-2</v>
      </c>
      <c r="M48" s="206">
        <f>'Anchoveta-Sardina Española LTP'!K47</f>
        <v>0</v>
      </c>
      <c r="N48" s="648" t="s">
        <v>43</v>
      </c>
      <c r="O48" s="197">
        <f>+'Anchoveta-Sardina Española LTP'!$C$3</f>
        <v>43740</v>
      </c>
      <c r="P48" s="346">
        <v>2019</v>
      </c>
    </row>
    <row r="49" spans="1:16" ht="14.4">
      <c r="A49" s="195" t="s">
        <v>183</v>
      </c>
      <c r="B49" s="195" t="s">
        <v>182</v>
      </c>
      <c r="C49" s="195" t="s">
        <v>180</v>
      </c>
      <c r="D49" s="195" t="s">
        <v>131</v>
      </c>
      <c r="E49" s="22" t="str">
        <f>'Anchoveta-Sardina Española LTP'!D48</f>
        <v>BLUMAR S.A.</v>
      </c>
      <c r="F49" s="22" t="s">
        <v>177</v>
      </c>
      <c r="G49" s="22" t="s">
        <v>176</v>
      </c>
      <c r="H49" s="22">
        <f>'Anchoveta-Sardina Española LTP'!F48</f>
        <v>3.3519999999999999</v>
      </c>
      <c r="I49" s="22">
        <f>'Anchoveta-Sardina Española LTP'!G48</f>
        <v>0</v>
      </c>
      <c r="J49" s="22">
        <f>'Anchoveta-Sardina Española LTP'!H48</f>
        <v>3.3519999999999999</v>
      </c>
      <c r="K49" s="22">
        <f>'Anchoveta-Sardina Española LTP'!I48</f>
        <v>0</v>
      </c>
      <c r="L49" s="22">
        <f>'Anchoveta-Sardina Española LTP'!J48</f>
        <v>3.3519999999999999</v>
      </c>
      <c r="M49" s="206">
        <f>'Anchoveta-Sardina Española LTP'!K48</f>
        <v>0</v>
      </c>
      <c r="N49" s="648" t="s">
        <v>43</v>
      </c>
      <c r="O49" s="197">
        <f>+'Anchoveta-Sardina Española LTP'!$C$3</f>
        <v>43740</v>
      </c>
      <c r="P49" s="346">
        <v>2019</v>
      </c>
    </row>
    <row r="50" spans="1:16" ht="14.4">
      <c r="A50" s="195" t="s">
        <v>183</v>
      </c>
      <c r="B50" s="195" t="s">
        <v>182</v>
      </c>
      <c r="C50" s="195" t="s">
        <v>180</v>
      </c>
      <c r="D50" s="195" t="s">
        <v>131</v>
      </c>
      <c r="E50" s="22" t="str">
        <f>'Anchoveta-Sardina Española LTP'!D49</f>
        <v>CAMANCHACA S.A. CIA. PESQ.</v>
      </c>
      <c r="F50" s="22" t="s">
        <v>177</v>
      </c>
      <c r="G50" s="22" t="s">
        <v>176</v>
      </c>
      <c r="H50" s="22">
        <f>'Anchoveta-Sardina Española LTP'!F49</f>
        <v>3.7890000000000001</v>
      </c>
      <c r="I50" s="22">
        <f>'Anchoveta-Sardina Española LTP'!G49</f>
        <v>0</v>
      </c>
      <c r="J50" s="22">
        <f>'Anchoveta-Sardina Española LTP'!H49</f>
        <v>3.7890000000000001</v>
      </c>
      <c r="K50" s="22">
        <f>'Anchoveta-Sardina Española LTP'!I49</f>
        <v>0</v>
      </c>
      <c r="L50" s="22">
        <f>'Anchoveta-Sardina Española LTP'!J49</f>
        <v>3.7890000000000001</v>
      </c>
      <c r="M50" s="206">
        <f>'Anchoveta-Sardina Española LTP'!K49</f>
        <v>0</v>
      </c>
      <c r="N50" s="648" t="s">
        <v>43</v>
      </c>
      <c r="O50" s="197">
        <f>+'Anchoveta-Sardina Española LTP'!$C$3</f>
        <v>43740</v>
      </c>
      <c r="P50" s="346">
        <v>2019</v>
      </c>
    </row>
    <row r="51" spans="1:16" ht="14.4">
      <c r="A51" s="195" t="s">
        <v>183</v>
      </c>
      <c r="B51" s="195" t="s">
        <v>182</v>
      </c>
      <c r="C51" s="195" t="s">
        <v>180</v>
      </c>
      <c r="D51" s="195" t="s">
        <v>131</v>
      </c>
      <c r="E51" s="22" t="str">
        <f>'Anchoveta-Sardina Española LTP'!D50</f>
        <v>LITORAL SpA PESQ</v>
      </c>
      <c r="F51" s="22" t="s">
        <v>173</v>
      </c>
      <c r="G51" s="22" t="s">
        <v>176</v>
      </c>
      <c r="H51" s="22">
        <f>'Anchoveta-Sardina Española LTP'!F50</f>
        <v>1.736</v>
      </c>
      <c r="I51" s="22">
        <f>'Anchoveta-Sardina Española LTP'!G50</f>
        <v>-1.663</v>
      </c>
      <c r="J51" s="22">
        <f>'Anchoveta-Sardina Española LTP'!H50</f>
        <v>7.2999999999999954E-2</v>
      </c>
      <c r="K51" s="22">
        <f>'Anchoveta-Sardina Española LTP'!I50</f>
        <v>0</v>
      </c>
      <c r="L51" s="22">
        <f>'Anchoveta-Sardina Española LTP'!J50</f>
        <v>7.2999999999999954E-2</v>
      </c>
      <c r="M51" s="206">
        <f>'Anchoveta-Sardina Española LTP'!K50</f>
        <v>0</v>
      </c>
      <c r="N51" s="648" t="s">
        <v>43</v>
      </c>
      <c r="O51" s="197">
        <f>+'Anchoveta-Sardina Española LTP'!$C$3</f>
        <v>43740</v>
      </c>
      <c r="P51" s="346">
        <v>2019</v>
      </c>
    </row>
    <row r="52" spans="1:16" ht="14.4">
      <c r="A52" s="195" t="s">
        <v>183</v>
      </c>
      <c r="B52" s="195" t="s">
        <v>182</v>
      </c>
      <c r="C52" s="195" t="s">
        <v>180</v>
      </c>
      <c r="D52" s="195" t="s">
        <v>131</v>
      </c>
      <c r="E52" s="22" t="str">
        <f>'Anchoveta-Sardina Española LTP'!D51</f>
        <v>ORIZON S.A.</v>
      </c>
      <c r="F52" s="22" t="s">
        <v>173</v>
      </c>
      <c r="G52" s="22" t="s">
        <v>176</v>
      </c>
      <c r="H52" s="22">
        <f>'Anchoveta-Sardina Española LTP'!F51</f>
        <v>223.434</v>
      </c>
      <c r="I52" s="22">
        <f>'Anchoveta-Sardina Española LTP'!G51</f>
        <v>-200</v>
      </c>
      <c r="J52" s="22">
        <f>'Anchoveta-Sardina Española LTP'!H51</f>
        <v>23.433999999999997</v>
      </c>
      <c r="K52" s="22">
        <f>'Anchoveta-Sardina Española LTP'!I51</f>
        <v>0</v>
      </c>
      <c r="L52" s="22">
        <f>'Anchoveta-Sardina Española LTP'!J51</f>
        <v>23.433999999999997</v>
      </c>
      <c r="M52" s="206">
        <f>'Anchoveta-Sardina Española LTP'!K51</f>
        <v>0</v>
      </c>
      <c r="N52" s="648" t="s">
        <v>43</v>
      </c>
      <c r="O52" s="197">
        <f>+'Anchoveta-Sardina Española LTP'!$C$3</f>
        <v>43740</v>
      </c>
      <c r="P52" s="346">
        <v>2019</v>
      </c>
    </row>
    <row r="53" spans="1:16" ht="14.4">
      <c r="A53" s="195" t="s">
        <v>183</v>
      </c>
      <c r="B53" s="207" t="s">
        <v>182</v>
      </c>
      <c r="C53" s="195" t="s">
        <v>180</v>
      </c>
      <c r="D53" s="195" t="s">
        <v>131</v>
      </c>
      <c r="E53" s="22" t="str">
        <f>'Anchoveta-Sardina Española LTP'!D52</f>
        <v>CAMANCHACA PESCA SUR S.A.</v>
      </c>
      <c r="F53" s="22" t="s">
        <v>173</v>
      </c>
      <c r="G53" s="22" t="s">
        <v>176</v>
      </c>
      <c r="H53" s="22">
        <f>'Anchoveta-Sardina Española LTP'!F52</f>
        <v>1.5129999999999999</v>
      </c>
      <c r="I53" s="22">
        <f>'Anchoveta-Sardina Española LTP'!G52</f>
        <v>0</v>
      </c>
      <c r="J53" s="22">
        <f>'Anchoveta-Sardina Española LTP'!H52</f>
        <v>1.5129999999999999</v>
      </c>
      <c r="K53" s="22">
        <f>'Anchoveta-Sardina Española LTP'!I52</f>
        <v>0</v>
      </c>
      <c r="L53" s="22">
        <f>'Anchoveta-Sardina Española LTP'!J52</f>
        <v>1.5129999999999999</v>
      </c>
      <c r="M53" s="206">
        <f>'Anchoveta-Sardina Española LTP'!K52</f>
        <v>0</v>
      </c>
      <c r="N53" s="648" t="s">
        <v>43</v>
      </c>
      <c r="O53" s="197">
        <f>+'Anchoveta-Sardina Española LTP'!$C$3</f>
        <v>43740</v>
      </c>
      <c r="P53" s="346">
        <v>2019</v>
      </c>
    </row>
    <row r="54" spans="1:16" ht="15" thickBot="1">
      <c r="A54" s="198" t="s">
        <v>183</v>
      </c>
      <c r="B54" s="208" t="s">
        <v>182</v>
      </c>
      <c r="C54" s="198" t="s">
        <v>180</v>
      </c>
      <c r="D54" s="198" t="s">
        <v>131</v>
      </c>
      <c r="E54" s="199" t="str">
        <f>'Anchoveta-Sardina Española LTP'!D53</f>
        <v>LANDES S.A. SOC.PESQ.</v>
      </c>
      <c r="F54" s="199" t="s">
        <v>173</v>
      </c>
      <c r="G54" s="199" t="s">
        <v>176</v>
      </c>
      <c r="H54" s="199">
        <f>'Anchoveta-Sardina Española LTP'!F53</f>
        <v>1.024</v>
      </c>
      <c r="I54" s="199">
        <f>'Anchoveta-Sardina Española LTP'!G53</f>
        <v>0</v>
      </c>
      <c r="J54" s="199">
        <f>'Anchoveta-Sardina Española LTP'!H53</f>
        <v>1.024</v>
      </c>
      <c r="K54" s="199">
        <f>'Anchoveta-Sardina Española LTP'!I53</f>
        <v>0</v>
      </c>
      <c r="L54" s="199">
        <f>'Anchoveta-Sardina Española LTP'!J53</f>
        <v>1.024</v>
      </c>
      <c r="M54" s="209">
        <f>'Anchoveta-Sardina Española LTP'!K53</f>
        <v>0</v>
      </c>
      <c r="N54" s="648" t="s">
        <v>43</v>
      </c>
      <c r="O54" s="201">
        <f>+'Anchoveta-Sardina Española LTP'!$C$3</f>
        <v>43740</v>
      </c>
      <c r="P54" s="346">
        <v>2019</v>
      </c>
    </row>
    <row r="55" spans="1:16" ht="15" thickBot="1">
      <c r="A55" s="219" t="s">
        <v>183</v>
      </c>
      <c r="B55" s="220" t="s">
        <v>182</v>
      </c>
      <c r="C55" s="220" t="s">
        <v>180</v>
      </c>
      <c r="D55" s="220" t="s">
        <v>131</v>
      </c>
      <c r="E55" s="220" t="s">
        <v>178</v>
      </c>
      <c r="F55" s="220" t="s">
        <v>177</v>
      </c>
      <c r="G55" s="220" t="s">
        <v>176</v>
      </c>
      <c r="H55" s="220">
        <f>SUM(H46:H54)</f>
        <v>875.00099999999986</v>
      </c>
      <c r="I55" s="220">
        <f>+'Anchoveta Artesanal'!F21</f>
        <v>37441</v>
      </c>
      <c r="J55" s="220">
        <f t="shared" ref="J55" si="10">SUM(J46:J54)</f>
        <v>473.33799999999991</v>
      </c>
      <c r="K55" s="220">
        <f>SUM(K46:K54)</f>
        <v>0</v>
      </c>
      <c r="L55" s="220">
        <f>SUM(L46:L54)</f>
        <v>473.33799999999991</v>
      </c>
      <c r="M55" s="640">
        <f>+K55/J55</f>
        <v>0</v>
      </c>
      <c r="N55" s="652" t="s">
        <v>43</v>
      </c>
      <c r="O55" s="221">
        <f>+'Anchoveta-Sardina Española LTP'!$C$3</f>
        <v>43740</v>
      </c>
      <c r="P55" s="346">
        <v>2019</v>
      </c>
    </row>
    <row r="56" spans="1:16" ht="14.4">
      <c r="A56" s="205" t="s">
        <v>171</v>
      </c>
      <c r="B56" s="205" t="s">
        <v>172</v>
      </c>
      <c r="C56" s="205" t="s">
        <v>52</v>
      </c>
      <c r="D56" s="205" t="s">
        <v>184</v>
      </c>
      <c r="E56" s="202" t="s">
        <v>185</v>
      </c>
      <c r="F56" s="202" t="s">
        <v>173</v>
      </c>
      <c r="G56" s="202" t="s">
        <v>174</v>
      </c>
      <c r="H56" s="222">
        <f>'Anchoveta Artesanal'!F5</f>
        <v>60695</v>
      </c>
      <c r="I56" s="222">
        <f>'Anchoveta Artesanal'!G5</f>
        <v>0</v>
      </c>
      <c r="J56" s="222">
        <f>'Anchoveta Artesanal'!H5</f>
        <v>60695</v>
      </c>
      <c r="K56" s="222">
        <f>'Anchoveta Artesanal'!I5</f>
        <v>57369.73</v>
      </c>
      <c r="L56" s="222">
        <f>'Anchoveta Artesanal'!J5</f>
        <v>3325.2699999999968</v>
      </c>
      <c r="M56" s="223">
        <f>'Anchoveta Artesanal'!K5</f>
        <v>0.945213444270533</v>
      </c>
      <c r="N56" s="651" t="str">
        <f>+'Anchoveta Artesanal'!L5</f>
        <v>-</v>
      </c>
      <c r="O56" s="204">
        <f>+'Anchoveta Artesanal'!$B$2</f>
        <v>43740</v>
      </c>
      <c r="P56" s="346">
        <v>2019</v>
      </c>
    </row>
    <row r="57" spans="1:16" ht="15" thickBot="1">
      <c r="A57" s="198" t="s">
        <v>171</v>
      </c>
      <c r="B57" s="198" t="s">
        <v>172</v>
      </c>
      <c r="C57" s="198" t="s">
        <v>52</v>
      </c>
      <c r="D57" s="198" t="s">
        <v>184</v>
      </c>
      <c r="E57" s="199" t="s">
        <v>185</v>
      </c>
      <c r="F57" s="199" t="s">
        <v>175</v>
      </c>
      <c r="G57" s="199" t="s">
        <v>176</v>
      </c>
      <c r="H57" s="638">
        <f>'Anchoveta Artesanal'!F6</f>
        <v>20232</v>
      </c>
      <c r="I57" s="638">
        <f>'Anchoveta Artesanal'!G6</f>
        <v>7494</v>
      </c>
      <c r="J57" s="638">
        <f>'Anchoveta Artesanal'!H6</f>
        <v>31051.269999999997</v>
      </c>
      <c r="K57" s="638">
        <f>'Anchoveta Artesanal'!I6</f>
        <v>23935.616000000016</v>
      </c>
      <c r="L57" s="638">
        <f>'Anchoveta Artesanal'!J6</f>
        <v>7115.6539999999804</v>
      </c>
      <c r="M57" s="209">
        <f>'Anchoveta Artesanal'!K6</f>
        <v>0.77084177233330609</v>
      </c>
      <c r="N57" s="649" t="s">
        <v>43</v>
      </c>
      <c r="O57" s="201">
        <f>+'Anchoveta Artesanal'!$B$2</f>
        <v>43740</v>
      </c>
      <c r="P57" s="346">
        <v>2019</v>
      </c>
    </row>
    <row r="58" spans="1:16" ht="15" thickBot="1">
      <c r="A58" s="219" t="s">
        <v>171</v>
      </c>
      <c r="B58" s="220" t="s">
        <v>172</v>
      </c>
      <c r="C58" s="220" t="s">
        <v>52</v>
      </c>
      <c r="D58" s="220" t="s">
        <v>184</v>
      </c>
      <c r="E58" s="220" t="s">
        <v>185</v>
      </c>
      <c r="F58" s="220" t="s">
        <v>173</v>
      </c>
      <c r="G58" s="220" t="s">
        <v>176</v>
      </c>
      <c r="H58" s="220">
        <f>SUM(H56:H57)</f>
        <v>80927</v>
      </c>
      <c r="I58" s="220">
        <f t="shared" ref="I58:L58" si="11">SUM(I56:I57)</f>
        <v>7494</v>
      </c>
      <c r="J58" s="220">
        <f t="shared" si="11"/>
        <v>91746.26999999999</v>
      </c>
      <c r="K58" s="220">
        <f t="shared" si="11"/>
        <v>81305.34600000002</v>
      </c>
      <c r="L58" s="220">
        <f t="shared" si="11"/>
        <v>10440.923999999977</v>
      </c>
      <c r="M58" s="640">
        <f>+K58/J58</f>
        <v>0.88619783670769425</v>
      </c>
      <c r="N58" s="652" t="s">
        <v>43</v>
      </c>
      <c r="O58" s="221">
        <f>+'Anchoveta Artesanal'!$B$2</f>
        <v>43740</v>
      </c>
      <c r="P58" s="346">
        <v>2019</v>
      </c>
    </row>
    <row r="59" spans="1:16" ht="14.4">
      <c r="A59" s="205" t="s">
        <v>171</v>
      </c>
      <c r="B59" s="205" t="s">
        <v>172</v>
      </c>
      <c r="C59" s="205" t="s">
        <v>186</v>
      </c>
      <c r="D59" s="205" t="s">
        <v>187</v>
      </c>
      <c r="E59" s="202" t="s">
        <v>188</v>
      </c>
      <c r="F59" s="202" t="s">
        <v>173</v>
      </c>
      <c r="G59" s="202" t="s">
        <v>174</v>
      </c>
      <c r="H59" s="222">
        <f>'Anchoveta Artesanal'!F8</f>
        <v>30528</v>
      </c>
      <c r="I59" s="222">
        <f>'Anchoveta Artesanal'!G8</f>
        <v>0</v>
      </c>
      <c r="J59" s="222">
        <f>'Anchoveta Artesanal'!H8</f>
        <v>30528</v>
      </c>
      <c r="K59" s="222">
        <f>'Anchoveta Artesanal'!I8</f>
        <v>24383.925999999985</v>
      </c>
      <c r="L59" s="222">
        <f>'Anchoveta Artesanal'!J8</f>
        <v>6144.0740000000151</v>
      </c>
      <c r="M59" s="223">
        <f>'Anchoveta Artesanal'!K8</f>
        <v>0.79873971436058655</v>
      </c>
      <c r="O59" s="204">
        <f>+'Anchoveta Artesanal'!$B$2</f>
        <v>43740</v>
      </c>
      <c r="P59" s="346">
        <v>2019</v>
      </c>
    </row>
    <row r="60" spans="1:16" ht="15" thickBot="1">
      <c r="A60" s="198" t="s">
        <v>171</v>
      </c>
      <c r="B60" s="198" t="s">
        <v>172</v>
      </c>
      <c r="C60" s="198" t="s">
        <v>186</v>
      </c>
      <c r="D60" s="198" t="s">
        <v>187</v>
      </c>
      <c r="E60" s="199" t="s">
        <v>188</v>
      </c>
      <c r="F60" s="199" t="s">
        <v>175</v>
      </c>
      <c r="G60" s="199" t="s">
        <v>176</v>
      </c>
      <c r="H60" s="638">
        <f>'Anchoveta Artesanal'!F9</f>
        <v>1</v>
      </c>
      <c r="I60" s="638">
        <f>'Anchoveta Artesanal'!G9</f>
        <v>0</v>
      </c>
      <c r="J60" s="638">
        <f>'Anchoveta Artesanal'!H9</f>
        <v>6145.0740000000151</v>
      </c>
      <c r="K60" s="638">
        <f>'Anchoveta Artesanal'!I9</f>
        <v>7419.3050000000021</v>
      </c>
      <c r="L60" s="638">
        <f>'Anchoveta Artesanal'!J9</f>
        <v>-1274.230999999987</v>
      </c>
      <c r="M60" s="209">
        <f>'Anchoveta Artesanal'!K9</f>
        <v>1.2073581213179831</v>
      </c>
      <c r="O60" s="201">
        <f>+'Anchoveta Artesanal'!$B$2</f>
        <v>43740</v>
      </c>
      <c r="P60" s="346">
        <v>2019</v>
      </c>
    </row>
    <row r="61" spans="1:16" ht="15" thickBot="1">
      <c r="A61" s="219" t="s">
        <v>171</v>
      </c>
      <c r="B61" s="220" t="s">
        <v>172</v>
      </c>
      <c r="C61" s="220" t="s">
        <v>186</v>
      </c>
      <c r="D61" s="220" t="s">
        <v>187</v>
      </c>
      <c r="E61" s="220" t="s">
        <v>188</v>
      </c>
      <c r="F61" s="220" t="s">
        <v>173</v>
      </c>
      <c r="G61" s="220" t="s">
        <v>176</v>
      </c>
      <c r="H61" s="220">
        <f>SUM(H59:H60)</f>
        <v>30529</v>
      </c>
      <c r="I61" s="220">
        <f t="shared" ref="I61:L61" si="12">SUM(I59:I60)</f>
        <v>0</v>
      </c>
      <c r="J61" s="220">
        <f t="shared" si="12"/>
        <v>36673.074000000015</v>
      </c>
      <c r="K61" s="220">
        <f t="shared" si="12"/>
        <v>31803.230999999985</v>
      </c>
      <c r="L61" s="220">
        <f t="shared" si="12"/>
        <v>4869.843000000028</v>
      </c>
      <c r="M61" s="640">
        <f>+K61/J61</f>
        <v>0.86720930457043144</v>
      </c>
      <c r="N61" s="652" t="s">
        <v>43</v>
      </c>
      <c r="O61" s="221">
        <f>+'Anchoveta Artesanal'!$B$2</f>
        <v>43740</v>
      </c>
      <c r="P61" s="346">
        <v>2019</v>
      </c>
    </row>
    <row r="62" spans="1:16" ht="15" thickBot="1">
      <c r="A62" s="219" t="s">
        <v>179</v>
      </c>
      <c r="B62" s="220" t="s">
        <v>172</v>
      </c>
      <c r="C62" s="220" t="s">
        <v>189</v>
      </c>
      <c r="D62" s="220" t="s">
        <v>187</v>
      </c>
      <c r="E62" s="220" t="s">
        <v>190</v>
      </c>
      <c r="F62" s="220" t="s">
        <v>173</v>
      </c>
      <c r="G62" s="220" t="s">
        <v>176</v>
      </c>
      <c r="H62" s="220">
        <f>'Anchoveta Artesanal'!F16</f>
        <v>26209</v>
      </c>
      <c r="I62" s="220">
        <f>'Anchoveta Artesanal'!G16</f>
        <v>0</v>
      </c>
      <c r="J62" s="220">
        <f>'Anchoveta Artesanal'!H16</f>
        <v>26209</v>
      </c>
      <c r="K62" s="220">
        <f>'Anchoveta Artesanal'!I16</f>
        <v>25855.380000000008</v>
      </c>
      <c r="L62" s="220">
        <f>'Anchoveta Artesanal'!J16</f>
        <v>353.61999999999171</v>
      </c>
      <c r="M62" s="640">
        <f>'Anchoveta Artesanal'!K16</f>
        <v>0.98650768819871071</v>
      </c>
      <c r="N62" s="652" t="str">
        <f>+'Anchoveta Artesanal'!L16</f>
        <v>-</v>
      </c>
      <c r="O62" s="221">
        <f>+'Anchoveta Artesanal'!$B$2</f>
        <v>43740</v>
      </c>
      <c r="P62" s="346">
        <v>2019</v>
      </c>
    </row>
    <row r="63" spans="1:16" ht="14.4">
      <c r="A63" s="22" t="s">
        <v>179</v>
      </c>
      <c r="B63" s="22" t="s">
        <v>172</v>
      </c>
      <c r="C63" s="22" t="s">
        <v>55</v>
      </c>
      <c r="D63" s="22" t="s">
        <v>191</v>
      </c>
      <c r="E63" s="22" t="s">
        <v>192</v>
      </c>
      <c r="F63" s="22" t="s">
        <v>173</v>
      </c>
      <c r="G63" s="22" t="s">
        <v>176</v>
      </c>
      <c r="H63" s="210">
        <f>'Anchoveta Artesanal'!F18</f>
        <v>11195.151</v>
      </c>
      <c r="I63" s="210">
        <f>'Anchoveta Artesanal'!G18</f>
        <v>0</v>
      </c>
      <c r="J63" s="210">
        <f>'Anchoveta Artesanal'!H18</f>
        <v>11195.151</v>
      </c>
      <c r="K63" s="210">
        <f>'Anchoveta Artesanal'!I18</f>
        <v>11108.782999999999</v>
      </c>
      <c r="L63" s="210">
        <f>'Anchoveta Artesanal'!J18</f>
        <v>86.368000000000393</v>
      </c>
      <c r="M63" s="206">
        <f>'Anchoveta Artesanal'!K18</f>
        <v>0.99228523134703583</v>
      </c>
      <c r="N63" s="648" t="str">
        <f>+'Anchoveta Artesanal'!L18</f>
        <v>-</v>
      </c>
      <c r="O63" s="197">
        <f>+'Anchoveta Artesanal'!$B$2</f>
        <v>43740</v>
      </c>
      <c r="P63" s="346">
        <v>2019</v>
      </c>
    </row>
    <row r="64" spans="1:16" ht="15" thickBot="1">
      <c r="A64" s="22" t="s">
        <v>179</v>
      </c>
      <c r="B64" s="22" t="s">
        <v>172</v>
      </c>
      <c r="C64" s="22" t="s">
        <v>55</v>
      </c>
      <c r="D64" s="22" t="s">
        <v>191</v>
      </c>
      <c r="E64" s="22" t="s">
        <v>193</v>
      </c>
      <c r="F64" s="22" t="s">
        <v>173</v>
      </c>
      <c r="G64" s="22" t="s">
        <v>176</v>
      </c>
      <c r="H64" s="210">
        <f>'Anchoveta Artesanal'!F19</f>
        <v>36.848999999999997</v>
      </c>
      <c r="I64" s="210">
        <f>'Anchoveta Artesanal'!G19</f>
        <v>0</v>
      </c>
      <c r="J64" s="210">
        <f>'Anchoveta Artesanal'!H19</f>
        <v>36.848999999999997</v>
      </c>
      <c r="K64" s="210">
        <f>'Anchoveta Artesanal'!I19</f>
        <v>4.0650000000000004</v>
      </c>
      <c r="L64" s="210">
        <f>'Anchoveta Artesanal'!J19</f>
        <v>32.783999999999999</v>
      </c>
      <c r="M64" s="206">
        <f>'Anchoveta Artesanal'!K19</f>
        <v>0.11031506960840187</v>
      </c>
      <c r="N64" s="648" t="str">
        <f>+'Anchoveta Artesanal'!L19</f>
        <v>-</v>
      </c>
      <c r="O64" s="197">
        <f>+'Anchoveta Artesanal'!$B$2</f>
        <v>43740</v>
      </c>
      <c r="P64" s="346">
        <v>2019</v>
      </c>
    </row>
    <row r="65" spans="1:16" ht="15" thickBot="1">
      <c r="A65" s="219" t="s">
        <v>179</v>
      </c>
      <c r="B65" s="220" t="s">
        <v>172</v>
      </c>
      <c r="C65" s="220" t="s">
        <v>55</v>
      </c>
      <c r="D65" s="220" t="s">
        <v>194</v>
      </c>
      <c r="E65" s="220" t="s">
        <v>195</v>
      </c>
      <c r="F65" s="220" t="s">
        <v>173</v>
      </c>
      <c r="G65" s="220" t="s">
        <v>196</v>
      </c>
      <c r="H65" s="220">
        <f>SUM(H63:H64)</f>
        <v>11232</v>
      </c>
      <c r="I65" s="220">
        <f t="shared" ref="I65:L65" si="13">SUM(I63:I64)</f>
        <v>0</v>
      </c>
      <c r="J65" s="220">
        <f t="shared" si="13"/>
        <v>11232</v>
      </c>
      <c r="K65" s="220">
        <f t="shared" si="13"/>
        <v>11112.848</v>
      </c>
      <c r="L65" s="220">
        <f t="shared" si="13"/>
        <v>119.15200000000038</v>
      </c>
      <c r="M65" s="640">
        <f>+K65/J65</f>
        <v>0.98939173789173784</v>
      </c>
      <c r="N65" s="652" t="s">
        <v>43</v>
      </c>
      <c r="O65" s="221">
        <f>+'Anchoveta Artesanal'!$B$2</f>
        <v>43740</v>
      </c>
      <c r="P65" s="346">
        <v>2019</v>
      </c>
    </row>
    <row r="66" spans="1:16" ht="14.4">
      <c r="A66" s="22" t="s">
        <v>181</v>
      </c>
      <c r="B66" s="22" t="s">
        <v>182</v>
      </c>
      <c r="C66" s="22" t="s">
        <v>52</v>
      </c>
      <c r="D66" s="22" t="s">
        <v>197</v>
      </c>
      <c r="E66" s="22" t="s">
        <v>198</v>
      </c>
      <c r="F66" s="22" t="s">
        <v>173</v>
      </c>
      <c r="G66" s="22" t="s">
        <v>174</v>
      </c>
      <c r="H66" s="210">
        <f>'Sardina Española Artesanal'!F6</f>
        <v>536</v>
      </c>
      <c r="I66" s="210">
        <f>'Sardina Española Artesanal'!G6</f>
        <v>0</v>
      </c>
      <c r="J66" s="210">
        <f>'Sardina Española Artesanal'!H6</f>
        <v>536</v>
      </c>
      <c r="K66" s="210">
        <f>'Sardina Española Artesanal'!I6</f>
        <v>0</v>
      </c>
      <c r="L66" s="210">
        <f>'Sardina Española Artesanal'!J6</f>
        <v>536</v>
      </c>
      <c r="M66" s="206">
        <f>'Sardina Española Artesanal'!K6</f>
        <v>0</v>
      </c>
      <c r="N66" s="648" t="str">
        <f>'Sardina Española Artesanal'!L6</f>
        <v>-</v>
      </c>
      <c r="O66" s="197">
        <f>+'Sardina Española Artesanal'!$C$3</f>
        <v>43740</v>
      </c>
      <c r="P66" s="346">
        <v>2019</v>
      </c>
    </row>
    <row r="67" spans="1:16" ht="14.4">
      <c r="A67" s="22" t="s">
        <v>181</v>
      </c>
      <c r="B67" s="22" t="s">
        <v>182</v>
      </c>
      <c r="C67" s="22" t="s">
        <v>52</v>
      </c>
      <c r="D67" s="22" t="s">
        <v>197</v>
      </c>
      <c r="E67" s="22" t="s">
        <v>198</v>
      </c>
      <c r="F67" s="22" t="s">
        <v>175</v>
      </c>
      <c r="G67" s="22" t="s">
        <v>176</v>
      </c>
      <c r="H67" s="210">
        <f>'Sardina Española Artesanal'!F7</f>
        <v>178</v>
      </c>
      <c r="I67" s="210">
        <f>'Sardina Española Artesanal'!G7</f>
        <v>0</v>
      </c>
      <c r="J67" s="210">
        <f>'Sardina Española Artesanal'!H7</f>
        <v>714</v>
      </c>
      <c r="K67" s="210">
        <f>'Sardina Española Artesanal'!I7</f>
        <v>0</v>
      </c>
      <c r="L67" s="210">
        <f>'Sardina Española Artesanal'!J7</f>
        <v>714</v>
      </c>
      <c r="M67" s="206">
        <f>'Sardina Española Artesanal'!K7</f>
        <v>0</v>
      </c>
      <c r="N67" s="648" t="str">
        <f>'Sardina Española Artesanal'!L7</f>
        <v>-</v>
      </c>
      <c r="O67" s="197">
        <f>+'Sardina Española Artesanal'!$C$3</f>
        <v>43740</v>
      </c>
      <c r="P67" s="346">
        <v>2019</v>
      </c>
    </row>
    <row r="68" spans="1:16" ht="14.4">
      <c r="A68" s="22" t="s">
        <v>181</v>
      </c>
      <c r="B68" s="22" t="s">
        <v>182</v>
      </c>
      <c r="C68" s="22" t="s">
        <v>52</v>
      </c>
      <c r="D68" s="22" t="s">
        <v>197</v>
      </c>
      <c r="E68" s="22" t="s">
        <v>198</v>
      </c>
      <c r="F68" s="22" t="s">
        <v>173</v>
      </c>
      <c r="G68" s="22" t="s">
        <v>176</v>
      </c>
      <c r="H68" s="210">
        <f>SUM(H66:H67)</f>
        <v>714</v>
      </c>
      <c r="I68" s="210">
        <f t="shared" ref="I68:M68" si="14">SUM(I66:I67)</f>
        <v>0</v>
      </c>
      <c r="J68" s="210">
        <f t="shared" si="14"/>
        <v>1250</v>
      </c>
      <c r="K68" s="210">
        <f t="shared" si="14"/>
        <v>0</v>
      </c>
      <c r="L68" s="210">
        <f t="shared" si="14"/>
        <v>1250</v>
      </c>
      <c r="M68" s="206">
        <f t="shared" si="14"/>
        <v>0</v>
      </c>
      <c r="N68" s="648" t="s">
        <v>43</v>
      </c>
      <c r="O68" s="197">
        <f>+'Sardina Española Artesanal'!$C$3</f>
        <v>43740</v>
      </c>
      <c r="P68" s="346">
        <v>2019</v>
      </c>
    </row>
    <row r="69" spans="1:16" ht="14.4">
      <c r="A69" s="22" t="s">
        <v>181</v>
      </c>
      <c r="B69" s="22" t="s">
        <v>182</v>
      </c>
      <c r="C69" s="22" t="s">
        <v>53</v>
      </c>
      <c r="D69" s="22" t="s">
        <v>187</v>
      </c>
      <c r="E69" s="22" t="s">
        <v>188</v>
      </c>
      <c r="F69" s="22" t="s">
        <v>173</v>
      </c>
      <c r="G69" s="22" t="s">
        <v>174</v>
      </c>
      <c r="H69" s="210">
        <f>'Sardina Española Artesanal'!F9</f>
        <v>2026</v>
      </c>
      <c r="I69" s="210">
        <f>'Sardina Española Artesanal'!G9</f>
        <v>0</v>
      </c>
      <c r="J69" s="210">
        <f>'Sardina Española Artesanal'!H9</f>
        <v>2026</v>
      </c>
      <c r="K69" s="210">
        <f>'Sardina Española Artesanal'!I9</f>
        <v>407.46300000000002</v>
      </c>
      <c r="L69" s="210">
        <f>'Sardina Española Artesanal'!J9</f>
        <v>1618.537</v>
      </c>
      <c r="M69" s="206">
        <f>'Sardina Española Artesanal'!K9</f>
        <v>0.20111697926949657</v>
      </c>
      <c r="N69" s="648" t="str">
        <f>'Sardina Española Artesanal'!L9</f>
        <v>-</v>
      </c>
      <c r="O69" s="197">
        <f>+'Sardina Española Artesanal'!$C$3</f>
        <v>43740</v>
      </c>
      <c r="P69" s="346">
        <v>2019</v>
      </c>
    </row>
    <row r="70" spans="1:16" ht="14.4">
      <c r="A70" s="22" t="s">
        <v>181</v>
      </c>
      <c r="B70" s="22" t="s">
        <v>182</v>
      </c>
      <c r="C70" s="22" t="s">
        <v>53</v>
      </c>
      <c r="D70" s="22" t="s">
        <v>187</v>
      </c>
      <c r="E70" s="22" t="s">
        <v>188</v>
      </c>
      <c r="F70" s="22" t="s">
        <v>175</v>
      </c>
      <c r="G70" s="22" t="s">
        <v>176</v>
      </c>
      <c r="H70" s="210">
        <f>'Sardina Española Artesanal'!F10</f>
        <v>675</v>
      </c>
      <c r="I70" s="210">
        <f>'Sardina Española Artesanal'!G10</f>
        <v>0</v>
      </c>
      <c r="J70" s="210">
        <f>'Sardina Española Artesanal'!H10</f>
        <v>2293.5370000000003</v>
      </c>
      <c r="K70" s="210">
        <f>'Sardina Española Artesanal'!I10</f>
        <v>0</v>
      </c>
      <c r="L70" s="210">
        <f>'Sardina Española Artesanal'!J10</f>
        <v>2293.5370000000003</v>
      </c>
      <c r="M70" s="206">
        <f>'Sardina Española Artesanal'!K10</f>
        <v>0</v>
      </c>
      <c r="N70" s="648" t="str">
        <f>'Sardina Española Artesanal'!L10</f>
        <v>-</v>
      </c>
      <c r="O70" s="197">
        <f>+'Sardina Española Artesanal'!$C$3</f>
        <v>43740</v>
      </c>
      <c r="P70" s="346">
        <v>2019</v>
      </c>
    </row>
    <row r="71" spans="1:16" ht="14.4">
      <c r="A71" s="22" t="s">
        <v>181</v>
      </c>
      <c r="B71" s="22" t="s">
        <v>182</v>
      </c>
      <c r="C71" s="22" t="s">
        <v>53</v>
      </c>
      <c r="D71" s="22" t="s">
        <v>187</v>
      </c>
      <c r="E71" s="22" t="s">
        <v>188</v>
      </c>
      <c r="F71" s="22" t="s">
        <v>173</v>
      </c>
      <c r="G71" s="22" t="s">
        <v>176</v>
      </c>
      <c r="H71" s="210">
        <f>SUM(H69:H70)</f>
        <v>2701</v>
      </c>
      <c r="I71" s="210">
        <f t="shared" ref="I71:M71" si="15">SUM(I69:I70)</f>
        <v>0</v>
      </c>
      <c r="J71" s="210">
        <f t="shared" si="15"/>
        <v>4319.5370000000003</v>
      </c>
      <c r="K71" s="210">
        <f t="shared" si="15"/>
        <v>407.46300000000002</v>
      </c>
      <c r="L71" s="210">
        <f t="shared" si="15"/>
        <v>3912.0740000000005</v>
      </c>
      <c r="M71" s="206">
        <f t="shared" si="15"/>
        <v>0.20111697926949657</v>
      </c>
      <c r="N71" s="648" t="s">
        <v>43</v>
      </c>
      <c r="O71" s="197">
        <f>+'Sardina Española Artesanal'!$C$3</f>
        <v>43740</v>
      </c>
      <c r="P71" s="346">
        <v>2019</v>
      </c>
    </row>
    <row r="72" spans="1:16" ht="14.4">
      <c r="A72" s="22" t="s">
        <v>183</v>
      </c>
      <c r="B72" s="22" t="s">
        <v>182</v>
      </c>
      <c r="C72" s="22" t="s">
        <v>54</v>
      </c>
      <c r="D72" s="22" t="s">
        <v>187</v>
      </c>
      <c r="E72" s="22" t="s">
        <v>190</v>
      </c>
      <c r="F72" s="22" t="s">
        <v>173</v>
      </c>
      <c r="G72" s="22" t="s">
        <v>176</v>
      </c>
      <c r="H72" s="210">
        <f>'Sardina Española Artesanal'!F18</f>
        <v>387.5</v>
      </c>
      <c r="I72" s="210">
        <f>'Sardina Española Artesanal'!G18</f>
        <v>0</v>
      </c>
      <c r="J72" s="210">
        <f>'Sardina Española Artesanal'!H18</f>
        <v>387.5</v>
      </c>
      <c r="K72" s="210">
        <f>'Sardina Española Artesanal'!I18</f>
        <v>350.76500000000004</v>
      </c>
      <c r="L72" s="210">
        <f>'Sardina Española Artesanal'!J18</f>
        <v>36.734999999999957</v>
      </c>
      <c r="M72" s="206">
        <f>'Sardina Española Artesanal'!K18</f>
        <v>0.90520000000000012</v>
      </c>
      <c r="N72" s="648" t="str">
        <f>'Sardina Española Artesanal'!L18</f>
        <v>-</v>
      </c>
      <c r="O72" s="197">
        <f>+'Sardina Española Artesanal'!$C$3</f>
        <v>43740</v>
      </c>
      <c r="P72" s="346">
        <v>2019</v>
      </c>
    </row>
    <row r="73" spans="1:16" ht="14.4">
      <c r="A73" s="22" t="s">
        <v>183</v>
      </c>
      <c r="B73" s="22" t="s">
        <v>182</v>
      </c>
      <c r="C73" s="22" t="s">
        <v>55</v>
      </c>
      <c r="D73" s="22" t="s">
        <v>187</v>
      </c>
      <c r="E73" s="22" t="s">
        <v>199</v>
      </c>
      <c r="F73" s="22" t="s">
        <v>173</v>
      </c>
      <c r="G73" s="22" t="s">
        <v>176</v>
      </c>
      <c r="H73" s="210">
        <f>'Sardina Española Artesanal'!F20</f>
        <v>387.5</v>
      </c>
      <c r="I73" s="210">
        <f>'Sardina Española Artesanal'!G20</f>
        <v>0</v>
      </c>
      <c r="J73" s="210">
        <f>'Sardina Española Artesanal'!H20</f>
        <v>387.5</v>
      </c>
      <c r="K73" s="210">
        <f>'Sardina Española Artesanal'!I20</f>
        <v>203.18799999999999</v>
      </c>
      <c r="L73" s="210">
        <f>'Sardina Española Artesanal'!J20</f>
        <v>184.31200000000001</v>
      </c>
      <c r="M73" s="206">
        <f>'Sardina Española Artesanal'!K20</f>
        <v>0.52435612903225803</v>
      </c>
      <c r="N73" s="648" t="str">
        <f>'Sardina Española Artesanal'!L20</f>
        <v>-</v>
      </c>
      <c r="O73" s="197">
        <f>+'Sardina Española Artesanal'!$C$3</f>
        <v>43740</v>
      </c>
      <c r="P73" s="346">
        <v>2019</v>
      </c>
    </row>
  </sheetData>
  <autoFilter ref="A1:Q1"/>
  <conditionalFormatting sqref="M1">
    <cfRule type="cellIs" dxfId="4" priority="1" operator="greaterThan">
      <formula>100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Resumen_Anch_Sard_Esp_XV-IV</vt:lpstr>
      <vt:lpstr>Anchoveta-Sardina Española LTP</vt:lpstr>
      <vt:lpstr>Anchoveta Artesanal</vt:lpstr>
      <vt:lpstr>Sardina Española Artesanal</vt:lpstr>
      <vt:lpstr>Cesiones_a_artesanales</vt:lpstr>
      <vt:lpstr>Investigacion</vt:lpstr>
      <vt:lpstr>Cuota </vt:lpstr>
      <vt:lpstr>Web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ZULETA ESPINOZA, GERALDINE</dc:creator>
  <cp:lastModifiedBy>rgarcia</cp:lastModifiedBy>
  <dcterms:created xsi:type="dcterms:W3CDTF">2019-01-31T16:16:15Z</dcterms:created>
  <dcterms:modified xsi:type="dcterms:W3CDTF">2019-10-04T14:43:02Z</dcterms:modified>
</cp:coreProperties>
</file>