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120" yWindow="90" windowWidth="18915" windowHeight="12330" tabRatio="782" activeTab="1"/>
  </bookViews>
  <sheets>
    <sheet name="Resumen" sheetId="1" r:id="rId1"/>
    <sheet name="Artesanal Anchoveta XV-IV" sheetId="2" r:id="rId2"/>
    <sheet name="Artesanal S.española XV-IV" sheetId="7" r:id="rId3"/>
    <sheet name="Industrial" sheetId="3" r:id="rId4"/>
    <sheet name="Cesiones ind y colec" sheetId="5" r:id="rId5"/>
    <sheet name="P. Investigación" sheetId="4" r:id="rId6"/>
    <sheet name="Consumo humano" sheetId="8" r:id="rId7"/>
    <sheet name="Publicacion web" sheetId="6" r:id="rId8"/>
  </sheets>
  <definedNames>
    <definedName name="_xlnm._FilterDatabase" localSheetId="4" hidden="1">'Cesiones ind y colec'!$B$4:$P$195</definedName>
  </definedNames>
  <calcPr calcId="152511"/>
</workbook>
</file>

<file path=xl/calcChain.xml><?xml version="1.0" encoding="utf-8"?>
<calcChain xmlns="http://schemas.openxmlformats.org/spreadsheetml/2006/main">
  <c r="P5" i="4" l="1"/>
  <c r="H15" i="4"/>
  <c r="H25" i="1"/>
  <c r="K157" i="5" l="1"/>
  <c r="K102" i="5"/>
  <c r="K6" i="5"/>
  <c r="K158" i="5"/>
  <c r="T5" i="5"/>
  <c r="L195" i="5"/>
  <c r="K195" i="5"/>
  <c r="F22" i="3"/>
  <c r="F16" i="3" l="1"/>
  <c r="L158" i="5"/>
  <c r="L193" i="5"/>
  <c r="K193" i="5"/>
  <c r="F26" i="3"/>
  <c r="T6" i="5" l="1"/>
  <c r="P184" i="5"/>
  <c r="O184" i="5"/>
  <c r="F52" i="3"/>
  <c r="P173" i="5"/>
  <c r="O173" i="5"/>
  <c r="K166" i="5"/>
  <c r="L166" i="5"/>
  <c r="F12" i="3"/>
  <c r="L48" i="5" l="1"/>
  <c r="K48" i="5"/>
  <c r="F25" i="3"/>
  <c r="K165" i="5" l="1"/>
  <c r="L165" i="5"/>
  <c r="L36" i="5" l="1"/>
  <c r="K36" i="5"/>
  <c r="I13" i="4"/>
  <c r="I14" i="4"/>
  <c r="I11" i="4"/>
  <c r="I12" i="4"/>
  <c r="I10" i="4"/>
  <c r="F15" i="3"/>
  <c r="E12" i="3" l="1"/>
  <c r="N70" i="6"/>
  <c r="F21" i="3" l="1"/>
  <c r="F24" i="1" l="1"/>
  <c r="G8" i="2"/>
  <c r="L164" i="5"/>
  <c r="K164" i="5"/>
  <c r="F18" i="3"/>
  <c r="L162" i="5" l="1"/>
  <c r="K162" i="5"/>
  <c r="L161" i="5"/>
  <c r="K161" i="5"/>
  <c r="P159" i="5" l="1"/>
  <c r="O159" i="5"/>
  <c r="F55" i="3"/>
  <c r="N78" i="6" l="1"/>
  <c r="N67" i="6"/>
  <c r="L157" i="5" l="1"/>
  <c r="L142" i="5" l="1"/>
  <c r="K142" i="5"/>
  <c r="F41" i="3"/>
  <c r="L135" i="5" l="1"/>
  <c r="K135" i="5"/>
  <c r="U5" i="5" l="1"/>
  <c r="K134" i="5" l="1"/>
  <c r="L134" i="5"/>
  <c r="G15" i="2"/>
  <c r="K133" i="5" l="1"/>
  <c r="L133" i="5"/>
  <c r="L132" i="5"/>
  <c r="K132" i="5"/>
  <c r="N72" i="6" l="1"/>
  <c r="L8" i="5" l="1"/>
  <c r="K8" i="5"/>
  <c r="L103" i="5" l="1"/>
  <c r="K103" i="5"/>
  <c r="F32" i="3"/>
  <c r="L92" i="5" l="1"/>
  <c r="K92" i="5"/>
  <c r="L33" i="5" l="1"/>
  <c r="K33" i="5"/>
  <c r="L32" i="5" l="1"/>
  <c r="K32" i="5"/>
  <c r="I9" i="4" l="1"/>
  <c r="P23" i="5" l="1"/>
  <c r="O23" i="5"/>
  <c r="F60" i="3"/>
  <c r="I8" i="4" l="1"/>
  <c r="F32" i="1" l="1"/>
  <c r="K7" i="5"/>
  <c r="L7" i="5"/>
  <c r="L5" i="5"/>
  <c r="K5" i="5"/>
  <c r="E70" i="6" l="1"/>
  <c r="E69" i="6"/>
  <c r="M7" i="2"/>
  <c r="E9" i="1" s="1"/>
  <c r="N7" i="2"/>
  <c r="F9" i="1" s="1"/>
  <c r="P7" i="2"/>
  <c r="H9" i="1" s="1"/>
  <c r="H68" i="6" l="1"/>
  <c r="I68" i="6"/>
  <c r="K68" i="6"/>
  <c r="O7" i="2"/>
  <c r="G9" i="1" s="1"/>
  <c r="Q7" i="2" l="1"/>
  <c r="I9" i="1" s="1"/>
  <c r="J68" i="6"/>
  <c r="R7" i="2"/>
  <c r="J9" i="1" s="1"/>
  <c r="E32" i="3" l="1"/>
  <c r="I7" i="4" l="1"/>
  <c r="I6" i="4"/>
  <c r="E14" i="3" l="1"/>
  <c r="E13" i="3"/>
  <c r="E24" i="3"/>
  <c r="E23" i="3"/>
  <c r="H20" i="6" s="1"/>
  <c r="H21" i="6"/>
  <c r="E25" i="3"/>
  <c r="K21" i="6"/>
  <c r="I21" i="6"/>
  <c r="K20" i="6"/>
  <c r="I20" i="6"/>
  <c r="O20" i="6"/>
  <c r="O21" i="6"/>
  <c r="O22" i="6"/>
  <c r="E22" i="6"/>
  <c r="E20" i="6"/>
  <c r="E21" i="6"/>
  <c r="L23" i="3"/>
  <c r="I22" i="6" s="1"/>
  <c r="N23" i="3"/>
  <c r="K22" i="6" s="1"/>
  <c r="K23" i="3" l="1"/>
  <c r="G23" i="3"/>
  <c r="J20" i="6" s="1"/>
  <c r="M23" i="3" l="1"/>
  <c r="J22" i="6" s="1"/>
  <c r="H22" i="6"/>
  <c r="P23" i="3"/>
  <c r="M22" i="6" s="1"/>
  <c r="J23" i="3"/>
  <c r="M20" i="6" s="1"/>
  <c r="I23" i="3"/>
  <c r="C4" i="4"/>
  <c r="G24" i="3" l="1"/>
  <c r="J21" i="6" s="1"/>
  <c r="L20" i="6"/>
  <c r="O23" i="3"/>
  <c r="L22" i="6" s="1"/>
  <c r="D4" i="8"/>
  <c r="G26" i="1"/>
  <c r="J26" i="1" s="1"/>
  <c r="G23" i="1"/>
  <c r="J23" i="1" s="1"/>
  <c r="I23" i="1" l="1"/>
  <c r="I26" i="1"/>
  <c r="J24" i="3"/>
  <c r="M21" i="6" s="1"/>
  <c r="I24" i="3"/>
  <c r="L21" i="6" s="1"/>
  <c r="E22" i="3"/>
  <c r="E21" i="3"/>
  <c r="O8" i="6"/>
  <c r="O9" i="6"/>
  <c r="O10" i="6"/>
  <c r="O11" i="6"/>
  <c r="O12" i="6"/>
  <c r="O13" i="6"/>
  <c r="K12" i="6"/>
  <c r="I12" i="6"/>
  <c r="K11" i="6"/>
  <c r="I11" i="6"/>
  <c r="K9" i="6"/>
  <c r="I9" i="6"/>
  <c r="K8" i="6"/>
  <c r="I8" i="6"/>
  <c r="E16" i="3"/>
  <c r="E15" i="3"/>
  <c r="H8" i="6" s="1"/>
  <c r="E18" i="3"/>
  <c r="H12" i="6" s="1"/>
  <c r="E17" i="3"/>
  <c r="H11" i="6" s="1"/>
  <c r="L17" i="3"/>
  <c r="I13" i="6" s="1"/>
  <c r="N17" i="3"/>
  <c r="K13" i="6" s="1"/>
  <c r="L15" i="3"/>
  <c r="I10" i="6" s="1"/>
  <c r="N15" i="3"/>
  <c r="K10" i="6" s="1"/>
  <c r="E26" i="3"/>
  <c r="O43" i="6"/>
  <c r="I43" i="6"/>
  <c r="K43" i="6"/>
  <c r="L44" i="3"/>
  <c r="N44" i="3"/>
  <c r="E44" i="3"/>
  <c r="H43" i="6" s="1"/>
  <c r="E41" i="3"/>
  <c r="E34" i="3"/>
  <c r="E39" i="3"/>
  <c r="E28" i="3"/>
  <c r="E37" i="3"/>
  <c r="E38" i="3"/>
  <c r="E31" i="3"/>
  <c r="E62" i="3"/>
  <c r="E61" i="3"/>
  <c r="E60" i="3"/>
  <c r="E59" i="3"/>
  <c r="E58" i="3"/>
  <c r="E57" i="3"/>
  <c r="E56" i="3"/>
  <c r="E55" i="3"/>
  <c r="E54" i="3"/>
  <c r="E40" i="3"/>
  <c r="E43" i="3"/>
  <c r="E33" i="3"/>
  <c r="E30" i="3"/>
  <c r="E52" i="3"/>
  <c r="E51" i="3"/>
  <c r="E50" i="3"/>
  <c r="E49" i="3"/>
  <c r="E48" i="3"/>
  <c r="E47" i="3"/>
  <c r="E11" i="3"/>
  <c r="O69" i="6"/>
  <c r="O70" i="6"/>
  <c r="O71" i="6"/>
  <c r="K70" i="6"/>
  <c r="K69" i="6"/>
  <c r="I70" i="6"/>
  <c r="I69" i="6"/>
  <c r="H70" i="6"/>
  <c r="H69" i="6"/>
  <c r="N9" i="2"/>
  <c r="P9" i="2"/>
  <c r="M9" i="2"/>
  <c r="E10" i="1" s="1"/>
  <c r="H9" i="2"/>
  <c r="K9" i="2" s="1"/>
  <c r="M69" i="6" s="1"/>
  <c r="G44" i="3" l="1"/>
  <c r="J43" i="6" s="1"/>
  <c r="G17" i="3"/>
  <c r="I17" i="3" s="1"/>
  <c r="G18" i="3" s="1"/>
  <c r="J12" i="6" s="1"/>
  <c r="E46" i="3"/>
  <c r="G15" i="3"/>
  <c r="I15" i="3" s="1"/>
  <c r="G16" i="3" s="1"/>
  <c r="I16" i="3" s="1"/>
  <c r="L9" i="6" s="1"/>
  <c r="K17" i="3"/>
  <c r="H13" i="6" s="1"/>
  <c r="K15" i="3"/>
  <c r="H10" i="6" s="1"/>
  <c r="K44" i="3"/>
  <c r="M44" i="3" s="1"/>
  <c r="J17" i="3"/>
  <c r="M11" i="6" s="1"/>
  <c r="F10" i="1"/>
  <c r="I71" i="6" s="1"/>
  <c r="H9" i="6"/>
  <c r="H10" i="1"/>
  <c r="K71" i="6" s="1"/>
  <c r="O9" i="2"/>
  <c r="Q9" i="2" s="1"/>
  <c r="I10" i="1" s="1"/>
  <c r="H71" i="6"/>
  <c r="J9" i="2"/>
  <c r="J69" i="6"/>
  <c r="J9" i="6"/>
  <c r="I18" i="3"/>
  <c r="L12" i="6" s="1"/>
  <c r="J15" i="3" l="1"/>
  <c r="M8" i="6" s="1"/>
  <c r="M15" i="3"/>
  <c r="J10" i="6" s="1"/>
  <c r="J18" i="3"/>
  <c r="M12" i="6" s="1"/>
  <c r="L11" i="6"/>
  <c r="J8" i="6"/>
  <c r="J11" i="6"/>
  <c r="R9" i="2"/>
  <c r="J10" i="1" s="1"/>
  <c r="J44" i="3"/>
  <c r="M43" i="6" s="1"/>
  <c r="I44" i="3"/>
  <c r="L43" i="6" s="1"/>
  <c r="P44" i="3"/>
  <c r="O44" i="3"/>
  <c r="M17" i="3"/>
  <c r="J13" i="6" s="1"/>
  <c r="J16" i="3"/>
  <c r="M9" i="6" s="1"/>
  <c r="L8" i="6"/>
  <c r="G10" i="1"/>
  <c r="J71" i="6" s="1"/>
  <c r="P17" i="3"/>
  <c r="M13" i="6" s="1"/>
  <c r="O15" i="3"/>
  <c r="L10" i="6" s="1"/>
  <c r="L69" i="6"/>
  <c r="H10" i="2"/>
  <c r="P15" i="3"/>
  <c r="M10" i="6" s="1"/>
  <c r="M71" i="6"/>
  <c r="L71" i="6"/>
  <c r="O17" i="3" l="1"/>
  <c r="L13" i="6" s="1"/>
  <c r="J10" i="2"/>
  <c r="L70" i="6" s="1"/>
  <c r="J70" i="6"/>
  <c r="K10" i="2"/>
  <c r="M70" i="6" s="1"/>
  <c r="G33" i="1"/>
  <c r="E63" i="3"/>
  <c r="E53" i="3"/>
  <c r="E27" i="3"/>
  <c r="G27" i="1"/>
  <c r="G25" i="1"/>
  <c r="G24" i="1"/>
  <c r="F21" i="1"/>
  <c r="H21" i="1"/>
  <c r="F20" i="1"/>
  <c r="H20" i="1"/>
  <c r="E21" i="1"/>
  <c r="E20" i="1"/>
  <c r="F15" i="1"/>
  <c r="H15" i="1"/>
  <c r="F14" i="1"/>
  <c r="H14" i="1"/>
  <c r="E15" i="1"/>
  <c r="E14" i="1"/>
  <c r="N11" i="7"/>
  <c r="P11" i="7"/>
  <c r="M11" i="7"/>
  <c r="M12" i="7"/>
  <c r="N12" i="7"/>
  <c r="F18" i="1" s="1"/>
  <c r="P12" i="7"/>
  <c r="H18" i="1" s="1"/>
  <c r="M14" i="7"/>
  <c r="N14" i="7"/>
  <c r="P14" i="7"/>
  <c r="H14" i="7"/>
  <c r="K14" i="7" s="1"/>
  <c r="H11" i="7"/>
  <c r="G20" i="1" s="1"/>
  <c r="N17" i="2"/>
  <c r="P17" i="2"/>
  <c r="M17" i="2"/>
  <c r="N13" i="2"/>
  <c r="P13" i="2"/>
  <c r="M13" i="2"/>
  <c r="H17" i="2"/>
  <c r="O17" i="2" s="1"/>
  <c r="H13" i="2"/>
  <c r="G14" i="1" s="1"/>
  <c r="U6" i="5"/>
  <c r="H33" i="1" s="1"/>
  <c r="H32" i="1"/>
  <c r="F53" i="3"/>
  <c r="F27" i="3"/>
  <c r="E88" i="6"/>
  <c r="I88" i="6"/>
  <c r="K88" i="6"/>
  <c r="H88" i="6"/>
  <c r="I86" i="6"/>
  <c r="K86" i="6"/>
  <c r="E86" i="6"/>
  <c r="H86" i="6"/>
  <c r="I83" i="6"/>
  <c r="K83" i="6"/>
  <c r="I84" i="6"/>
  <c r="K84" i="6"/>
  <c r="H84" i="6"/>
  <c r="H83" i="6"/>
  <c r="E84" i="6"/>
  <c r="E83" i="6"/>
  <c r="E81" i="6"/>
  <c r="E80" i="6"/>
  <c r="H81" i="6"/>
  <c r="I81" i="6"/>
  <c r="K81" i="6"/>
  <c r="I80" i="6"/>
  <c r="K80" i="6"/>
  <c r="H80" i="6"/>
  <c r="P13" i="7"/>
  <c r="H19" i="1" s="1"/>
  <c r="N13" i="7"/>
  <c r="F19" i="1" s="1"/>
  <c r="M13" i="7"/>
  <c r="E19" i="1" s="1"/>
  <c r="H13" i="7"/>
  <c r="K13" i="7" s="1"/>
  <c r="M88" i="6" s="1"/>
  <c r="H12" i="7"/>
  <c r="J86" i="6" s="1"/>
  <c r="P9" i="7"/>
  <c r="H17" i="1" s="1"/>
  <c r="N9" i="7"/>
  <c r="F17" i="1" s="1"/>
  <c r="M9" i="7"/>
  <c r="H9" i="7"/>
  <c r="J9" i="7" s="1"/>
  <c r="H10" i="7" s="1"/>
  <c r="J84" i="6" s="1"/>
  <c r="P7" i="7"/>
  <c r="H16" i="1" s="1"/>
  <c r="N7" i="7"/>
  <c r="F16" i="1" s="1"/>
  <c r="M7" i="7"/>
  <c r="H7" i="7"/>
  <c r="J7" i="7" s="1"/>
  <c r="H8" i="7" s="1"/>
  <c r="J81" i="6" s="1"/>
  <c r="B4" i="7"/>
  <c r="O7" i="7" l="1"/>
  <c r="G16" i="1" s="1"/>
  <c r="O9" i="7"/>
  <c r="G17" i="1" s="1"/>
  <c r="I17" i="1" s="1"/>
  <c r="I85" i="6"/>
  <c r="I89" i="6"/>
  <c r="G21" i="1"/>
  <c r="J21" i="1" s="1"/>
  <c r="J12" i="7"/>
  <c r="L86" i="6" s="1"/>
  <c r="L83" i="6"/>
  <c r="J83" i="6"/>
  <c r="Q17" i="2"/>
  <c r="K13" i="2"/>
  <c r="R17" i="2"/>
  <c r="O13" i="7"/>
  <c r="H82" i="6"/>
  <c r="J82" i="6"/>
  <c r="H85" i="6"/>
  <c r="J88" i="6"/>
  <c r="H89" i="6"/>
  <c r="E16" i="1"/>
  <c r="E17" i="1"/>
  <c r="K17" i="2"/>
  <c r="J11" i="7"/>
  <c r="K11" i="7"/>
  <c r="O11" i="7"/>
  <c r="Q11" i="7" s="1"/>
  <c r="G15" i="1"/>
  <c r="J15" i="1" s="1"/>
  <c r="F46" i="3"/>
  <c r="K12" i="7"/>
  <c r="M86" i="6" s="1"/>
  <c r="J13" i="7"/>
  <c r="L88" i="6" s="1"/>
  <c r="L80" i="6"/>
  <c r="J80" i="6"/>
  <c r="K82" i="6"/>
  <c r="I82" i="6"/>
  <c r="I87" i="6"/>
  <c r="J13" i="2"/>
  <c r="J17" i="2"/>
  <c r="O13" i="2"/>
  <c r="Q13" i="2" s="1"/>
  <c r="J14" i="7"/>
  <c r="O14" i="7"/>
  <c r="R14" i="7" s="1"/>
  <c r="O12" i="7"/>
  <c r="R12" i="7" s="1"/>
  <c r="M87" i="6" s="1"/>
  <c r="K89" i="6"/>
  <c r="Q13" i="7"/>
  <c r="L89" i="6" s="1"/>
  <c r="I14" i="1"/>
  <c r="I20" i="1"/>
  <c r="I16" i="1"/>
  <c r="J14" i="1"/>
  <c r="J20" i="1"/>
  <c r="I25" i="1"/>
  <c r="J25" i="1"/>
  <c r="W6" i="5"/>
  <c r="J33" i="1" s="1"/>
  <c r="U7" i="5"/>
  <c r="V6" i="5"/>
  <c r="I33" i="1" s="1"/>
  <c r="F33" i="1"/>
  <c r="K87" i="6"/>
  <c r="K85" i="6"/>
  <c r="J87" i="6"/>
  <c r="H87" i="6"/>
  <c r="E18" i="1"/>
  <c r="J16" i="1"/>
  <c r="R13" i="7"/>
  <c r="M89" i="6" s="1"/>
  <c r="J8" i="7"/>
  <c r="L81" i="6" s="1"/>
  <c r="K8" i="7"/>
  <c r="M81" i="6" s="1"/>
  <c r="J10" i="7"/>
  <c r="L84" i="6" s="1"/>
  <c r="K10" i="7"/>
  <c r="M84" i="6" s="1"/>
  <c r="Q7" i="7"/>
  <c r="L82" i="6" s="1"/>
  <c r="R7" i="7"/>
  <c r="M82" i="6" s="1"/>
  <c r="K7" i="7"/>
  <c r="M80" i="6" s="1"/>
  <c r="K9" i="7"/>
  <c r="M83" i="6" s="1"/>
  <c r="I61" i="6"/>
  <c r="I31" i="6"/>
  <c r="B7" i="3"/>
  <c r="B4" i="2"/>
  <c r="H27" i="3"/>
  <c r="K62" i="3"/>
  <c r="K11" i="3"/>
  <c r="H4" i="6" s="1"/>
  <c r="K25" i="3"/>
  <c r="H25" i="6" s="1"/>
  <c r="G22" i="1"/>
  <c r="F13" i="1"/>
  <c r="I79" i="6" s="1"/>
  <c r="H13" i="1"/>
  <c r="E13" i="1"/>
  <c r="H79" i="6" s="1"/>
  <c r="I78" i="6"/>
  <c r="K78" i="6"/>
  <c r="H78" i="6"/>
  <c r="I77" i="6"/>
  <c r="K77" i="6"/>
  <c r="H77" i="6"/>
  <c r="H75" i="6"/>
  <c r="I75" i="6"/>
  <c r="K75" i="6"/>
  <c r="I72" i="6"/>
  <c r="K72" i="6"/>
  <c r="I73" i="6"/>
  <c r="K73" i="6"/>
  <c r="H73" i="6"/>
  <c r="H72" i="6"/>
  <c r="I67" i="6"/>
  <c r="K67" i="6"/>
  <c r="H67" i="6"/>
  <c r="I66" i="6"/>
  <c r="K66" i="6"/>
  <c r="H66" i="6"/>
  <c r="I56" i="6"/>
  <c r="K56" i="6"/>
  <c r="I57" i="6"/>
  <c r="K57" i="6"/>
  <c r="I58" i="6"/>
  <c r="K58" i="6"/>
  <c r="I59" i="6"/>
  <c r="K59" i="6"/>
  <c r="I60" i="6"/>
  <c r="K60" i="6"/>
  <c r="K61" i="6"/>
  <c r="I62" i="6"/>
  <c r="K62" i="6"/>
  <c r="I63" i="6"/>
  <c r="K63" i="6"/>
  <c r="I64" i="6"/>
  <c r="K64" i="6"/>
  <c r="H57" i="6"/>
  <c r="H58" i="6"/>
  <c r="H59" i="6"/>
  <c r="H60" i="6"/>
  <c r="H61" i="6"/>
  <c r="H62" i="6"/>
  <c r="H63" i="6"/>
  <c r="H64" i="6"/>
  <c r="H56" i="6"/>
  <c r="I52" i="6"/>
  <c r="K52" i="6"/>
  <c r="I53" i="6"/>
  <c r="K53" i="6"/>
  <c r="H53" i="6"/>
  <c r="H52" i="6"/>
  <c r="I49" i="6"/>
  <c r="K49" i="6"/>
  <c r="I50" i="6"/>
  <c r="K50" i="6"/>
  <c r="H50" i="6"/>
  <c r="H49" i="6"/>
  <c r="I46" i="6"/>
  <c r="K46" i="6"/>
  <c r="I47" i="6"/>
  <c r="K47" i="6"/>
  <c r="H47" i="6"/>
  <c r="H46" i="6"/>
  <c r="I27" i="6"/>
  <c r="K27" i="6"/>
  <c r="I28" i="6"/>
  <c r="K28" i="6"/>
  <c r="I29" i="6"/>
  <c r="K29" i="6"/>
  <c r="I30" i="6"/>
  <c r="K30" i="6"/>
  <c r="K31" i="6"/>
  <c r="I32" i="6"/>
  <c r="K32" i="6"/>
  <c r="I33" i="6"/>
  <c r="K33" i="6"/>
  <c r="I34" i="6"/>
  <c r="K34" i="6"/>
  <c r="I35" i="6"/>
  <c r="K35" i="6"/>
  <c r="I36" i="6"/>
  <c r="K36" i="6"/>
  <c r="I37" i="6"/>
  <c r="K37" i="6"/>
  <c r="I38" i="6"/>
  <c r="K38" i="6"/>
  <c r="I39" i="6"/>
  <c r="K39" i="6"/>
  <c r="I40" i="6"/>
  <c r="K40" i="6"/>
  <c r="I41" i="6"/>
  <c r="K41" i="6"/>
  <c r="I42" i="6"/>
  <c r="K42" i="6"/>
  <c r="I44" i="6"/>
  <c r="K44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4" i="6"/>
  <c r="H27" i="6"/>
  <c r="I23" i="6"/>
  <c r="K23" i="6"/>
  <c r="I24" i="6"/>
  <c r="K24" i="6"/>
  <c r="H24" i="6"/>
  <c r="H23" i="6"/>
  <c r="I17" i="6"/>
  <c r="K17" i="6"/>
  <c r="I18" i="6"/>
  <c r="K18" i="6"/>
  <c r="H18" i="6"/>
  <c r="H17" i="6"/>
  <c r="I14" i="6"/>
  <c r="K14" i="6"/>
  <c r="I15" i="6"/>
  <c r="K15" i="6"/>
  <c r="H15" i="6"/>
  <c r="H14" i="6"/>
  <c r="I5" i="6"/>
  <c r="K5" i="6"/>
  <c r="I6" i="6"/>
  <c r="K6" i="6"/>
  <c r="H6" i="6"/>
  <c r="H5" i="6"/>
  <c r="I2" i="6"/>
  <c r="K2" i="6"/>
  <c r="I3" i="6"/>
  <c r="K3" i="6"/>
  <c r="H3" i="6"/>
  <c r="H2" i="6"/>
  <c r="O3" i="6"/>
  <c r="O4" i="6"/>
  <c r="O5" i="6"/>
  <c r="O6" i="6"/>
  <c r="O7" i="6"/>
  <c r="O14" i="6"/>
  <c r="O15" i="6"/>
  <c r="O16" i="6"/>
  <c r="O17" i="6"/>
  <c r="O18" i="6"/>
  <c r="O19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2" i="6"/>
  <c r="E78" i="6"/>
  <c r="E77" i="6"/>
  <c r="E75" i="6"/>
  <c r="E73" i="6"/>
  <c r="E72" i="6"/>
  <c r="E67" i="6"/>
  <c r="E66" i="6"/>
  <c r="E57" i="6"/>
  <c r="E58" i="6"/>
  <c r="E59" i="6"/>
  <c r="E60" i="6"/>
  <c r="E61" i="6"/>
  <c r="E62" i="6"/>
  <c r="E63" i="6"/>
  <c r="E64" i="6"/>
  <c r="E56" i="6"/>
  <c r="E54" i="6"/>
  <c r="E53" i="6"/>
  <c r="E52" i="6"/>
  <c r="E51" i="6"/>
  <c r="E50" i="6"/>
  <c r="E49" i="6"/>
  <c r="E48" i="6"/>
  <c r="E47" i="6"/>
  <c r="E46" i="6"/>
  <c r="E39" i="6"/>
  <c r="E40" i="6"/>
  <c r="E41" i="6"/>
  <c r="E42" i="6"/>
  <c r="E44" i="6"/>
  <c r="E28" i="6"/>
  <c r="E29" i="6"/>
  <c r="E30" i="6"/>
  <c r="E31" i="6"/>
  <c r="E32" i="6"/>
  <c r="E33" i="6"/>
  <c r="E34" i="6"/>
  <c r="E35" i="6"/>
  <c r="E36" i="6"/>
  <c r="E37" i="6"/>
  <c r="E38" i="6"/>
  <c r="E27" i="6"/>
  <c r="E25" i="6"/>
  <c r="E24" i="6"/>
  <c r="E23" i="6"/>
  <c r="E19" i="6"/>
  <c r="E18" i="6"/>
  <c r="E17" i="6"/>
  <c r="E16" i="6"/>
  <c r="E15" i="6"/>
  <c r="E14" i="6"/>
  <c r="E7" i="6"/>
  <c r="E6" i="6"/>
  <c r="E5" i="6"/>
  <c r="E4" i="6"/>
  <c r="E3" i="6"/>
  <c r="E2" i="6"/>
  <c r="N56" i="3"/>
  <c r="N55" i="3"/>
  <c r="N54" i="3"/>
  <c r="N57" i="3"/>
  <c r="N58" i="3"/>
  <c r="N59" i="3"/>
  <c r="N60" i="3"/>
  <c r="N61" i="3"/>
  <c r="N62" i="3"/>
  <c r="L56" i="3"/>
  <c r="L57" i="3"/>
  <c r="L58" i="3"/>
  <c r="L59" i="3"/>
  <c r="L60" i="3"/>
  <c r="L61" i="3"/>
  <c r="L62" i="3"/>
  <c r="L55" i="3"/>
  <c r="L54" i="3"/>
  <c r="K55" i="3"/>
  <c r="K56" i="3"/>
  <c r="M56" i="3" s="1"/>
  <c r="K57" i="3"/>
  <c r="M57" i="3" s="1"/>
  <c r="K58" i="3"/>
  <c r="M58" i="3" s="1"/>
  <c r="K59" i="3"/>
  <c r="K60" i="3"/>
  <c r="M60" i="3" s="1"/>
  <c r="K61" i="3"/>
  <c r="M61" i="3" s="1"/>
  <c r="K54" i="3"/>
  <c r="N51" i="3"/>
  <c r="N49" i="3"/>
  <c r="K51" i="6" s="1"/>
  <c r="N47" i="3"/>
  <c r="K48" i="6" s="1"/>
  <c r="L47" i="3"/>
  <c r="N28" i="3"/>
  <c r="L51" i="3"/>
  <c r="I54" i="6" s="1"/>
  <c r="L49" i="3"/>
  <c r="I51" i="6" s="1"/>
  <c r="K51" i="3"/>
  <c r="K49" i="3"/>
  <c r="H51" i="6" s="1"/>
  <c r="K47" i="3"/>
  <c r="M47" i="3" s="1"/>
  <c r="K30" i="3"/>
  <c r="L30" i="3"/>
  <c r="N30" i="3"/>
  <c r="K31" i="3"/>
  <c r="L31" i="3"/>
  <c r="N31" i="3"/>
  <c r="K32" i="3"/>
  <c r="N32" i="3"/>
  <c r="K33" i="3"/>
  <c r="L33" i="3"/>
  <c r="N33" i="3"/>
  <c r="K34" i="3"/>
  <c r="L34" i="3"/>
  <c r="N34" i="3"/>
  <c r="K35" i="3"/>
  <c r="L35" i="3"/>
  <c r="N35" i="3"/>
  <c r="K36" i="3"/>
  <c r="L36" i="3"/>
  <c r="N36" i="3"/>
  <c r="K37" i="3"/>
  <c r="L37" i="3"/>
  <c r="N37" i="3"/>
  <c r="K38" i="3"/>
  <c r="L38" i="3"/>
  <c r="N38" i="3"/>
  <c r="K39" i="3"/>
  <c r="L39" i="3"/>
  <c r="N39" i="3"/>
  <c r="K40" i="3"/>
  <c r="L40" i="3"/>
  <c r="N40" i="3"/>
  <c r="K41" i="3"/>
  <c r="L41" i="3"/>
  <c r="N41" i="3"/>
  <c r="K42" i="3"/>
  <c r="L42" i="3"/>
  <c r="N42" i="3"/>
  <c r="K43" i="3"/>
  <c r="L43" i="3"/>
  <c r="N43" i="3"/>
  <c r="K45" i="3"/>
  <c r="L45" i="3"/>
  <c r="N45" i="3"/>
  <c r="L29" i="3"/>
  <c r="N29" i="3"/>
  <c r="L28" i="3"/>
  <c r="K29" i="3"/>
  <c r="K28" i="3"/>
  <c r="N25" i="3"/>
  <c r="K25" i="6" s="1"/>
  <c r="N21" i="3"/>
  <c r="K19" i="6" s="1"/>
  <c r="N19" i="3"/>
  <c r="N13" i="3"/>
  <c r="N11" i="3"/>
  <c r="K4" i="6" s="1"/>
  <c r="L25" i="3"/>
  <c r="L21" i="3"/>
  <c r="I19" i="6" s="1"/>
  <c r="L19" i="3"/>
  <c r="L13" i="3"/>
  <c r="I7" i="6" s="1"/>
  <c r="L11" i="3"/>
  <c r="I4" i="6" s="1"/>
  <c r="K21" i="3"/>
  <c r="K19" i="3"/>
  <c r="H16" i="6" s="1"/>
  <c r="K13" i="3"/>
  <c r="H7" i="6" s="1"/>
  <c r="G55" i="3"/>
  <c r="J57" i="6" s="1"/>
  <c r="G56" i="3"/>
  <c r="I56" i="3" s="1"/>
  <c r="L58" i="6" s="1"/>
  <c r="G57" i="3"/>
  <c r="J59" i="6" s="1"/>
  <c r="G58" i="3"/>
  <c r="I58" i="3" s="1"/>
  <c r="L60" i="6" s="1"/>
  <c r="G59" i="3"/>
  <c r="J61" i="6" s="1"/>
  <c r="G60" i="3"/>
  <c r="I60" i="3" s="1"/>
  <c r="L62" i="6" s="1"/>
  <c r="G61" i="3"/>
  <c r="J63" i="6" s="1"/>
  <c r="G62" i="3"/>
  <c r="J62" i="3" s="1"/>
  <c r="M64" i="6" s="1"/>
  <c r="J55" i="3"/>
  <c r="M57" i="6" s="1"/>
  <c r="J56" i="3"/>
  <c r="M58" i="6" s="1"/>
  <c r="J57" i="3"/>
  <c r="M59" i="6" s="1"/>
  <c r="J58" i="3"/>
  <c r="M60" i="6" s="1"/>
  <c r="G54" i="3"/>
  <c r="I54" i="3" s="1"/>
  <c r="L56" i="6" s="1"/>
  <c r="G51" i="3"/>
  <c r="J51" i="3" s="1"/>
  <c r="M52" i="6" s="1"/>
  <c r="G49" i="3"/>
  <c r="J49" i="6" s="1"/>
  <c r="G47" i="3"/>
  <c r="J46" i="6" s="1"/>
  <c r="G29" i="3"/>
  <c r="I29" i="3" s="1"/>
  <c r="L28" i="6" s="1"/>
  <c r="G30" i="3"/>
  <c r="I30" i="3" s="1"/>
  <c r="L29" i="6" s="1"/>
  <c r="G31" i="3"/>
  <c r="J31" i="3" s="1"/>
  <c r="M30" i="6" s="1"/>
  <c r="G33" i="3"/>
  <c r="I33" i="3" s="1"/>
  <c r="L32" i="6" s="1"/>
  <c r="G34" i="3"/>
  <c r="I34" i="3" s="1"/>
  <c r="L33" i="6" s="1"/>
  <c r="G35" i="3"/>
  <c r="J35" i="3" s="1"/>
  <c r="M34" i="6" s="1"/>
  <c r="G36" i="3"/>
  <c r="I36" i="3" s="1"/>
  <c r="L35" i="6" s="1"/>
  <c r="G37" i="3"/>
  <c r="I37" i="3" s="1"/>
  <c r="L36" i="6" s="1"/>
  <c r="G38" i="3"/>
  <c r="I38" i="3" s="1"/>
  <c r="L37" i="6" s="1"/>
  <c r="G39" i="3"/>
  <c r="M38" i="6" s="1"/>
  <c r="G40" i="3"/>
  <c r="I40" i="3" s="1"/>
  <c r="L39" i="6" s="1"/>
  <c r="G41" i="3"/>
  <c r="I41" i="3" s="1"/>
  <c r="L40" i="6" s="1"/>
  <c r="G42" i="3"/>
  <c r="I42" i="3" s="1"/>
  <c r="L41" i="6" s="1"/>
  <c r="G43" i="3"/>
  <c r="J43" i="3" s="1"/>
  <c r="M42" i="6" s="1"/>
  <c r="G45" i="3"/>
  <c r="I45" i="3" s="1"/>
  <c r="L44" i="6" s="1"/>
  <c r="G28" i="3"/>
  <c r="I28" i="3" s="1"/>
  <c r="L27" i="6" s="1"/>
  <c r="G25" i="3"/>
  <c r="J25" i="3" s="1"/>
  <c r="M23" i="6" s="1"/>
  <c r="G21" i="3"/>
  <c r="J21" i="3" s="1"/>
  <c r="M17" i="6" s="1"/>
  <c r="G19" i="3"/>
  <c r="I19" i="3" s="1"/>
  <c r="G20" i="3" s="1"/>
  <c r="J15" i="6" s="1"/>
  <c r="G13" i="3"/>
  <c r="I13" i="3" s="1"/>
  <c r="G14" i="3" s="1"/>
  <c r="J6" i="6" s="1"/>
  <c r="G11" i="3"/>
  <c r="J11" i="3" s="1"/>
  <c r="M2" i="6" s="1"/>
  <c r="P14" i="2"/>
  <c r="K76" i="6" s="1"/>
  <c r="N14" i="2"/>
  <c r="F12" i="1" s="1"/>
  <c r="P15" i="2"/>
  <c r="P16" i="2"/>
  <c r="N15" i="2"/>
  <c r="N16" i="2"/>
  <c r="M15" i="2"/>
  <c r="O15" i="2" s="1"/>
  <c r="M16" i="2"/>
  <c r="M14" i="2"/>
  <c r="H76" i="6" s="1"/>
  <c r="P11" i="2"/>
  <c r="H11" i="1" s="1"/>
  <c r="N11" i="2"/>
  <c r="I74" i="6" s="1"/>
  <c r="M11" i="2"/>
  <c r="H74" i="6" s="1"/>
  <c r="H15" i="2"/>
  <c r="J77" i="6" s="1"/>
  <c r="H16" i="2"/>
  <c r="J16" i="2" s="1"/>
  <c r="L78" i="6" s="1"/>
  <c r="H14" i="2"/>
  <c r="J14" i="2" s="1"/>
  <c r="L75" i="6" s="1"/>
  <c r="H11" i="2"/>
  <c r="K11" i="2" s="1"/>
  <c r="M72" i="6" s="1"/>
  <c r="H7" i="2"/>
  <c r="J7" i="2" s="1"/>
  <c r="J17" i="1" l="1"/>
  <c r="M40" i="3"/>
  <c r="M36" i="3"/>
  <c r="P60" i="3"/>
  <c r="R9" i="7"/>
  <c r="M85" i="6" s="1"/>
  <c r="Q14" i="7"/>
  <c r="Q9" i="7"/>
  <c r="L85" i="6" s="1"/>
  <c r="J85" i="6"/>
  <c r="R15" i="2"/>
  <c r="M35" i="3"/>
  <c r="P35" i="3" s="1"/>
  <c r="K27" i="3"/>
  <c r="I21" i="1"/>
  <c r="Q12" i="7"/>
  <c r="L87" i="6" s="1"/>
  <c r="I15" i="1"/>
  <c r="J54" i="3"/>
  <c r="M56" i="6" s="1"/>
  <c r="J52" i="6"/>
  <c r="G18" i="1"/>
  <c r="I18" i="1" s="1"/>
  <c r="I47" i="3"/>
  <c r="G48" i="3" s="1"/>
  <c r="J47" i="6" s="1"/>
  <c r="J47" i="3"/>
  <c r="M46" i="6" s="1"/>
  <c r="O40" i="3"/>
  <c r="O36" i="3"/>
  <c r="K53" i="3"/>
  <c r="E30" i="1" s="1"/>
  <c r="L53" i="3"/>
  <c r="F30" i="1" s="1"/>
  <c r="H48" i="6"/>
  <c r="J60" i="6"/>
  <c r="M62" i="3"/>
  <c r="O62" i="3" s="1"/>
  <c r="R13" i="2"/>
  <c r="K7" i="2"/>
  <c r="M66" i="6" s="1"/>
  <c r="J60" i="3"/>
  <c r="M62" i="6" s="1"/>
  <c r="M25" i="3"/>
  <c r="J25" i="6" s="1"/>
  <c r="M29" i="3"/>
  <c r="O29" i="3" s="1"/>
  <c r="M45" i="3"/>
  <c r="M41" i="3"/>
  <c r="O41" i="3" s="1"/>
  <c r="M39" i="3"/>
  <c r="O39" i="3" s="1"/>
  <c r="M33" i="3"/>
  <c r="O33" i="3" s="1"/>
  <c r="M31" i="3"/>
  <c r="P31" i="3" s="1"/>
  <c r="N46" i="3"/>
  <c r="H29" i="1" s="1"/>
  <c r="M13" i="3"/>
  <c r="J7" i="6" s="1"/>
  <c r="N53" i="3"/>
  <c r="H30" i="1" s="1"/>
  <c r="O61" i="3"/>
  <c r="P57" i="3"/>
  <c r="L63" i="3"/>
  <c r="I65" i="6" s="1"/>
  <c r="N63" i="3"/>
  <c r="H31" i="1" s="1"/>
  <c r="J5" i="6"/>
  <c r="J41" i="6"/>
  <c r="I48" i="6"/>
  <c r="J56" i="6"/>
  <c r="J66" i="6"/>
  <c r="H26" i="6"/>
  <c r="F63" i="3"/>
  <c r="G19" i="1"/>
  <c r="J89" i="6"/>
  <c r="R11" i="7"/>
  <c r="M21" i="3"/>
  <c r="O21" i="3" s="1"/>
  <c r="L19" i="6" s="1"/>
  <c r="M28" i="6"/>
  <c r="J28" i="6"/>
  <c r="M11" i="3"/>
  <c r="J4" i="6" s="1"/>
  <c r="I22" i="1"/>
  <c r="J22" i="1"/>
  <c r="M55" i="3"/>
  <c r="O55" i="3" s="1"/>
  <c r="M34" i="3"/>
  <c r="P34" i="3" s="1"/>
  <c r="J37" i="6"/>
  <c r="K79" i="6"/>
  <c r="I16" i="6"/>
  <c r="L27" i="3"/>
  <c r="F28" i="1" s="1"/>
  <c r="M36" i="6"/>
  <c r="M37" i="3"/>
  <c r="O37" i="3" s="1"/>
  <c r="J36" i="6"/>
  <c r="J15" i="2"/>
  <c r="L77" i="6" s="1"/>
  <c r="K16" i="2"/>
  <c r="M78" i="6" s="1"/>
  <c r="O14" i="2"/>
  <c r="F11" i="1"/>
  <c r="I76" i="6"/>
  <c r="O16" i="2"/>
  <c r="R16" i="2" s="1"/>
  <c r="L66" i="6"/>
  <c r="H8" i="2"/>
  <c r="K8" i="2" s="1"/>
  <c r="M67" i="6" s="1"/>
  <c r="J76" i="6"/>
  <c r="G13" i="1"/>
  <c r="K14" i="2"/>
  <c r="M75" i="6" s="1"/>
  <c r="E12" i="1"/>
  <c r="J75" i="6"/>
  <c r="K15" i="2"/>
  <c r="J78" i="6"/>
  <c r="M28" i="3"/>
  <c r="P28" i="3" s="1"/>
  <c r="I25" i="6"/>
  <c r="J23" i="6"/>
  <c r="M59" i="3"/>
  <c r="O59" i="3" s="1"/>
  <c r="J59" i="3"/>
  <c r="M61" i="6" s="1"/>
  <c r="G32" i="3"/>
  <c r="I32" i="3" s="1"/>
  <c r="L31" i="6" s="1"/>
  <c r="L32" i="3"/>
  <c r="M32" i="3" s="1"/>
  <c r="M43" i="3"/>
  <c r="O43" i="3" s="1"/>
  <c r="O47" i="3"/>
  <c r="L48" i="6" s="1"/>
  <c r="J48" i="6"/>
  <c r="P47" i="3"/>
  <c r="M48" i="6" s="1"/>
  <c r="O58" i="3"/>
  <c r="P58" i="3"/>
  <c r="K65" i="6"/>
  <c r="K45" i="6"/>
  <c r="J49" i="3"/>
  <c r="M49" i="6" s="1"/>
  <c r="M49" i="3"/>
  <c r="J14" i="6"/>
  <c r="H19" i="6"/>
  <c r="I49" i="3"/>
  <c r="I51" i="3"/>
  <c r="M19" i="3"/>
  <c r="J2" i="6"/>
  <c r="J34" i="6"/>
  <c r="J30" i="6"/>
  <c r="H54" i="6"/>
  <c r="M51" i="3"/>
  <c r="J54" i="6" s="1"/>
  <c r="K16" i="6"/>
  <c r="J42" i="6"/>
  <c r="I11" i="3"/>
  <c r="I55" i="3"/>
  <c r="L57" i="6" s="1"/>
  <c r="M42" i="3"/>
  <c r="M38" i="3"/>
  <c r="P38" i="3" s="1"/>
  <c r="M30" i="3"/>
  <c r="P30" i="3" s="1"/>
  <c r="L14" i="6"/>
  <c r="J17" i="6"/>
  <c r="H12" i="1"/>
  <c r="K74" i="6"/>
  <c r="K54" i="6"/>
  <c r="N27" i="3"/>
  <c r="K7" i="6"/>
  <c r="L5" i="6"/>
  <c r="K63" i="3"/>
  <c r="H65" i="6" s="1"/>
  <c r="I62" i="3"/>
  <c r="L64" i="6" s="1"/>
  <c r="J64" i="6"/>
  <c r="J61" i="3"/>
  <c r="M63" i="6" s="1"/>
  <c r="I61" i="3"/>
  <c r="L63" i="6" s="1"/>
  <c r="P61" i="3"/>
  <c r="J62" i="6"/>
  <c r="O60" i="3"/>
  <c r="I59" i="3"/>
  <c r="L61" i="6" s="1"/>
  <c r="O57" i="3"/>
  <c r="I57" i="3"/>
  <c r="L59" i="6" s="1"/>
  <c r="P56" i="3"/>
  <c r="O56" i="3"/>
  <c r="J58" i="6"/>
  <c r="E31" i="1"/>
  <c r="M54" i="3"/>
  <c r="Q15" i="2"/>
  <c r="J44" i="6"/>
  <c r="J40" i="6"/>
  <c r="J39" i="6"/>
  <c r="P40" i="3"/>
  <c r="J38" i="6"/>
  <c r="J35" i="6"/>
  <c r="J33" i="6"/>
  <c r="J33" i="3"/>
  <c r="M32" i="6" s="1"/>
  <c r="J32" i="6"/>
  <c r="J29" i="6"/>
  <c r="K46" i="3"/>
  <c r="J27" i="6"/>
  <c r="E11" i="1"/>
  <c r="J72" i="6"/>
  <c r="O11" i="2"/>
  <c r="I20" i="3"/>
  <c r="L15" i="6" s="1"/>
  <c r="J38" i="3"/>
  <c r="M37" i="6" s="1"/>
  <c r="J28" i="3"/>
  <c r="M27" i="6" s="1"/>
  <c r="J40" i="3"/>
  <c r="M39" i="6" s="1"/>
  <c r="J34" i="3"/>
  <c r="M33" i="6" s="1"/>
  <c r="I21" i="3"/>
  <c r="G22" i="3" s="1"/>
  <c r="I25" i="3"/>
  <c r="J41" i="3"/>
  <c r="M40" i="6" s="1"/>
  <c r="J30" i="3"/>
  <c r="M29" i="6" s="1"/>
  <c r="M41" i="6"/>
  <c r="I14" i="3"/>
  <c r="L6" i="6" s="1"/>
  <c r="J14" i="3"/>
  <c r="M6" i="6" s="1"/>
  <c r="I43" i="3"/>
  <c r="L42" i="6" s="1"/>
  <c r="I39" i="3"/>
  <c r="L38" i="6" s="1"/>
  <c r="I35" i="3"/>
  <c r="L34" i="6" s="1"/>
  <c r="I31" i="3"/>
  <c r="L30" i="6" s="1"/>
  <c r="J13" i="3"/>
  <c r="M5" i="6" s="1"/>
  <c r="J11" i="2"/>
  <c r="O35" i="3" l="1"/>
  <c r="I55" i="6"/>
  <c r="O51" i="3"/>
  <c r="L54" i="6" s="1"/>
  <c r="P51" i="3"/>
  <c r="M54" i="6" s="1"/>
  <c r="I48" i="3"/>
  <c r="L47" i="6" s="1"/>
  <c r="K55" i="6"/>
  <c r="P41" i="3"/>
  <c r="J19" i="6"/>
  <c r="O34" i="3"/>
  <c r="P33" i="3"/>
  <c r="H55" i="6"/>
  <c r="E28" i="1"/>
  <c r="J18" i="1"/>
  <c r="M27" i="3"/>
  <c r="P27" i="3" s="1"/>
  <c r="F31" i="1"/>
  <c r="P62" i="3"/>
  <c r="P59" i="3"/>
  <c r="M53" i="3"/>
  <c r="G30" i="1" s="1"/>
  <c r="I30" i="1" s="1"/>
  <c r="J48" i="3"/>
  <c r="M47" i="6" s="1"/>
  <c r="O13" i="3"/>
  <c r="L7" i="6" s="1"/>
  <c r="P13" i="3"/>
  <c r="M7" i="6" s="1"/>
  <c r="O25" i="3"/>
  <c r="L25" i="6" s="1"/>
  <c r="O45" i="3"/>
  <c r="P25" i="3"/>
  <c r="M25" i="6" s="1"/>
  <c r="O31" i="3"/>
  <c r="L46" i="6"/>
  <c r="M19" i="6"/>
  <c r="L68" i="6"/>
  <c r="J19" i="1"/>
  <c r="I19" i="1"/>
  <c r="G32" i="1"/>
  <c r="T7" i="5"/>
  <c r="W5" i="5"/>
  <c r="J32" i="1" s="1"/>
  <c r="V5" i="5"/>
  <c r="I32" i="1" s="1"/>
  <c r="O42" i="3"/>
  <c r="P55" i="3"/>
  <c r="M4" i="6"/>
  <c r="O11" i="3"/>
  <c r="L4" i="6" s="1"/>
  <c r="H28" i="1"/>
  <c r="J32" i="3"/>
  <c r="M31" i="6" s="1"/>
  <c r="O38" i="3"/>
  <c r="J79" i="6"/>
  <c r="I13" i="1"/>
  <c r="L79" i="6" s="1"/>
  <c r="J13" i="1"/>
  <c r="M79" i="6" s="1"/>
  <c r="O28" i="3"/>
  <c r="J31" i="6"/>
  <c r="L46" i="3"/>
  <c r="F29" i="1" s="1"/>
  <c r="G12" i="1"/>
  <c r="I12" i="1" s="1"/>
  <c r="Q14" i="2"/>
  <c r="Q16" i="2"/>
  <c r="R14" i="2"/>
  <c r="M77" i="6"/>
  <c r="J67" i="6"/>
  <c r="J8" i="2"/>
  <c r="L67" i="6" s="1"/>
  <c r="O30" i="3"/>
  <c r="P43" i="3"/>
  <c r="M46" i="3"/>
  <c r="O32" i="3"/>
  <c r="P32" i="3"/>
  <c r="J18" i="6"/>
  <c r="L17" i="6"/>
  <c r="I26" i="6"/>
  <c r="L49" i="6"/>
  <c r="G50" i="3"/>
  <c r="J51" i="6"/>
  <c r="P49" i="3"/>
  <c r="O49" i="3"/>
  <c r="L51" i="6" s="1"/>
  <c r="G12" i="3"/>
  <c r="J12" i="3" s="1"/>
  <c r="L2" i="6"/>
  <c r="L52" i="6"/>
  <c r="G52" i="3"/>
  <c r="J16" i="6"/>
  <c r="O19" i="3"/>
  <c r="L16" i="6" s="1"/>
  <c r="G26" i="3"/>
  <c r="J24" i="6" s="1"/>
  <c r="L23" i="6"/>
  <c r="K26" i="6"/>
  <c r="P54" i="3"/>
  <c r="M63" i="3"/>
  <c r="P63" i="3" s="1"/>
  <c r="O54" i="3"/>
  <c r="O63" i="3" s="1"/>
  <c r="H45" i="6"/>
  <c r="E29" i="1"/>
  <c r="L72" i="6"/>
  <c r="H12" i="2"/>
  <c r="R11" i="2"/>
  <c r="Q11" i="2"/>
  <c r="J74" i="6"/>
  <c r="G11" i="1"/>
  <c r="P53" i="3" l="1"/>
  <c r="J26" i="6"/>
  <c r="M68" i="6"/>
  <c r="J55" i="6"/>
  <c r="E34" i="1"/>
  <c r="G28" i="1"/>
  <c r="J28" i="1" s="1"/>
  <c r="F34" i="1"/>
  <c r="I22" i="3"/>
  <c r="L18" i="6" s="1"/>
  <c r="V7" i="5"/>
  <c r="W7" i="5"/>
  <c r="M18" i="6"/>
  <c r="J30" i="1"/>
  <c r="J45" i="6"/>
  <c r="P46" i="3"/>
  <c r="M45" i="6" s="1"/>
  <c r="I11" i="1"/>
  <c r="J11" i="1"/>
  <c r="J12" i="1"/>
  <c r="O46" i="3"/>
  <c r="L45" i="6" s="1"/>
  <c r="L76" i="6"/>
  <c r="M76" i="6"/>
  <c r="O27" i="3"/>
  <c r="L26" i="6" s="1"/>
  <c r="I45" i="6"/>
  <c r="G29" i="1"/>
  <c r="M51" i="6"/>
  <c r="J53" i="6"/>
  <c r="J52" i="3"/>
  <c r="M53" i="6" s="1"/>
  <c r="I52" i="3"/>
  <c r="L53" i="6" s="1"/>
  <c r="J3" i="6"/>
  <c r="M3" i="6"/>
  <c r="I12" i="3"/>
  <c r="L3" i="6" s="1"/>
  <c r="I50" i="3"/>
  <c r="L50" i="6" s="1"/>
  <c r="J50" i="6"/>
  <c r="J50" i="3"/>
  <c r="M50" i="6" s="1"/>
  <c r="J26" i="3"/>
  <c r="M24" i="6" s="1"/>
  <c r="M26" i="6"/>
  <c r="I26" i="3"/>
  <c r="L24" i="6" s="1"/>
  <c r="O53" i="3"/>
  <c r="L55" i="6" s="1"/>
  <c r="M65" i="6"/>
  <c r="J65" i="6"/>
  <c r="G31" i="1"/>
  <c r="L65" i="6"/>
  <c r="L74" i="6"/>
  <c r="K12" i="2"/>
  <c r="M73" i="6" s="1"/>
  <c r="J73" i="6"/>
  <c r="J12" i="2"/>
  <c r="L73" i="6" s="1"/>
  <c r="M74" i="6"/>
  <c r="I28" i="1" l="1"/>
  <c r="I31" i="1"/>
  <c r="J31" i="1"/>
  <c r="J29" i="1"/>
  <c r="I29" i="1"/>
  <c r="G34" i="1"/>
  <c r="M55" i="6"/>
</calcChain>
</file>

<file path=xl/comments1.xml><?xml version="1.0" encoding="utf-8"?>
<comments xmlns="http://schemas.openxmlformats.org/spreadsheetml/2006/main">
  <authors>
    <author>.</author>
  </authors>
  <commentList>
    <comment ref="F24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2138-20 Cede -7843 ton hacia cuota artesanal anchoveta XV.</t>
        </r>
      </text>
    </comment>
  </commentList>
</comments>
</file>

<file path=xl/comments2.xml><?xml version="1.0" encoding="utf-8"?>
<comments xmlns="http://schemas.openxmlformats.org/spreadsheetml/2006/main">
  <authors>
    <author>PEREZ SALGADO, NICOLAS RODRIGO</author>
    <author>.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N°3962-19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772-20
Res 1881-20 Deja sin efecto Res 772-20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2138-20 Modf Res 3962-19 Incrementa 7843 ton desde cuota imprevistos. 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AYP 01-20
Apertura Res AYP 00002-20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772-20
Res 1881-20 Deja sin efecto Res 772-20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200-20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Modificada por Res 1079-20.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173-20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Modificada por Res 1079-20.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ex. 3915-19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4038-19</t>
        </r>
      </text>
    </comment>
    <comment ref="G15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04-20 Cede -200 ton hacia Emb IV.
Res 09-20 Cede -200 ton hacia Emb IV.</t>
        </r>
      </text>
    </comment>
    <comment ref="L16" authorId="1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10028-20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ex. 3915-19</t>
        </r>
      </text>
    </comment>
  </commentList>
</comments>
</file>

<file path=xl/comments3.xml><?xml version="1.0" encoding="utf-8"?>
<comments xmlns="http://schemas.openxmlformats.org/spreadsheetml/2006/main">
  <authors>
    <author>PEREZ SALGADO, NICOLAS RODRIGO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N°3962-19
Res N°2060-20 Modifica Res 3962-19 Modifica Distribucion de Cuota.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ex. 3915-19</t>
        </r>
      </text>
    </comment>
  </commentList>
</comments>
</file>

<file path=xl/comments4.xml><?xml version="1.0" encoding="utf-8"?>
<comments xmlns="http://schemas.openxmlformats.org/spreadsheetml/2006/main">
  <authors>
    <author>PEREZ SALGADO, NICOLAS RODRIGO</author>
    <author>.</author>
    <author>nperez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
Res N°4014-19 LTP Clase B
Res N°773-20 Mod Res 4014-19 LTP Clase B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2189-20 Otorga LTP A.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2189-20 Otorga LTP A.</t>
        </r>
      </text>
    </comment>
    <comment ref="F12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1536-20 Cede -4177.688 ton hacia Emb XV.
Res 2492-20 Cede -1603,974 ton hacia Emb XV.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417-20
Res 418-20
Res 419-20
Res 420-20
Res 421-20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919-20 Cede -652,519 ton hacia Emb XV.
Res 2181-20 Modf 919-20 Modifica toneladas.
Res 1249-20 Cede -978,779 ton hacia Emb XV.
Res 1250-20 Cede -1957,558 ton hacia Emb XV.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1542-20 Cede -1957.558 ton hacia Emb XV.
Res 1576-20 Cede -2610,076 ton hacia Emb XV.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1928-20 Cede -1004.861 ton hacia Emb XV.
Res 2134-20 Cede -1605.215 ton hacia Emb I.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26-20 Rectifica Res 4014-19 incorpora tabla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894-20 Cede -1559.520 ton hacia Emb I.
Res 2179-20 Modf 894-20 reemplazando toneladas.
Res 895-20 Cede -3262,60 ton hacia Emb XV.
Res 927-20 Cede -3262,595 ton hacia Emb XV.</t>
        </r>
      </text>
    </comment>
    <comment ref="F22" authorId="1" shapeId="0">
      <text>
        <r>
          <rPr>
            <b/>
            <sz val="9"/>
            <color indexed="81"/>
            <rFont val="Tahoma"/>
            <family val="2"/>
          </rPr>
          <t xml:space="preserve">PEREZ SALGADO, NICOLAS RODRIGO:
</t>
        </r>
        <r>
          <rPr>
            <sz val="9"/>
            <color indexed="81"/>
            <rFont val="Tahoma"/>
            <family val="2"/>
          </rPr>
          <t>Res 2431-20 Cede -1500.814 ton hacia Emb XV.
Res 2738-20 Cede -1181.040 ton hacia Emb XV.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409-20
Res 410-20
Res 411-20
Res 412-20
Res 413-20
Res 414-20
Res 415-20
Res 416-20</t>
        </r>
      </text>
    </comment>
    <comment ref="F25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1081-20 Cede -15000 ton hacia Emb II.
Res 1488-20 Modf Res 1081-20 Cede -25000 ton.
Res 1835-20 Modf Res 1081-20 Cede -40000 ton.
Res 1084-20 Cede -30000 ton hacia Emb XV-I.
Res 1811-20 Modf Res 1084-20 Cede -60000.
Res 2458-20 Modf Res 1084-20 Cede -80000.
Res 1085-20 Cede -15000 ton hacia Emb II.
Res 1487-20 Modf Res 1085-20 Cede -25000 ton.
Res 1812-20 Modf Res 1085-20 Cede -40000 ton.</t>
        </r>
      </text>
    </comment>
    <comment ref="F26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Res 1926-20 Cede -1000 ton hacia Emb XV.
</t>
        </r>
        <r>
          <rPr>
            <sz val="9"/>
            <color indexed="81"/>
            <rFont val="Tahoma"/>
            <family val="2"/>
          </rPr>
          <t>Res 2456-20 Deja sin efecto Res 1926-20.
Res 2658-20 Cede -2000 ton hacia Emb XV.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
Res N°4014-19 LTP Clase B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625-20 otorga LTP B.
Res 626-20 otorga LTP B.
Res 627-20 otorga LTP B.
Res 628-20 otorga LTP B.
Res 629-20 otorga LTP B.
Res 630-20 otorga LTP B.
Res 631-20 otorga LTP B.
Res 632-20 otorga LTP B.
Res 633-20 otorga LTP B.
Res 634-20 otorga LTP B.
Res 635-20 otorga LTP B.
Res 636-20 otorga LTP B.
Res 637-20 otorga LTP B.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1139-20 Cede -18982,316 ton hacia Emb III.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936-20 Cede -16600 ton hacia Emb IV.
Res 1083-20 Cede -1000 ton hacia Emb IV.
Res 1540-20 Cede -1000 ton hacia Emb IV.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625-20 Deja sin efecto res 91-17 que otorga LTP B.
Res 626-20 Deja sin efecto res 92-17 que otorga LTP B.
Res 627-20 Deja sin efecto res 93-17 que otorga LTP B.
Res 628-20 Deja sin efecto res 94-17 que otorga LTP B.
Res 629-20 Deja sin efecto res 95-17 que otorga LTP B.
Res 630-20 Deja sin efecto res 96-17 que otorga LTP B.
Res 631-20 Deja sin efecto res 97-17 que otorga LTP B.
Res 632-20 Deja sin efecto res 98-17 que otorga LTP B.
Res 633-20 Deja sin efecto res 99-17 que otorga LTP B.
Res 634-20 Deja sin efecto res 100-17 que otorga LTP B.
Res 635-20 Deja sin efecto res 101-17 que otorga LTP B.
Res 636-20 Deja sin efecto res 102-17 que otorga LTP B.
Res 637-20 Deja sin efecto res 103-17 que otorga LTP B.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</t>
        </r>
      </text>
    </comment>
    <comment ref="F52" authorId="2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2493-20 Cede -200 ton hacia Emb II.
Res 2494-20 Cede -200 ton hacia Emb II.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</t>
        </r>
      </text>
    </comment>
    <comment ref="F55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1809-20 Cede -400 ton hacia Emb III.</t>
        </r>
      </text>
    </comment>
    <comment ref="F60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1024-20 Cede -180 ton hacia Emb IV.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.</author>
    <author>nperez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2179-20 Modf 894-20 reemplazando toneladas.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2179-20 Modf 894-20 reemplazando toneladas.</t>
        </r>
      </text>
    </comment>
    <comment ref="J6" authorId="0" shapeId="0">
      <text>
        <r>
          <rPr>
            <b/>
            <sz val="9"/>
            <color indexed="81"/>
            <rFont val="Tahoma"/>
            <charset val="1"/>
          </rPr>
          <t>.:</t>
        </r>
        <r>
          <rPr>
            <sz val="9"/>
            <color indexed="81"/>
            <rFont val="Tahoma"/>
            <charset val="1"/>
          </rPr>
          <t xml:space="preserve">
Excesos cargado a la Res 1576-20.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 xml:space="preserve">Modificada por Res 1190-20 Incorpora Emb.
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Res 1835-20 Modf toneladas por 40000.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Res 1835-20 Modf toneladas por 40000.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Res 1835-20 Modf toneladas por 40000.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Res 1835-20 Modf toneladas por 40000.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Res 1835-20 Modf toneladas por 40000.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Res 1835-20 Modf toneladas por 40000.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Res 1835-20 Modf toneladas por 40000.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Res 1835-20 Modf toneladas por 40000.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Res 1835-20 Modf toneladas por 40000.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Res 1835-20 Modf toneladas por 40000.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Res 1835-20 Modf toneladas por 40000.</t>
        </r>
      </text>
    </comment>
    <comment ref="F45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2356-20 Modf 1081-20 Reemplaza RPA embarcacion.</t>
        </r>
      </text>
    </comment>
    <comment ref="G45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2356-20 Modf 1081-20 Reemplaza RPA embarcacion.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Res 1835-20 Modf toneladas por 40000.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1488-20 Modf toneladas por 25000.
Res 1835-20 Modf toneladas por 40000.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1835-20 Modf 1081-20 incorpora embarcacion.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74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83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85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86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87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88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89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F90" authorId="0" shapeId="0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Res 2458-20 Modf Res 1084-20 Incorpora embarcacion.</t>
        </r>
      </text>
    </comment>
    <comment ref="G90" authorId="0" shapeId="0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Res 2458-20 Modf Res 1084-20 Incorpora embarcacion.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1811-20 Modf toneladas por 60000.
Res 2458-20 Modf toneladas por 80000.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Res 2458-20 Modf Res 1084-20 Incorpora embarcacion.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Res 2458-20 Modf Res 1084-20 Incorpora embarcacion.</t>
        </r>
      </text>
    </comment>
    <comment ref="D92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
Res 1812-20 Modf Toneladas por 40000.</t>
        </r>
      </text>
    </comment>
    <comment ref="H92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1487-20 Modf toneladas por 25000.
Res 1812-20 Modf Toneladas por 40000.</t>
        </r>
      </text>
    </comment>
    <comment ref="D93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
Res 1812-20 Modf Toneladas por 40000.</t>
        </r>
      </text>
    </comment>
    <comment ref="D94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
Res 1812-20 Modf Toneladas por 40000.</t>
        </r>
      </text>
    </comment>
    <comment ref="D95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
Res 1812-20 Modf Toneladas por 40000.</t>
        </r>
      </text>
    </comment>
    <comment ref="D96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
Res 1812-20 Modf Toneladas por 40000.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
Res 1812-20 Modf Toneladas por 40000.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
Res 1812-20 Modf Toneladas por 40000.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
Res 1812-20 Modf Toneladas por 40000.</t>
        </r>
      </text>
    </comment>
    <comment ref="D100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
Res 1812-20 Modf Toneladas por 40000.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1487-20 Modf toneladas por 25000.
Res 1812-20 Modf Toneladas por 40000.</t>
        </r>
      </text>
    </comment>
    <comment ref="D102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2181-20 Modf 919-20 Modifica toneladas.</t>
        </r>
      </text>
    </comment>
    <comment ref="H102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Res 2181-20 Modf 919-20 Modifica toneladas.</t>
        </r>
      </text>
    </comment>
    <comment ref="J102" authorId="0" shapeId="0">
      <text>
        <r>
          <rPr>
            <b/>
            <sz val="9"/>
            <color indexed="81"/>
            <rFont val="Tahoma"/>
            <charset val="1"/>
          </rPr>
          <t>.:</t>
        </r>
        <r>
          <rPr>
            <sz val="9"/>
            <color indexed="81"/>
            <rFont val="Tahoma"/>
            <charset val="1"/>
          </rPr>
          <t xml:space="preserve">
Exceso cargado a la Res 1542-20.</t>
        </r>
      </text>
    </comment>
    <comment ref="J157" authorId="0" shapeId="0">
      <text>
        <r>
          <rPr>
            <b/>
            <sz val="9"/>
            <color indexed="81"/>
            <rFont val="Tahoma"/>
            <charset val="1"/>
          </rPr>
          <t>.:</t>
        </r>
        <r>
          <rPr>
            <sz val="9"/>
            <color indexed="81"/>
            <rFont val="Tahoma"/>
            <charset val="1"/>
          </rPr>
          <t xml:space="preserve">
Exceso cargado desde la Res 919-20.</t>
        </r>
      </text>
    </comment>
    <comment ref="J158" authorId="0" shapeId="0">
      <text>
        <r>
          <rPr>
            <b/>
            <sz val="9"/>
            <color indexed="81"/>
            <rFont val="Tahoma"/>
            <charset val="1"/>
          </rPr>
          <t>.:</t>
        </r>
        <r>
          <rPr>
            <sz val="9"/>
            <color indexed="81"/>
            <rFont val="Tahoma"/>
            <charset val="1"/>
          </rPr>
          <t xml:space="preserve">
Excesos cargado desde la Res 895-20.</t>
        </r>
      </text>
    </comment>
    <comment ref="D161" authorId="0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2456-20 Deja sin efecto Res 1926-20.</t>
        </r>
      </text>
    </comment>
  </commentList>
</comments>
</file>

<file path=xl/sharedStrings.xml><?xml version="1.0" encoding="utf-8"?>
<sst xmlns="http://schemas.openxmlformats.org/spreadsheetml/2006/main" count="1550" uniqueCount="294">
  <si>
    <t>Información preliminar</t>
  </si>
  <si>
    <t>Fracción</t>
  </si>
  <si>
    <t>Unidad Pesquería</t>
  </si>
  <si>
    <t>Cuota Asignada</t>
  </si>
  <si>
    <t>Movimientos</t>
  </si>
  <si>
    <t>Cuota Efectiva</t>
  </si>
  <si>
    <t>Captura</t>
  </si>
  <si>
    <t>Saldo</t>
  </si>
  <si>
    <t>Consumo</t>
  </si>
  <si>
    <t>XV - I</t>
  </si>
  <si>
    <t>II</t>
  </si>
  <si>
    <t>III</t>
  </si>
  <si>
    <t>IV</t>
  </si>
  <si>
    <t>FA XV - II</t>
  </si>
  <si>
    <t>FA III - IV</t>
  </si>
  <si>
    <t>XV - II</t>
  </si>
  <si>
    <t>III - IV</t>
  </si>
  <si>
    <t>Unidad de pesquería</t>
  </si>
  <si>
    <t>Anchoveta XV - II</t>
  </si>
  <si>
    <t>Ene - Jun</t>
  </si>
  <si>
    <t>Jul - Dic</t>
  </si>
  <si>
    <t>Sardina española XV - II</t>
  </si>
  <si>
    <t>Período</t>
  </si>
  <si>
    <t>Anchoveta III - IV</t>
  </si>
  <si>
    <t>Región</t>
  </si>
  <si>
    <t xml:space="preserve"> Arica y Parinacota - Tarapacá</t>
  </si>
  <si>
    <t xml:space="preserve"> Antofagasta</t>
  </si>
  <si>
    <t xml:space="preserve"> Atacama</t>
  </si>
  <si>
    <t>Asignatario</t>
  </si>
  <si>
    <t>Coquimbo</t>
  </si>
  <si>
    <t>CERCOPESCA</t>
  </si>
  <si>
    <t>Sardina española III - IV</t>
  </si>
  <si>
    <t>Atacama</t>
  </si>
  <si>
    <t>Cuota asignada</t>
  </si>
  <si>
    <t>Cuota efectiva</t>
  </si>
  <si>
    <t>% Consumo</t>
  </si>
  <si>
    <t>Cierre</t>
  </si>
  <si>
    <t>Periodo</t>
  </si>
  <si>
    <t>% Consumido</t>
  </si>
  <si>
    <t>ARICA SEAFOOD PRODUCER S.A.</t>
  </si>
  <si>
    <t>CAMANCHACA S.A</t>
  </si>
  <si>
    <t>SERVICIOS INDUSTRIALES LO ROJAS LTDA</t>
  </si>
  <si>
    <t>CORPESCA S.A</t>
  </si>
  <si>
    <t xml:space="preserve">ALIMENTOS MARINOS S.A.         </t>
  </si>
  <si>
    <t xml:space="preserve">BAHIA CALDERA S.A. PESQ.          </t>
  </si>
  <si>
    <t xml:space="preserve">BLUMAR S.A.                                              </t>
  </si>
  <si>
    <t xml:space="preserve">CAMANCHACA S.A. CIA. PESQ    </t>
  </si>
  <si>
    <t>PESQUERA LITORAL SpA</t>
  </si>
  <si>
    <t xml:space="preserve">ORIZON S.A                                                   </t>
  </si>
  <si>
    <t xml:space="preserve">CAMANCHACA PESCA SUR S.A.  </t>
  </si>
  <si>
    <t xml:space="preserve">LANDES S.A. SOC. PESQ.                           </t>
  </si>
  <si>
    <t>SOCIEDAD COMERCIAL DE SERVICIOS Y TRANSPORTES STA LIMITADA</t>
  </si>
  <si>
    <t>FOODCORP CHILE S.A.</t>
  </si>
  <si>
    <t xml:space="preserve">CARLOS SAEZ ALARCON </t>
  </si>
  <si>
    <t>ALIMENTOS DEL SUR SPA.</t>
  </si>
  <si>
    <t>ATILIO REYES BARRERA</t>
  </si>
  <si>
    <t>PEDRO IRIGOYEN LTOA. INV</t>
  </si>
  <si>
    <t>ABASTECIMIENTO DEL PACIFICO S.A.</t>
  </si>
  <si>
    <t>ERIC ARACENA REYNUABA</t>
  </si>
  <si>
    <t>GIULLIANO REYNUABA SALAS</t>
  </si>
  <si>
    <t>Ene - Dic</t>
  </si>
  <si>
    <t xml:space="preserve">ARICA SEAFOOD PRODUCER S.A.  </t>
  </si>
  <si>
    <t xml:space="preserve">CAMANCHACA S.A. CIA. PESQ      </t>
  </si>
  <si>
    <t xml:space="preserve">CORPESCA S.A.                             </t>
  </si>
  <si>
    <t xml:space="preserve">ALIMENTOS MARINOS S.A.          </t>
  </si>
  <si>
    <t>Ene-Dic</t>
  </si>
  <si>
    <t>BLUMAR S.A.</t>
  </si>
  <si>
    <t>CAMANCHACA S.A. CIA. PESQ.</t>
  </si>
  <si>
    <t>ORIZON S.A.</t>
  </si>
  <si>
    <t>CAMANCHACA PESCA SUR S.A.</t>
  </si>
  <si>
    <t>LANDES S.A. SOC.PESQ.</t>
  </si>
  <si>
    <t>Titular de cuota LTP</t>
  </si>
  <si>
    <t>Traspaso, Cesión, arriendos, etc</t>
  </si>
  <si>
    <t>Captura (t)</t>
  </si>
  <si>
    <t>Saldo (t)</t>
  </si>
  <si>
    <t>RESUMEN ANUAL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</si>
  <si>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</si>
  <si>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</si>
  <si>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</si>
  <si>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</si>
  <si>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</si>
  <si>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</si>
  <si>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</si>
  <si>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</si>
  <si>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</si>
  <si>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</si>
  <si>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</si>
  <si>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</si>
  <si>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saldo_porcentaje</t>
  </si>
  <si>
    <t>cierre</t>
  </si>
  <si>
    <t>Preliminar</t>
  </si>
  <si>
    <t>año</t>
  </si>
  <si>
    <t>comentario</t>
  </si>
  <si>
    <t>ANCHOVETA</t>
  </si>
  <si>
    <t>XV-II</t>
  </si>
  <si>
    <t>TITULAR LTP</t>
  </si>
  <si>
    <t>ENERO</t>
  </si>
  <si>
    <t>JUNIO</t>
  </si>
  <si>
    <t>JULIO</t>
  </si>
  <si>
    <t>DICIEMBRE</t>
  </si>
  <si>
    <t xml:space="preserve">ENERO </t>
  </si>
  <si>
    <t>III-IV</t>
  </si>
  <si>
    <t>TOTAL ASIGNATARIO LTP</t>
  </si>
  <si>
    <t>SARDINA ESPAÑOLA</t>
  </si>
  <si>
    <t>XV-I</t>
  </si>
  <si>
    <t>MACROZONA</t>
  </si>
  <si>
    <t>MACROZONA XV - I</t>
  </si>
  <si>
    <t>REGIÓN II</t>
  </si>
  <si>
    <t>REGIÓN III</t>
  </si>
  <si>
    <t>RESIDUAL</t>
  </si>
  <si>
    <t>REGIÓN IV</t>
  </si>
  <si>
    <t>REGION</t>
  </si>
  <si>
    <t>ORGANIZACIÓN</t>
  </si>
  <si>
    <t>TOTAL ASIGNATARIO MACROZONA</t>
  </si>
  <si>
    <t>TOTAL ASIGNATARIO REGION</t>
  </si>
  <si>
    <t>INDUSTRIAL</t>
  </si>
  <si>
    <t xml:space="preserve">Anchoveta </t>
  </si>
  <si>
    <t>Anchoveta</t>
  </si>
  <si>
    <t>Sardina española</t>
  </si>
  <si>
    <t>Recurso</t>
  </si>
  <si>
    <t>Investigación</t>
  </si>
  <si>
    <t>Artesanal</t>
  </si>
  <si>
    <t>Imprevisto</t>
  </si>
  <si>
    <t>Anchoveta y Sardina española</t>
  </si>
  <si>
    <t xml:space="preserve">Sardina española </t>
  </si>
  <si>
    <t>Tipo</t>
  </si>
  <si>
    <t>Fecha</t>
  </si>
  <si>
    <t>N° Resolución</t>
  </si>
  <si>
    <t>Embarcación</t>
  </si>
  <si>
    <t>RPA</t>
  </si>
  <si>
    <t>CUOTA</t>
  </si>
  <si>
    <t>CAPTURA</t>
  </si>
  <si>
    <t>SALDO</t>
  </si>
  <si>
    <t>% CONSUMO</t>
  </si>
  <si>
    <t>PROCESOS TECNOLOGICOS DEL BIO BIO SpA</t>
  </si>
  <si>
    <t>OPERACIÓN</t>
  </si>
  <si>
    <t>CUOTA (TONELADAS)</t>
  </si>
  <si>
    <t>XV</t>
  </si>
  <si>
    <t>Cesiones individuales</t>
  </si>
  <si>
    <t>XV - IV</t>
  </si>
  <si>
    <t>S. española</t>
  </si>
  <si>
    <t>TOTAL</t>
  </si>
  <si>
    <t>Fraccionamiento</t>
  </si>
  <si>
    <t>Fauna acompañante</t>
  </si>
  <si>
    <t>Saldo (ton)</t>
  </si>
  <si>
    <t>Captura (ton)</t>
  </si>
  <si>
    <t>I</t>
  </si>
  <si>
    <t>Total P. investigación</t>
  </si>
  <si>
    <t>RESUMEN CONSUMO ANUAL ANCHOVETA Y SARDINA ESPAÑOLA XV-IV AÑO 2020. Dato en toneladas</t>
  </si>
  <si>
    <t>CONTROL CUOTA ANCHOVETA  XV - IV AÑO 2020</t>
  </si>
  <si>
    <t>CONTROL CUOTA SARDINA ESPAÑOLA ARTESANAL XV - IV AÑO 2020</t>
  </si>
  <si>
    <t>CONTROL CUOTA ANCHOVETA Y SARDINA ESPAÑOLA INDUSTRIAL XV - IV AÑO 2020</t>
  </si>
  <si>
    <t>ANCHOVETA 2020</t>
  </si>
  <si>
    <t>SARDINA ESPAÑOLA 2020</t>
  </si>
  <si>
    <t>TOTAL CESIONES 2020</t>
  </si>
  <si>
    <t>Tarapacá</t>
  </si>
  <si>
    <t xml:space="preserve"> Arica y Parinacota</t>
  </si>
  <si>
    <t>DEL NORTE SPA. SIND. PESQ.</t>
  </si>
  <si>
    <t>ESPACIO PESQUERO SPA.</t>
  </si>
  <si>
    <t>Consumo Humano</t>
  </si>
  <si>
    <t>CONTROL DE CUOTAS CONSUMO HUMANO AÑO 2020</t>
  </si>
  <si>
    <t xml:space="preserve">Adjudicatario </t>
  </si>
  <si>
    <t>Toneladas Asignadas</t>
  </si>
  <si>
    <t xml:space="preserve">Toneladas Capturadas </t>
  </si>
  <si>
    <t xml:space="preserve">Saldo por especie </t>
  </si>
  <si>
    <t>CONTROL DE CUOTAS PESCA DE INVESTIGACIÓN AÑO 2020</t>
  </si>
  <si>
    <t>Resolución</t>
  </si>
  <si>
    <t>Cuota</t>
  </si>
  <si>
    <t>Don Pancracio</t>
  </si>
  <si>
    <t>Doña Bernarda</t>
  </si>
  <si>
    <t>PESCA LITORAL E.I.R.L</t>
  </si>
  <si>
    <t>captura</t>
  </si>
  <si>
    <t>Ind-Art</t>
  </si>
  <si>
    <t>Isidora I</t>
  </si>
  <si>
    <t>Valentina</t>
  </si>
  <si>
    <t>Josue</t>
  </si>
  <si>
    <t>Garota IV</t>
  </si>
  <si>
    <t>Atenea II</t>
  </si>
  <si>
    <t>Delfin 2000</t>
  </si>
  <si>
    <t>Santa Norma</t>
  </si>
  <si>
    <t>Garota III</t>
  </si>
  <si>
    <t>Niebla</t>
  </si>
  <si>
    <t>Garota</t>
  </si>
  <si>
    <t>Garota II</t>
  </si>
  <si>
    <t>Maria Pabla</t>
  </si>
  <si>
    <t>Jepe I</t>
  </si>
  <si>
    <t>Don Victorino</t>
  </si>
  <si>
    <t>Maria Soledad II</t>
  </si>
  <si>
    <t>Garota V</t>
  </si>
  <si>
    <t>Doña Olga I</t>
  </si>
  <si>
    <t>Art-Art</t>
  </si>
  <si>
    <t>Don Perucho II</t>
  </si>
  <si>
    <t>Kiwi</t>
  </si>
  <si>
    <t>El Reno</t>
  </si>
  <si>
    <t>Sebastian II</t>
  </si>
  <si>
    <t>Don Miguel</t>
  </si>
  <si>
    <t>Santa Marta</t>
  </si>
  <si>
    <t>Garota I</t>
  </si>
  <si>
    <t>Trinquete</t>
  </si>
  <si>
    <t>Don Nino I</t>
  </si>
  <si>
    <t>Mary Paz II</t>
  </si>
  <si>
    <t>Aldebaran II</t>
  </si>
  <si>
    <t>Don Rufino II</t>
  </si>
  <si>
    <t>Doña Mercedes</t>
  </si>
  <si>
    <t>Don Eleuterio</t>
  </si>
  <si>
    <t>Lobo de Afuera III</t>
  </si>
  <si>
    <t>Arkhos IV</t>
  </si>
  <si>
    <t>Arkhos I</t>
  </si>
  <si>
    <t>Abel</t>
  </si>
  <si>
    <t>Gracias a Dios I</t>
  </si>
  <si>
    <t>Coyi I</t>
  </si>
  <si>
    <t>Coyi II</t>
  </si>
  <si>
    <t>Santa Margarita I</t>
  </si>
  <si>
    <t>Karen Pamela</t>
  </si>
  <si>
    <t>Lobo de Afuera IV</t>
  </si>
  <si>
    <t>Lobo de Afuera V</t>
  </si>
  <si>
    <t>Isaura I</t>
  </si>
  <si>
    <t>Don Jose I</t>
  </si>
  <si>
    <t>Valencia</t>
  </si>
  <si>
    <t>Arkhos III</t>
  </si>
  <si>
    <t>Guajache II</t>
  </si>
  <si>
    <t>JJ</t>
  </si>
  <si>
    <t>Tuareg I</t>
  </si>
  <si>
    <t>Don Lucho</t>
  </si>
  <si>
    <t>Amadeus</t>
  </si>
  <si>
    <t>Amadeus II</t>
  </si>
  <si>
    <t>Doña Pilar II</t>
  </si>
  <si>
    <t>Arkhos II</t>
  </si>
  <si>
    <t>Cesar Miguel</t>
  </si>
  <si>
    <t>Humboldt II</t>
  </si>
  <si>
    <t>Gringo Pablo II</t>
  </si>
  <si>
    <t>Shalom II</t>
  </si>
  <si>
    <t>Petrohue III</t>
  </si>
  <si>
    <t>Marcelo Rodolfo</t>
  </si>
  <si>
    <t>Kaweskar</t>
  </si>
  <si>
    <t>Buenaventura</t>
  </si>
  <si>
    <t>Elva S</t>
  </si>
  <si>
    <t>Petrohue II</t>
  </si>
  <si>
    <t>Rina F Y M</t>
  </si>
  <si>
    <t>Daniel</t>
  </si>
  <si>
    <t>Loreto V</t>
  </si>
  <si>
    <t>Petrohue I</t>
  </si>
  <si>
    <t>Pelicano</t>
  </si>
  <si>
    <t>Chango I</t>
  </si>
  <si>
    <t>Santiago</t>
  </si>
  <si>
    <t>Giovanna Priscilla IV</t>
  </si>
  <si>
    <t>Genesis C</t>
  </si>
  <si>
    <t>Maria Elena</t>
  </si>
  <si>
    <t>Stgo Moran</t>
  </si>
  <si>
    <t>Javiera Selmira</t>
  </si>
  <si>
    <t>La Angelita</t>
  </si>
  <si>
    <t>El Tesoro</t>
  </si>
  <si>
    <t>Socoroma</t>
  </si>
  <si>
    <t>Socoroma I</t>
  </si>
  <si>
    <t>Gianpiero I</t>
  </si>
  <si>
    <t>Don Atilio</t>
  </si>
  <si>
    <t>Don Benito II</t>
  </si>
  <si>
    <t>Sandy III</t>
  </si>
  <si>
    <t>Don Basilio</t>
  </si>
  <si>
    <t>Punta Pichicuy</t>
  </si>
  <si>
    <t>Sion</t>
  </si>
  <si>
    <t>Lonquimay 2</t>
  </si>
  <si>
    <t>Guillermo I</t>
  </si>
  <si>
    <t>El Cid</t>
  </si>
  <si>
    <t>Oso Yogui</t>
  </si>
  <si>
    <t>Kali</t>
  </si>
  <si>
    <t>Tom Jerry</t>
  </si>
  <si>
    <t>Candelaria II</t>
  </si>
  <si>
    <t>Chubasco I</t>
  </si>
  <si>
    <t>Xolot</t>
  </si>
  <si>
    <t>Don Marcial</t>
  </si>
  <si>
    <t>Virgo</t>
  </si>
  <si>
    <t>Estrella III</t>
  </si>
  <si>
    <t>Don Jose Miguel</t>
  </si>
  <si>
    <t>Fortuna IV</t>
  </si>
  <si>
    <t>Raquel I</t>
  </si>
  <si>
    <t>Trinidad</t>
  </si>
  <si>
    <t>Yuliana Antonella</t>
  </si>
  <si>
    <t>Don Jose Edgardo</t>
  </si>
  <si>
    <t>Sofia Magdalena</t>
  </si>
  <si>
    <t>Fortuna III</t>
  </si>
  <si>
    <t>Fortuna V</t>
  </si>
  <si>
    <t>Nahum</t>
  </si>
  <si>
    <t>Abraham</t>
  </si>
  <si>
    <t>Don Luis</t>
  </si>
  <si>
    <t>Maimau I</t>
  </si>
  <si>
    <t>Daniela Andrea I</t>
  </si>
  <si>
    <t>Josefa II</t>
  </si>
  <si>
    <t>Arica y Parinacota</t>
  </si>
  <si>
    <t>Aries I</t>
  </si>
  <si>
    <t>Antonela Paz</t>
  </si>
  <si>
    <t>Ike I</t>
  </si>
  <si>
    <t>Niña Ximena</t>
  </si>
  <si>
    <t>Excesos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</si>
</sst>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[$-F800]dddd\,\ mmmm\ dd\,\ yyyy"/>
    <numFmt numFmtId="168" formatCode="yyyy/mm/dd;@"/>
    <numFmt numFmtId="169" formatCode="#\ ##0.000"/>
    <numFmt numFmtId="170" formatCode="#\ ##0.00"/>
    <numFmt numFmtId="171" formatCode="##\ ##0.000"/>
    <numFmt numFmtId="172" formatCode="0.000%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i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9"/>
        </stop>
        <stop position="0.5">
          <color theme="9" tint="0.40000610370189521"/>
        </stop>
        <stop position="1">
          <color theme="9"/>
        </stop>
      </gradientFill>
    </fill>
    <fill>
      <patternFill patternType="solid">
        <fgColor theme="8"/>
        <bgColor indexed="64"/>
      </patternFill>
    </fill>
    <fill>
      <gradientFill degree="90">
        <stop position="0">
          <color theme="9" tint="0.59999389629810485"/>
        </stop>
        <stop position="0.5">
          <color theme="9"/>
        </stop>
        <stop position="1">
          <color theme="9" tint="0.59999389629810485"/>
        </stop>
      </gradient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5" tint="0.80001220740379042"/>
        </stop>
        <stop position="0.5">
          <color theme="5" tint="0.40000610370189521"/>
        </stop>
        <stop position="1">
          <color theme="5" tint="0.80001220740379042"/>
        </stop>
      </gradient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9">
    <xf numFmtId="0" fontId="0" fillId="0" borderId="0"/>
    <xf numFmtId="9" fontId="1" fillId="0" borderId="0" applyFont="0" applyFill="0" applyBorder="0" applyAlignment="0" applyProtection="0"/>
    <xf numFmtId="9" fontId="1" fillId="31" borderId="0" applyFont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1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4" fillId="24" borderId="25" applyNumberFormat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5" fillId="0" borderId="2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5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25" fillId="0" borderId="29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4" fillId="0" borderId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3" fillId="23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17" fillId="14" borderId="24" applyNumberForma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0" fillId="23" borderId="27" applyNumberFormat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8" fillId="0" borderId="0" applyFon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Fill="1" applyBorder="1"/>
    <xf numFmtId="0" fontId="0" fillId="0" borderId="4" xfId="0" applyFont="1" applyFill="1" applyBorder="1"/>
    <xf numFmtId="0" fontId="0" fillId="0" borderId="3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/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32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169" fontId="0" fillId="0" borderId="1" xfId="0" applyNumberFormat="1" applyFont="1" applyFill="1" applyBorder="1"/>
    <xf numFmtId="9" fontId="0" fillId="0" borderId="0" xfId="1" applyFont="1"/>
    <xf numFmtId="166" fontId="0" fillId="0" borderId="1" xfId="0" applyNumberFormat="1" applyFont="1" applyFill="1" applyBorder="1"/>
    <xf numFmtId="169" fontId="0" fillId="0" borderId="4" xfId="0" applyNumberFormat="1" applyFont="1" applyFill="1" applyBorder="1"/>
    <xf numFmtId="0" fontId="0" fillId="0" borderId="8" xfId="0" applyFont="1" applyFill="1" applyBorder="1"/>
    <xf numFmtId="166" fontId="0" fillId="0" borderId="8" xfId="0" applyNumberFormat="1" applyFont="1" applyFill="1" applyBorder="1"/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169" fontId="0" fillId="0" borderId="3" xfId="0" applyNumberFormat="1" applyFont="1" applyFill="1" applyBorder="1"/>
    <xf numFmtId="0" fontId="0" fillId="0" borderId="5" xfId="0" applyFont="1" applyFill="1" applyBorder="1"/>
    <xf numFmtId="0" fontId="0" fillId="0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/>
    <xf numFmtId="0" fontId="0" fillId="0" borderId="5" xfId="0" applyFont="1" applyBorder="1"/>
    <xf numFmtId="0" fontId="0" fillId="0" borderId="8" xfId="0" applyFont="1" applyBorder="1"/>
    <xf numFmtId="169" fontId="0" fillId="0" borderId="5" xfId="0" applyNumberFormat="1" applyFont="1" applyFill="1" applyBorder="1"/>
    <xf numFmtId="0" fontId="32" fillId="34" borderId="5" xfId="0" applyFont="1" applyFill="1" applyBorder="1" applyAlignment="1">
      <alignment horizontal="left" vertical="center" wrapText="1"/>
    </xf>
    <xf numFmtId="0" fontId="32" fillId="34" borderId="1" xfId="0" applyFont="1" applyFill="1" applyBorder="1" applyAlignment="1">
      <alignment horizontal="left" vertical="center" wrapText="1"/>
    </xf>
    <xf numFmtId="0" fontId="32" fillId="34" borderId="8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/>
    </xf>
    <xf numFmtId="169" fontId="0" fillId="2" borderId="5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/>
    </xf>
    <xf numFmtId="169" fontId="0" fillId="2" borderId="1" xfId="0" applyNumberFormat="1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/>
    </xf>
    <xf numFmtId="169" fontId="0" fillId="2" borderId="8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169" fontId="0" fillId="0" borderId="5" xfId="0" applyNumberFormat="1" applyFont="1" applyBorder="1"/>
    <xf numFmtId="166" fontId="0" fillId="0" borderId="1" xfId="0" applyNumberFormat="1" applyFont="1" applyBorder="1"/>
    <xf numFmtId="169" fontId="0" fillId="0" borderId="1" xfId="0" applyNumberFormat="1" applyFont="1" applyBorder="1"/>
    <xf numFmtId="166" fontId="0" fillId="0" borderId="8" xfId="0" applyNumberFormat="1" applyFont="1" applyBorder="1"/>
    <xf numFmtId="169" fontId="0" fillId="0" borderId="8" xfId="0" applyNumberFormat="1" applyFont="1" applyBorder="1"/>
    <xf numFmtId="169" fontId="0" fillId="0" borderId="8" xfId="0" applyNumberFormat="1" applyFont="1" applyFill="1" applyBorder="1"/>
    <xf numFmtId="9" fontId="0" fillId="0" borderId="16" xfId="1" applyFont="1" applyFill="1" applyBorder="1" applyAlignment="1">
      <alignment horizontal="center"/>
    </xf>
    <xf numFmtId="9" fontId="0" fillId="0" borderId="17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0" borderId="14" xfId="1" applyFont="1" applyFill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17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169" fontId="0" fillId="0" borderId="7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169" fontId="0" fillId="0" borderId="1" xfId="0" applyNumberFormat="1" applyBorder="1"/>
    <xf numFmtId="169" fontId="0" fillId="0" borderId="13" xfId="0" applyNumberFormat="1" applyBorder="1"/>
    <xf numFmtId="169" fontId="0" fillId="0" borderId="5" xfId="0" applyNumberFormat="1" applyBorder="1"/>
    <xf numFmtId="169" fontId="0" fillId="0" borderId="23" xfId="0" applyNumberFormat="1" applyBorder="1"/>
    <xf numFmtId="169" fontId="0" fillId="0" borderId="10" xfId="0" applyNumberFormat="1" applyBorder="1"/>
    <xf numFmtId="169" fontId="0" fillId="0" borderId="8" xfId="0" applyNumberFormat="1" applyBorder="1"/>
    <xf numFmtId="9" fontId="0" fillId="0" borderId="11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32" xfId="1" applyFont="1" applyBorder="1" applyAlignment="1">
      <alignment horizontal="center"/>
    </xf>
    <xf numFmtId="169" fontId="0" fillId="0" borderId="13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169" fontId="0" fillId="0" borderId="12" xfId="0" applyNumberFormat="1" applyBorder="1" applyAlignment="1">
      <alignment vertical="center"/>
    </xf>
    <xf numFmtId="9" fontId="0" fillId="0" borderId="34" xfId="1" applyFont="1" applyBorder="1" applyAlignment="1">
      <alignment horizontal="center" vertical="center"/>
    </xf>
    <xf numFmtId="169" fontId="0" fillId="0" borderId="23" xfId="0" applyNumberFormat="1" applyBorder="1" applyAlignment="1">
      <alignment vertical="center"/>
    </xf>
    <xf numFmtId="9" fontId="0" fillId="0" borderId="35" xfId="1" applyFont="1" applyBorder="1" applyAlignment="1">
      <alignment horizontal="center" vertical="center"/>
    </xf>
    <xf numFmtId="169" fontId="0" fillId="0" borderId="10" xfId="0" applyNumberFormat="1" applyBorder="1" applyAlignment="1">
      <alignment vertical="center"/>
    </xf>
    <xf numFmtId="0" fontId="0" fillId="0" borderId="21" xfId="0" applyNumberFormat="1" applyBorder="1" applyAlignment="1">
      <alignment horizontal="center" vertical="center"/>
    </xf>
    <xf numFmtId="169" fontId="0" fillId="0" borderId="21" xfId="0" applyNumberFormat="1" applyBorder="1" applyAlignment="1">
      <alignment vertical="center"/>
    </xf>
    <xf numFmtId="9" fontId="0" fillId="0" borderId="36" xfId="1" applyFont="1" applyBorder="1" applyAlignment="1">
      <alignment horizontal="center" vertical="center"/>
    </xf>
    <xf numFmtId="9" fontId="0" fillId="0" borderId="6" xfId="1" applyFont="1" applyFill="1" applyBorder="1" applyAlignment="1">
      <alignment horizontal="center"/>
    </xf>
    <xf numFmtId="9" fontId="0" fillId="0" borderId="32" xfId="1" applyFont="1" applyFill="1" applyBorder="1" applyAlignment="1">
      <alignment horizontal="center"/>
    </xf>
    <xf numFmtId="9" fontId="0" fillId="0" borderId="9" xfId="1" applyFont="1" applyFill="1" applyBorder="1" applyAlignment="1">
      <alignment horizontal="center"/>
    </xf>
    <xf numFmtId="14" fontId="0" fillId="0" borderId="0" xfId="0" applyNumberFormat="1"/>
    <xf numFmtId="0" fontId="30" fillId="32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center" vertical="center" wrapText="1"/>
    </xf>
    <xf numFmtId="0" fontId="0" fillId="0" borderId="0" xfId="0"/>
    <xf numFmtId="0" fontId="29" fillId="4" borderId="1" xfId="0" applyFont="1" applyFill="1" applyBorder="1" applyAlignment="1">
      <alignment horizontal="center" vertical="center"/>
    </xf>
    <xf numFmtId="0" fontId="29" fillId="4" borderId="1" xfId="0" applyNumberFormat="1" applyFont="1" applyFill="1" applyBorder="1" applyAlignment="1">
      <alignment horizontal="center" vertical="center"/>
    </xf>
    <xf numFmtId="9" fontId="29" fillId="4" borderId="1" xfId="1" applyFont="1" applyFill="1" applyBorder="1" applyAlignment="1">
      <alignment horizontal="center" vertical="center"/>
    </xf>
    <xf numFmtId="168" fontId="29" fillId="4" borderId="1" xfId="0" applyNumberFormat="1" applyFont="1" applyFill="1" applyBorder="1" applyAlignment="1">
      <alignment horizontal="center" vertical="center"/>
    </xf>
    <xf numFmtId="0" fontId="31" fillId="3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14" fontId="0" fillId="4" borderId="1" xfId="0" applyNumberFormat="1" applyFill="1" applyBorder="1" applyAlignment="1">
      <alignment horizontal="center" vertical="center"/>
    </xf>
    <xf numFmtId="170" fontId="0" fillId="0" borderId="3" xfId="0" applyNumberFormat="1" applyBorder="1"/>
    <xf numFmtId="170" fontId="0" fillId="0" borderId="1" xfId="0" applyNumberForma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69" fontId="0" fillId="0" borderId="3" xfId="0" applyNumberFormat="1" applyBorder="1" applyAlignment="1">
      <alignment horizontal="center"/>
    </xf>
    <xf numFmtId="9" fontId="0" fillId="0" borderId="1" xfId="1" applyFont="1" applyBorder="1" applyAlignment="1">
      <alignment horizontal="center" vertical="center"/>
    </xf>
    <xf numFmtId="2" fontId="0" fillId="0" borderId="0" xfId="0" applyNumberFormat="1"/>
    <xf numFmtId="170" fontId="0" fillId="0" borderId="1" xfId="0" applyNumberFormat="1" applyFill="1" applyBorder="1" applyAlignment="1">
      <alignment horizontal="center" vertical="center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9" fontId="0" fillId="4" borderId="1" xfId="0" applyNumberFormat="1" applyFill="1" applyBorder="1" applyAlignment="1">
      <alignment horizontal="center" vertical="center"/>
    </xf>
    <xf numFmtId="169" fontId="0" fillId="3" borderId="1" xfId="0" applyNumberFormat="1" applyFill="1" applyBorder="1" applyAlignment="1">
      <alignment horizontal="center" vertical="center"/>
    </xf>
    <xf numFmtId="170" fontId="0" fillId="0" borderId="3" xfId="0" applyNumberFormat="1" applyFill="1" applyBorder="1" applyAlignment="1">
      <alignment horizontal="center" vertical="center"/>
    </xf>
    <xf numFmtId="169" fontId="0" fillId="0" borderId="3" xfId="0" applyNumberFormat="1" applyFill="1" applyBorder="1" applyAlignment="1">
      <alignment horizontal="center"/>
    </xf>
    <xf numFmtId="169" fontId="0" fillId="0" borderId="3" xfId="0" applyNumberFormat="1" applyFill="1" applyBorder="1"/>
    <xf numFmtId="169" fontId="0" fillId="4" borderId="1" xfId="0" applyNumberFormat="1" applyFill="1" applyBorder="1" applyAlignment="1">
      <alignment horizontal="right" vertical="center"/>
    </xf>
    <xf numFmtId="169" fontId="2" fillId="4" borderId="1" xfId="0" applyNumberFormat="1" applyFont="1" applyFill="1" applyBorder="1" applyAlignment="1">
      <alignment horizontal="center" vertical="center"/>
    </xf>
    <xf numFmtId="0" fontId="32" fillId="34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9" fontId="0" fillId="3" borderId="4" xfId="0" applyNumberFormat="1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0" fontId="30" fillId="32" borderId="1" xfId="0" applyFont="1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2" borderId="4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4" fontId="29" fillId="4" borderId="1" xfId="1" applyNumberFormat="1" applyFont="1" applyFill="1" applyBorder="1" applyAlignment="1">
      <alignment horizontal="center" vertical="center"/>
    </xf>
    <xf numFmtId="14" fontId="0" fillId="0" borderId="0" xfId="1" applyNumberFormat="1" applyFont="1" applyAlignment="1">
      <alignment horizontal="center"/>
    </xf>
    <xf numFmtId="9" fontId="0" fillId="0" borderId="1" xfId="1" applyFon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/>
    </xf>
    <xf numFmtId="0" fontId="2" fillId="39" borderId="5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/>
    </xf>
    <xf numFmtId="0" fontId="2" fillId="37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72" fontId="0" fillId="0" borderId="3" xfId="1" applyNumberFormat="1" applyFont="1" applyBorder="1" applyAlignment="1">
      <alignment horizontal="center" vertical="center"/>
    </xf>
    <xf numFmtId="172" fontId="0" fillId="3" borderId="1" xfId="1" applyNumberFormat="1" applyFont="1" applyFill="1" applyBorder="1" applyAlignment="1">
      <alignment horizontal="center" vertical="center"/>
    </xf>
    <xf numFmtId="170" fontId="0" fillId="0" borderId="0" xfId="0" applyNumberFormat="1"/>
    <xf numFmtId="172" fontId="0" fillId="4" borderId="1" xfId="1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/>
    <xf numFmtId="166" fontId="0" fillId="0" borderId="5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6" borderId="3" xfId="0" applyFont="1" applyFill="1" applyBorder="1" applyAlignment="1">
      <alignment horizontal="center" vertical="center"/>
    </xf>
    <xf numFmtId="0" fontId="2" fillId="39" borderId="3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9" fontId="0" fillId="0" borderId="0" xfId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2" fillId="40" borderId="15" xfId="0" applyFont="1" applyFill="1" applyBorder="1" applyAlignment="1">
      <alignment horizontal="center" vertical="center" wrapText="1"/>
    </xf>
    <xf numFmtId="0" fontId="2" fillId="40" borderId="18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 wrapText="1"/>
    </xf>
    <xf numFmtId="0" fontId="30" fillId="36" borderId="5" xfId="0" applyFont="1" applyFill="1" applyBorder="1" applyAlignment="1">
      <alignment horizontal="left" vertical="center"/>
    </xf>
    <xf numFmtId="0" fontId="30" fillId="36" borderId="1" xfId="0" applyFont="1" applyFill="1" applyBorder="1" applyAlignment="1">
      <alignment horizontal="left" vertical="center" wrapText="1"/>
    </xf>
    <xf numFmtId="0" fontId="30" fillId="36" borderId="1" xfId="0" applyFont="1" applyFill="1" applyBorder="1" applyAlignment="1">
      <alignment horizontal="left" vertical="center"/>
    </xf>
    <xf numFmtId="0" fontId="30" fillId="36" borderId="2" xfId="0" applyFont="1" applyFill="1" applyBorder="1" applyAlignment="1">
      <alignment horizontal="left" vertical="center" wrapText="1"/>
    </xf>
    <xf numFmtId="0" fontId="30" fillId="36" borderId="8" xfId="0" applyFont="1" applyFill="1" applyBorder="1" applyAlignment="1">
      <alignment horizontal="left" vertical="center" wrapText="1"/>
    </xf>
    <xf numFmtId="0" fontId="0" fillId="37" borderId="4" xfId="0" applyFont="1" applyFill="1" applyBorder="1" applyAlignment="1">
      <alignment horizontal="left"/>
    </xf>
    <xf numFmtId="169" fontId="0" fillId="37" borderId="4" xfId="0" applyNumberFormat="1" applyFont="1" applyFill="1" applyBorder="1" applyAlignment="1">
      <alignment horizontal="right" vertical="center"/>
    </xf>
    <xf numFmtId="0" fontId="0" fillId="37" borderId="1" xfId="0" applyFont="1" applyFill="1" applyBorder="1" applyAlignment="1">
      <alignment horizontal="left"/>
    </xf>
    <xf numFmtId="169" fontId="0" fillId="37" borderId="1" xfId="0" applyNumberFormat="1" applyFont="1" applyFill="1" applyBorder="1" applyAlignment="1">
      <alignment horizontal="right" vertical="center"/>
    </xf>
    <xf numFmtId="0" fontId="0" fillId="37" borderId="8" xfId="0" applyFont="1" applyFill="1" applyBorder="1" applyAlignment="1">
      <alignment horizontal="left"/>
    </xf>
    <xf numFmtId="169" fontId="0" fillId="37" borderId="8" xfId="0" applyNumberFormat="1" applyFont="1" applyFill="1" applyBorder="1" applyAlignment="1">
      <alignment horizontal="right" vertical="center"/>
    </xf>
    <xf numFmtId="0" fontId="0" fillId="37" borderId="5" xfId="0" applyFont="1" applyFill="1" applyBorder="1" applyAlignment="1">
      <alignment horizontal="left"/>
    </xf>
    <xf numFmtId="169" fontId="0" fillId="37" borderId="5" xfId="0" applyNumberFormat="1" applyFont="1" applyFill="1" applyBorder="1" applyAlignment="1">
      <alignment horizontal="right" vertical="center"/>
    </xf>
    <xf numFmtId="169" fontId="0" fillId="37" borderId="1" xfId="0" applyNumberFormat="1" applyFill="1" applyBorder="1" applyAlignment="1">
      <alignment horizontal="right" vertical="center"/>
    </xf>
    <xf numFmtId="0" fontId="0" fillId="37" borderId="2" xfId="0" applyFont="1" applyFill="1" applyBorder="1" applyAlignment="1">
      <alignment horizontal="left"/>
    </xf>
    <xf numFmtId="169" fontId="0" fillId="37" borderId="2" xfId="0" applyNumberFormat="1" applyFont="1" applyFill="1" applyBorder="1" applyAlignment="1">
      <alignment horizontal="right" vertical="center"/>
    </xf>
    <xf numFmtId="0" fontId="0" fillId="37" borderId="8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41" borderId="1" xfId="0" applyFont="1" applyFill="1" applyBorder="1" applyAlignment="1">
      <alignment horizontal="center" vertical="center"/>
    </xf>
    <xf numFmtId="172" fontId="0" fillId="0" borderId="0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72" fontId="0" fillId="0" borderId="1" xfId="1" applyNumberFormat="1" applyFont="1" applyFill="1" applyBorder="1" applyAlignment="1">
      <alignment horizontal="center" vertical="center"/>
    </xf>
    <xf numFmtId="169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5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4" fontId="2" fillId="4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/>
    <xf numFmtId="14" fontId="37" fillId="42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1" fillId="32" borderId="2" xfId="0" applyFont="1" applyFill="1" applyBorder="1" applyAlignment="1">
      <alignment horizontal="center" vertical="center" wrapText="1"/>
    </xf>
    <xf numFmtId="0" fontId="31" fillId="32" borderId="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169" fontId="0" fillId="3" borderId="2" xfId="0" applyNumberFormat="1" applyFill="1" applyBorder="1" applyAlignment="1">
      <alignment horizontal="center" vertical="center"/>
    </xf>
    <xf numFmtId="169" fontId="0" fillId="3" borderId="4" xfId="0" applyNumberFormat="1" applyFill="1" applyBorder="1" applyAlignment="1">
      <alignment horizontal="center" vertical="center"/>
    </xf>
    <xf numFmtId="9" fontId="0" fillId="3" borderId="2" xfId="1" applyFont="1" applyFill="1" applyBorder="1" applyAlignment="1">
      <alignment horizontal="center" vertical="center"/>
    </xf>
    <xf numFmtId="9" fontId="0" fillId="3" borderId="4" xfId="1" applyFont="1" applyFill="1" applyBorder="1" applyAlignment="1">
      <alignment horizontal="center" vertical="center"/>
    </xf>
    <xf numFmtId="0" fontId="0" fillId="32" borderId="2" xfId="0" applyFill="1" applyBorder="1" applyAlignment="1">
      <alignment horizontal="center" vertical="center" wrapText="1"/>
    </xf>
    <xf numFmtId="0" fontId="0" fillId="32" borderId="4" xfId="0" applyFill="1" applyBorder="1" applyAlignment="1">
      <alignment horizontal="center" vertical="center" wrapText="1"/>
    </xf>
    <xf numFmtId="0" fontId="30" fillId="32" borderId="2" xfId="0" applyFont="1" applyFill="1" applyBorder="1" applyAlignment="1">
      <alignment horizontal="center" vertical="center"/>
    </xf>
    <xf numFmtId="0" fontId="30" fillId="32" borderId="4" xfId="0" applyFont="1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/>
    </xf>
    <xf numFmtId="0" fontId="0" fillId="32" borderId="1" xfId="0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0" fillId="32" borderId="1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32" borderId="2" xfId="0" applyFill="1" applyBorder="1" applyAlignment="1">
      <alignment horizontal="center" vertical="center"/>
    </xf>
    <xf numFmtId="0" fontId="0" fillId="32" borderId="4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 textRotation="90"/>
    </xf>
    <xf numFmtId="0" fontId="27" fillId="7" borderId="23" xfId="0" applyFont="1" applyFill="1" applyBorder="1" applyAlignment="1">
      <alignment horizontal="center" vertical="center" textRotation="90"/>
    </xf>
    <xf numFmtId="0" fontId="27" fillId="7" borderId="10" xfId="0" applyFont="1" applyFill="1" applyBorder="1" applyAlignment="1">
      <alignment horizontal="center" vertical="center" textRotation="90"/>
    </xf>
    <xf numFmtId="0" fontId="2" fillId="37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/>
    </xf>
    <xf numFmtId="171" fontId="0" fillId="0" borderId="13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 textRotation="90" wrapText="1"/>
    </xf>
    <xf numFmtId="0" fontId="3" fillId="40" borderId="23" xfId="0" applyFont="1" applyFill="1" applyBorder="1" applyAlignment="1">
      <alignment horizontal="center" vertical="center" textRotation="90" wrapText="1"/>
    </xf>
    <xf numFmtId="0" fontId="3" fillId="40" borderId="42" xfId="0" applyFont="1" applyFill="1" applyBorder="1" applyAlignment="1">
      <alignment horizontal="center" vertical="center" textRotation="90" wrapText="1"/>
    </xf>
    <xf numFmtId="0" fontId="3" fillId="40" borderId="10" xfId="0" applyFont="1" applyFill="1" applyBorder="1" applyAlignment="1">
      <alignment horizontal="center" vertical="center" textRotation="90" wrapText="1"/>
    </xf>
    <xf numFmtId="0" fontId="32" fillId="34" borderId="5" xfId="0" applyFont="1" applyFill="1" applyBorder="1" applyAlignment="1">
      <alignment horizontal="left" vertical="center" wrapText="1"/>
    </xf>
    <xf numFmtId="0" fontId="32" fillId="34" borderId="1" xfId="0" applyFont="1" applyFill="1" applyBorder="1" applyAlignment="1">
      <alignment horizontal="left" vertical="center" wrapText="1"/>
    </xf>
    <xf numFmtId="0" fontId="32" fillId="34" borderId="8" xfId="0" applyFont="1" applyFill="1" applyBorder="1" applyAlignment="1">
      <alignment horizontal="left" vertical="center" wrapText="1"/>
    </xf>
    <xf numFmtId="0" fontId="27" fillId="7" borderId="13" xfId="0" applyFont="1" applyFill="1" applyBorder="1" applyAlignment="1">
      <alignment horizontal="center" vertical="center" textRotation="90" wrapText="1"/>
    </xf>
    <xf numFmtId="0" fontId="27" fillId="7" borderId="23" xfId="0" applyFont="1" applyFill="1" applyBorder="1" applyAlignment="1">
      <alignment horizontal="center" vertical="center" textRotation="90" wrapText="1"/>
    </xf>
    <xf numFmtId="0" fontId="27" fillId="7" borderId="10" xfId="0" applyFont="1" applyFill="1" applyBorder="1" applyAlignment="1">
      <alignment horizontal="center" vertical="center" textRotation="90" wrapText="1"/>
    </xf>
    <xf numFmtId="0" fontId="3" fillId="40" borderId="33" xfId="0" applyFont="1" applyFill="1" applyBorder="1" applyAlignment="1">
      <alignment horizontal="center" vertical="center" textRotation="90" wrapText="1"/>
    </xf>
    <xf numFmtId="0" fontId="30" fillId="36" borderId="4" xfId="0" applyFont="1" applyFill="1" applyBorder="1" applyAlignment="1">
      <alignment horizontal="center" vertical="center" wrapText="1"/>
    </xf>
    <xf numFmtId="0" fontId="30" fillId="36" borderId="1" xfId="0" applyFont="1" applyFill="1" applyBorder="1" applyAlignment="1">
      <alignment horizontal="center" vertical="center" wrapText="1"/>
    </xf>
    <xf numFmtId="0" fontId="30" fillId="36" borderId="1" xfId="0" applyFont="1" applyFill="1" applyBorder="1" applyAlignment="1">
      <alignment horizontal="center" vertical="center"/>
    </xf>
    <xf numFmtId="0" fontId="30" fillId="36" borderId="8" xfId="0" applyFont="1" applyFill="1" applyBorder="1" applyAlignment="1">
      <alignment horizontal="center" vertical="center" wrapText="1"/>
    </xf>
    <xf numFmtId="0" fontId="30" fillId="36" borderId="2" xfId="0" applyFont="1" applyFill="1" applyBorder="1" applyAlignment="1">
      <alignment horizontal="center" vertical="center"/>
    </xf>
    <xf numFmtId="0" fontId="30" fillId="36" borderId="4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0" fontId="2" fillId="32" borderId="1" xfId="0" applyFon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</cellXfs>
  <cellStyles count="339">
    <cellStyle name="20% - Énfasis1 2" xfId="18"/>
    <cellStyle name="20% - Énfasis1 2 2" xfId="19"/>
    <cellStyle name="20% - Énfasis1 2 3" xfId="20"/>
    <cellStyle name="20% - Énfasis1 3" xfId="21"/>
    <cellStyle name="20% - Énfasis1 4" xfId="17"/>
    <cellStyle name="20% - Énfasis2 2" xfId="23"/>
    <cellStyle name="20% - Énfasis2 2 2" xfId="24"/>
    <cellStyle name="20% - Énfasis2 2 3" xfId="25"/>
    <cellStyle name="20% - Énfasis2 3" xfId="26"/>
    <cellStyle name="20% - Énfasis2 4" xfId="22"/>
    <cellStyle name="20% - Énfasis3 2" xfId="28"/>
    <cellStyle name="20% - Énfasis3 2 2" xfId="29"/>
    <cellStyle name="20% - Énfasis3 2 3" xfId="30"/>
    <cellStyle name="20% - Énfasis3 3" xfId="31"/>
    <cellStyle name="20% - Énfasis3 4" xfId="27"/>
    <cellStyle name="20% - Énfasis4 2" xfId="33"/>
    <cellStyle name="20% - Énfasis4 2 2" xfId="34"/>
    <cellStyle name="20% - Énfasis4 2 3" xfId="35"/>
    <cellStyle name="20% - Énfasis4 3" xfId="36"/>
    <cellStyle name="20% - Énfasis4 4" xfId="32"/>
    <cellStyle name="20% - Énfasis5 2" xfId="38"/>
    <cellStyle name="20% - Énfasis5 2 2" xfId="39"/>
    <cellStyle name="20% - Énfasis5 2 3" xfId="40"/>
    <cellStyle name="20% - Énfasis5 3" xfId="41"/>
    <cellStyle name="20% - Énfasis5 4" xfId="37"/>
    <cellStyle name="20% - Énfasis6 2" xfId="43"/>
    <cellStyle name="20% - Énfasis6 2 2" xfId="44"/>
    <cellStyle name="20% - Énfasis6 2 3" xfId="45"/>
    <cellStyle name="20% - Énfasis6 3" xfId="46"/>
    <cellStyle name="20% - Énfasis6 4" xfId="42"/>
    <cellStyle name="40% - Énfasis1 2" xfId="48"/>
    <cellStyle name="40% - Énfasis1 2 2" xfId="49"/>
    <cellStyle name="40% - Énfasis1 2 3" xfId="50"/>
    <cellStyle name="40% - Énfasis1 3" xfId="51"/>
    <cellStyle name="40% - Énfasis1 4" xfId="47"/>
    <cellStyle name="40% - Énfasis2 2" xfId="53"/>
    <cellStyle name="40% - Énfasis2 2 2" xfId="54"/>
    <cellStyle name="40% - Énfasis2 2 3" xfId="55"/>
    <cellStyle name="40% - Énfasis2 3" xfId="56"/>
    <cellStyle name="40% - Énfasis2 4" xfId="52"/>
    <cellStyle name="40% - Énfasis3 2" xfId="58"/>
    <cellStyle name="40% - Énfasis3 2 2" xfId="59"/>
    <cellStyle name="40% - Énfasis3 2 3" xfId="60"/>
    <cellStyle name="40% - Énfasis3 3" xfId="61"/>
    <cellStyle name="40% - Énfasis3 4" xfId="57"/>
    <cellStyle name="40% - Énfasis4 2" xfId="63"/>
    <cellStyle name="40% - Énfasis4 2 2" xfId="64"/>
    <cellStyle name="40% - Énfasis4 2 3" xfId="65"/>
    <cellStyle name="40% - Énfasis4 3" xfId="66"/>
    <cellStyle name="40% - Énfasis4 4" xfId="62"/>
    <cellStyle name="40% - Énfasis5 2" xfId="68"/>
    <cellStyle name="40% - Énfasis5 2 2" xfId="69"/>
    <cellStyle name="40% - Énfasis5 2 3" xfId="70"/>
    <cellStyle name="40% - Énfasis5 3" xfId="71"/>
    <cellStyle name="40% - Énfasis5 4" xfId="67"/>
    <cellStyle name="40% - Énfasis6 2" xfId="73"/>
    <cellStyle name="40% - Énfasis6 2 2" xfId="74"/>
    <cellStyle name="40% - Énfasis6 2 3" xfId="75"/>
    <cellStyle name="40% - Énfasis6 3" xfId="76"/>
    <cellStyle name="40% - Énfasis6 4" xfId="72"/>
    <cellStyle name="60% - Énfasis1 2" xfId="78"/>
    <cellStyle name="60% - Énfasis1 2 2" xfId="79"/>
    <cellStyle name="60% - Énfasis1 2 3" xfId="80"/>
    <cellStyle name="60% - Énfasis1 3" xfId="81"/>
    <cellStyle name="60% - Énfasis1 4" xfId="77"/>
    <cellStyle name="60% - Énfasis2 2" xfId="83"/>
    <cellStyle name="60% - Énfasis2 2 2" xfId="84"/>
    <cellStyle name="60% - Énfasis2 2 3" xfId="85"/>
    <cellStyle name="60% - Énfasis2 3" xfId="86"/>
    <cellStyle name="60% - Énfasis2 4" xfId="82"/>
    <cellStyle name="60% - Énfasis3 2" xfId="88"/>
    <cellStyle name="60% - Énfasis3 2 2" xfId="89"/>
    <cellStyle name="60% - Énfasis3 2 3" xfId="90"/>
    <cellStyle name="60% - Énfasis3 3" xfId="91"/>
    <cellStyle name="60% - Énfasis3 4" xfId="87"/>
    <cellStyle name="60% - Énfasis4 2" xfId="93"/>
    <cellStyle name="60% - Énfasis4 2 2" xfId="94"/>
    <cellStyle name="60% - Énfasis4 2 3" xfId="95"/>
    <cellStyle name="60% - Énfasis4 3" xfId="96"/>
    <cellStyle name="60% - Énfasis4 4" xfId="92"/>
    <cellStyle name="60% - Énfasis5 2" xfId="98"/>
    <cellStyle name="60% - Énfasis5 2 2" xfId="99"/>
    <cellStyle name="60% - Énfasis5 2 3" xfId="100"/>
    <cellStyle name="60% - Énfasis5 3" xfId="101"/>
    <cellStyle name="60% - Énfasis5 4" xfId="97"/>
    <cellStyle name="60% - Énfasis6 2" xfId="103"/>
    <cellStyle name="60% - Énfasis6 2 2" xfId="104"/>
    <cellStyle name="60% - Énfasis6 2 3" xfId="105"/>
    <cellStyle name="60% - Énfasis6 3" xfId="106"/>
    <cellStyle name="60% - Énfasis6 4" xfId="102"/>
    <cellStyle name="Buena 2" xfId="108"/>
    <cellStyle name="Buena 2 2" xfId="109"/>
    <cellStyle name="Buena 2 3" xfId="110"/>
    <cellStyle name="Buena 3" xfId="111"/>
    <cellStyle name="Buena 4" xfId="107"/>
    <cellStyle name="Cálculo 2" xfId="113"/>
    <cellStyle name="Cálculo 2 2" xfId="114"/>
    <cellStyle name="Cálculo 2 2 2" xfId="284"/>
    <cellStyle name="Cálculo 2 2 3" xfId="287"/>
    <cellStyle name="Cálculo 2 3" xfId="115"/>
    <cellStyle name="Cálculo 2 3 2" xfId="285"/>
    <cellStyle name="Cálculo 2 3 3" xfId="289"/>
    <cellStyle name="Cálculo 2 4" xfId="283"/>
    <cellStyle name="Cálculo 2 5" xfId="290"/>
    <cellStyle name="Cálculo 3" xfId="116"/>
    <cellStyle name="Cálculo 3 2" xfId="286"/>
    <cellStyle name="Cálculo 3 3" xfId="288"/>
    <cellStyle name="Cálculo 4" xfId="112"/>
    <cellStyle name="Cálculo 4 2" xfId="282"/>
    <cellStyle name="Cálculo 4 3" xfId="291"/>
    <cellStyle name="Celda de comprobación 2" xfId="118"/>
    <cellStyle name="Celda de comprobación 2 2" xfId="119"/>
    <cellStyle name="Celda de comprobación 2 3" xfId="120"/>
    <cellStyle name="Celda de comprobación 3" xfId="121"/>
    <cellStyle name="Celda de comprobación 4" xfId="117"/>
    <cellStyle name="Celda vinculada 2" xfId="123"/>
    <cellStyle name="Celda vinculada 2 2" xfId="124"/>
    <cellStyle name="Celda vinculada 2 3" xfId="125"/>
    <cellStyle name="Celda vinculada 3" xfId="126"/>
    <cellStyle name="Celda vinculada 4" xfId="122"/>
    <cellStyle name="Encabezado 4 2" xfId="128"/>
    <cellStyle name="Encabezado 4 2 2" xfId="129"/>
    <cellStyle name="Encabezado 4 2 3" xfId="130"/>
    <cellStyle name="Encabezado 4 3" xfId="131"/>
    <cellStyle name="Encabezado 4 4" xfId="127"/>
    <cellStyle name="Énfasis1 2" xfId="133"/>
    <cellStyle name="Énfasis1 2 2" xfId="134"/>
    <cellStyle name="Énfasis1 2 3" xfId="135"/>
    <cellStyle name="Énfasis1 3" xfId="136"/>
    <cellStyle name="Énfasis1 4" xfId="132"/>
    <cellStyle name="Énfasis2 2" xfId="138"/>
    <cellStyle name="Énfasis2 2 2" xfId="139"/>
    <cellStyle name="Énfasis2 2 3" xfId="140"/>
    <cellStyle name="Énfasis2 3" xfId="141"/>
    <cellStyle name="Énfasis2 4" xfId="137"/>
    <cellStyle name="Énfasis3 2" xfId="143"/>
    <cellStyle name="Énfasis3 2 2" xfId="144"/>
    <cellStyle name="Énfasis3 2 3" xfId="145"/>
    <cellStyle name="Énfasis3 3" xfId="146"/>
    <cellStyle name="Énfasis3 4" xfId="142"/>
    <cellStyle name="Énfasis4 2" xfId="148"/>
    <cellStyle name="Énfasis4 2 2" xfId="149"/>
    <cellStyle name="Énfasis4 2 3" xfId="150"/>
    <cellStyle name="Énfasis4 3" xfId="151"/>
    <cellStyle name="Énfasis4 4" xfId="147"/>
    <cellStyle name="Énfasis5 2" xfId="153"/>
    <cellStyle name="Énfasis5 2 2" xfId="154"/>
    <cellStyle name="Énfasis5 2 3" xfId="155"/>
    <cellStyle name="Énfasis5 3" xfId="156"/>
    <cellStyle name="Énfasis5 4" xfId="152"/>
    <cellStyle name="Énfasis6 2" xfId="158"/>
    <cellStyle name="Énfasis6 2 2" xfId="159"/>
    <cellStyle name="Énfasis6 2 3" xfId="160"/>
    <cellStyle name="Énfasis6 3" xfId="161"/>
    <cellStyle name="Énfasis6 4" xfId="157"/>
    <cellStyle name="Entrada 2" xfId="163"/>
    <cellStyle name="Entrada 2 2" xfId="164"/>
    <cellStyle name="Entrada 2 2 2" xfId="294"/>
    <cellStyle name="Entrada 2 2 3" xfId="277"/>
    <cellStyle name="Entrada 2 3" xfId="165"/>
    <cellStyle name="Entrada 2 3 2" xfId="295"/>
    <cellStyle name="Entrada 2 3 3" xfId="279"/>
    <cellStyle name="Entrada 2 4" xfId="293"/>
    <cellStyle name="Entrada 2 5" xfId="280"/>
    <cellStyle name="Entrada 3" xfId="166"/>
    <cellStyle name="Entrada 3 2" xfId="296"/>
    <cellStyle name="Entrada 3 3" xfId="278"/>
    <cellStyle name="Entrada 4" xfId="162"/>
    <cellStyle name="Entrada 4 2" xfId="292"/>
    <cellStyle name="Entrada 4 3" xfId="281"/>
    <cellStyle name="Excel Built-in Normal" xfId="167"/>
    <cellStyle name="Incorrecto 2" xfId="169"/>
    <cellStyle name="Incorrecto 2 2" xfId="170"/>
    <cellStyle name="Incorrecto 2 3" xfId="171"/>
    <cellStyle name="Incorrecto 3" xfId="172"/>
    <cellStyle name="Incorrecto 4" xfId="168"/>
    <cellStyle name="Millares 2" xfId="174"/>
    <cellStyle name="Millares 2 2" xfId="175"/>
    <cellStyle name="Millares 2 3" xfId="176"/>
    <cellStyle name="Millares 3" xfId="173"/>
    <cellStyle name="Moneda 2" xfId="177"/>
    <cellStyle name="Neutral 2" xfId="179"/>
    <cellStyle name="Neutral 2 2" xfId="180"/>
    <cellStyle name="Neutral 2 3" xfId="181"/>
    <cellStyle name="Neutral 3" xfId="182"/>
    <cellStyle name="Neutral 4" xfId="178"/>
    <cellStyle name="Normal" xfId="0" builtinId="0"/>
    <cellStyle name="Normal 11" xfId="183"/>
    <cellStyle name="Normal 11 2" xfId="184"/>
    <cellStyle name="Normal 11 3" xfId="185"/>
    <cellStyle name="Normal 12" xfId="186"/>
    <cellStyle name="Normal 12 2" xfId="187"/>
    <cellStyle name="Normal 12 3" xfId="188"/>
    <cellStyle name="Normal 13" xfId="318"/>
    <cellStyle name="Normal 14" xfId="319"/>
    <cellStyle name="Normal 15" xfId="320"/>
    <cellStyle name="Normal 16" xfId="189"/>
    <cellStyle name="Normal 18" xfId="190"/>
    <cellStyle name="Normal 18 2" xfId="191"/>
    <cellStyle name="Normal 19" xfId="192"/>
    <cellStyle name="Normal 2" xfId="7"/>
    <cellStyle name="Normal 2 2" xfId="12"/>
    <cellStyle name="Normal 2 2 2" xfId="194"/>
    <cellStyle name="Normal 2 3" xfId="195"/>
    <cellStyle name="Normal 2 3 2" xfId="196"/>
    <cellStyle name="Normal 2 4" xfId="197"/>
    <cellStyle name="Normal 2 5" xfId="193"/>
    <cellStyle name="Normal 2 6" xfId="11"/>
    <cellStyle name="Normal 20" xfId="198"/>
    <cellStyle name="Normal 20 2" xfId="199"/>
    <cellStyle name="Normal 21" xfId="200"/>
    <cellStyle name="Normal 22" xfId="321"/>
    <cellStyle name="Normal 23" xfId="322"/>
    <cellStyle name="Normal 24" xfId="201"/>
    <cellStyle name="Normal 25" xfId="323"/>
    <cellStyle name="Normal 26" xfId="324"/>
    <cellStyle name="Normal 27" xfId="325"/>
    <cellStyle name="Normal 28" xfId="326"/>
    <cellStyle name="Normal 29" xfId="327"/>
    <cellStyle name="Normal 3" xfId="3"/>
    <cellStyle name="Normal 3 2" xfId="202"/>
    <cellStyle name="Normal 3 3" xfId="266"/>
    <cellStyle name="Normal 3 4" xfId="13"/>
    <cellStyle name="Normal 30" xfId="328"/>
    <cellStyle name="Normal 31" xfId="329"/>
    <cellStyle name="Normal 32" xfId="330"/>
    <cellStyle name="Normal 33" xfId="331"/>
    <cellStyle name="Normal 34" xfId="332"/>
    <cellStyle name="Normal 35" xfId="333"/>
    <cellStyle name="Normal 36" xfId="334"/>
    <cellStyle name="Normal 37" xfId="335"/>
    <cellStyle name="Normal 38" xfId="336"/>
    <cellStyle name="Normal 4" xfId="4"/>
    <cellStyle name="Normal 4 2" xfId="204"/>
    <cellStyle name="Normal 4 3" xfId="203"/>
    <cellStyle name="Normal 40" xfId="337"/>
    <cellStyle name="Normal 5" xfId="9"/>
    <cellStyle name="Normal 5 2" xfId="206"/>
    <cellStyle name="Normal 5 3" xfId="205"/>
    <cellStyle name="Normal 6" xfId="207"/>
    <cellStyle name="Normal 6 2" xfId="208"/>
    <cellStyle name="Normal 7" xfId="5"/>
    <cellStyle name="Normal 7 2" xfId="210"/>
    <cellStyle name="Normal 7 3" xfId="209"/>
    <cellStyle name="Normal 8" xfId="16"/>
    <cellStyle name="Notas 2" xfId="212"/>
    <cellStyle name="Notas 2 2" xfId="213"/>
    <cellStyle name="Notas 2 2 2" xfId="299"/>
    <cellStyle name="Notas 2 2 3" xfId="274"/>
    <cellStyle name="Notas 2 3" xfId="214"/>
    <cellStyle name="Notas 2 3 2" xfId="300"/>
    <cellStyle name="Notas 2 3 3" xfId="272"/>
    <cellStyle name="Notas 2 4" xfId="298"/>
    <cellStyle name="Notas 2 5" xfId="275"/>
    <cellStyle name="Notas 3" xfId="215"/>
    <cellStyle name="Notas 3 2" xfId="301"/>
    <cellStyle name="Notas 3 3" xfId="273"/>
    <cellStyle name="Notas 4" xfId="211"/>
    <cellStyle name="Notas 4 2" xfId="297"/>
    <cellStyle name="Notas 4 3" xfId="276"/>
    <cellStyle name="Porcentaje" xfId="1" builtinId="5"/>
    <cellStyle name="Porcentaje 2" xfId="14"/>
    <cellStyle name="Porcentaje 3" xfId="15"/>
    <cellStyle name="Porcentual 10" xfId="2"/>
    <cellStyle name="Porcentual 14" xfId="6"/>
    <cellStyle name="Porcentual 2" xfId="8"/>
    <cellStyle name="Porcentual 2 2" xfId="217"/>
    <cellStyle name="Porcentual 2 3" xfId="218"/>
    <cellStyle name="Porcentual 2 4" xfId="338"/>
    <cellStyle name="Porcentual 3" xfId="10"/>
    <cellStyle name="Porcentual 3 2" xfId="219"/>
    <cellStyle name="Porcentual 4" xfId="220"/>
    <cellStyle name="Porcentual 5" xfId="221"/>
    <cellStyle name="Porcentual 6" xfId="222"/>
    <cellStyle name="Porcentual 7" xfId="223"/>
    <cellStyle name="Porcentual 7 2" xfId="224"/>
    <cellStyle name="Porcentual 7 3" xfId="225"/>
    <cellStyle name="Porcentual 8" xfId="216"/>
    <cellStyle name="Porcentual 9" xfId="317"/>
    <cellStyle name="Salida 2" xfId="227"/>
    <cellStyle name="Salida 2 2" xfId="228"/>
    <cellStyle name="Salida 2 2 2" xfId="304"/>
    <cellStyle name="Salida 2 2 3" xfId="267"/>
    <cellStyle name="Salida 2 3" xfId="229"/>
    <cellStyle name="Salida 2 3 2" xfId="305"/>
    <cellStyle name="Salida 2 3 3" xfId="269"/>
    <cellStyle name="Salida 2 4" xfId="303"/>
    <cellStyle name="Salida 2 5" xfId="270"/>
    <cellStyle name="Salida 3" xfId="230"/>
    <cellStyle name="Salida 3 2" xfId="306"/>
    <cellStyle name="Salida 3 3" xfId="268"/>
    <cellStyle name="Salida 4" xfId="226"/>
    <cellStyle name="Salida 4 2" xfId="302"/>
    <cellStyle name="Salida 4 3" xfId="271"/>
    <cellStyle name="Texto de advertencia 2" xfId="232"/>
    <cellStyle name="Texto de advertencia 2 2" xfId="233"/>
    <cellStyle name="Texto de advertencia 2 3" xfId="234"/>
    <cellStyle name="Texto de advertencia 3" xfId="235"/>
    <cellStyle name="Texto de advertencia 4" xfId="231"/>
    <cellStyle name="Texto explicativo 2" xfId="237"/>
    <cellStyle name="Texto explicativo 2 2" xfId="238"/>
    <cellStyle name="Texto explicativo 2 3" xfId="239"/>
    <cellStyle name="Texto explicativo 3" xfId="240"/>
    <cellStyle name="Texto explicativo 4" xfId="236"/>
    <cellStyle name="Título 1 2" xfId="243"/>
    <cellStyle name="Título 1 2 2" xfId="244"/>
    <cellStyle name="Título 1 2 3" xfId="245"/>
    <cellStyle name="Título 1 3" xfId="246"/>
    <cellStyle name="Título 1 4" xfId="242"/>
    <cellStyle name="Título 2 2" xfId="248"/>
    <cellStyle name="Título 2 2 2" xfId="249"/>
    <cellStyle name="Título 2 2 3" xfId="250"/>
    <cellStyle name="Título 2 3" xfId="251"/>
    <cellStyle name="Título 2 4" xfId="247"/>
    <cellStyle name="Título 3 2" xfId="253"/>
    <cellStyle name="Título 3 2 2" xfId="254"/>
    <cellStyle name="Título 3 2 3" xfId="255"/>
    <cellStyle name="Título 3 3" xfId="256"/>
    <cellStyle name="Título 3 4" xfId="252"/>
    <cellStyle name="Título 4" xfId="257"/>
    <cellStyle name="Título 4 2" xfId="258"/>
    <cellStyle name="Título 4 3" xfId="259"/>
    <cellStyle name="Título 5" xfId="260"/>
    <cellStyle name="Título 6" xfId="241"/>
    <cellStyle name="Total 2" xfId="262"/>
    <cellStyle name="Total 2 2" xfId="263"/>
    <cellStyle name="Total 2 2 2" xfId="309"/>
    <cellStyle name="Total 2 2 3" xfId="314"/>
    <cellStyle name="Total 2 3" xfId="264"/>
    <cellStyle name="Total 2 3 2" xfId="310"/>
    <cellStyle name="Total 2 3 3" xfId="315"/>
    <cellStyle name="Total 2 4" xfId="308"/>
    <cellStyle name="Total 2 5" xfId="313"/>
    <cellStyle name="Total 3" xfId="265"/>
    <cellStyle name="Total 3 2" xfId="311"/>
    <cellStyle name="Total 3 3" xfId="316"/>
    <cellStyle name="Total 4" xfId="261"/>
    <cellStyle name="Total 4 2" xfId="307"/>
    <cellStyle name="Total 4 3" xfId="312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34"/>
  <sheetViews>
    <sheetView topLeftCell="A18" workbookViewId="0">
      <selection activeCell="E28" sqref="E28:J31"/>
    </sheetView>
  </sheetViews>
  <sheetFormatPr baseColWidth="10" defaultRowHeight="15"/>
  <cols>
    <col min="2" max="2" width="18.85546875" bestFit="1" customWidth="1"/>
    <col min="3" max="3" width="29.5703125" customWidth="1"/>
    <col min="4" max="4" width="21" bestFit="1" customWidth="1"/>
    <col min="5" max="5" width="14.5703125" bestFit="1" customWidth="1"/>
    <col min="6" max="6" width="12.85546875" bestFit="1" customWidth="1"/>
    <col min="9" max="9" width="11.85546875" bestFit="1" customWidth="1"/>
  </cols>
  <sheetData>
    <row r="2" spans="2:10">
      <c r="B2" s="241" t="s">
        <v>148</v>
      </c>
      <c r="C2" s="241"/>
      <c r="D2" s="241"/>
      <c r="E2" s="241"/>
      <c r="F2" s="241"/>
      <c r="G2" s="241"/>
      <c r="H2" s="241"/>
      <c r="I2" s="241"/>
      <c r="J2" s="241"/>
    </row>
    <row r="3" spans="2:10">
      <c r="B3" s="241"/>
      <c r="C3" s="241"/>
      <c r="D3" s="241"/>
      <c r="E3" s="241"/>
      <c r="F3" s="241"/>
      <c r="G3" s="241"/>
      <c r="H3" s="241"/>
      <c r="I3" s="241"/>
      <c r="J3" s="241"/>
    </row>
    <row r="4" spans="2:10">
      <c r="C4" s="243">
        <v>44214</v>
      </c>
      <c r="D4" s="243"/>
      <c r="E4" s="243"/>
      <c r="F4" s="243"/>
      <c r="G4" s="243"/>
      <c r="H4" s="243"/>
      <c r="I4" s="243"/>
      <c r="J4" s="243"/>
    </row>
    <row r="5" spans="2:10">
      <c r="C5" s="244" t="s">
        <v>0</v>
      </c>
      <c r="D5" s="244"/>
      <c r="E5" s="244"/>
      <c r="F5" s="244"/>
      <c r="G5" s="244"/>
      <c r="H5" s="244"/>
      <c r="I5" s="244"/>
      <c r="J5" s="244"/>
    </row>
    <row r="8" spans="2:10">
      <c r="B8" s="13" t="s">
        <v>1</v>
      </c>
      <c r="C8" s="13" t="s">
        <v>119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</row>
    <row r="9" spans="2:10" ht="15" customHeight="1">
      <c r="B9" s="245" t="s">
        <v>121</v>
      </c>
      <c r="C9" s="242" t="s">
        <v>117</v>
      </c>
      <c r="D9" s="14" t="s">
        <v>137</v>
      </c>
      <c r="E9" s="115">
        <f>'Artesanal Anchoveta XV-IV'!M7</f>
        <v>67617</v>
      </c>
      <c r="F9" s="145">
        <f>'Artesanal Anchoveta XV-IV'!N7</f>
        <v>7843</v>
      </c>
      <c r="G9" s="107">
        <f>'Artesanal Anchoveta XV-IV'!O7</f>
        <v>75460</v>
      </c>
      <c r="H9" s="107">
        <f>'Artesanal Anchoveta XV-IV'!P7</f>
        <v>75440.597999999998</v>
      </c>
      <c r="I9" s="107">
        <f>'Artesanal Anchoveta XV-IV'!Q7</f>
        <v>19.402000000001863</v>
      </c>
      <c r="J9" s="113">
        <f>'Artesanal Anchoveta XV-IV'!R7</f>
        <v>0.99974288364696529</v>
      </c>
    </row>
    <row r="10" spans="2:10" s="103" customFormat="1" ht="15" customHeight="1">
      <c r="B10" s="245"/>
      <c r="C10" s="242"/>
      <c r="D10" s="14" t="s">
        <v>146</v>
      </c>
      <c r="E10" s="115">
        <f>'Artesanal Anchoveta XV-IV'!M9</f>
        <v>15782</v>
      </c>
      <c r="F10" s="145">
        <f>'Artesanal Anchoveta XV-IV'!N9</f>
        <v>0</v>
      </c>
      <c r="G10" s="107">
        <f>'Artesanal Anchoveta XV-IV'!O9</f>
        <v>15782</v>
      </c>
      <c r="H10" s="107">
        <f>'Artesanal Anchoveta XV-IV'!P9</f>
        <v>15792.156000000001</v>
      </c>
      <c r="I10" s="107">
        <f>'Artesanal Anchoveta XV-IV'!Q9</f>
        <v>-10.156000000000859</v>
      </c>
      <c r="J10" s="113">
        <f>'Artesanal Anchoveta XV-IV'!R9</f>
        <v>1.0006435179318212</v>
      </c>
    </row>
    <row r="11" spans="2:10">
      <c r="B11" s="245"/>
      <c r="C11" s="242"/>
      <c r="D11" s="14" t="s">
        <v>10</v>
      </c>
      <c r="E11" s="115">
        <f>+'Artesanal Anchoveta XV-IV'!M11</f>
        <v>31503</v>
      </c>
      <c r="F11" s="145">
        <f>+'Artesanal Anchoveta XV-IV'!N11</f>
        <v>0</v>
      </c>
      <c r="G11" s="107">
        <f>+'Artesanal Anchoveta XV-IV'!O11</f>
        <v>31503</v>
      </c>
      <c r="H11" s="107">
        <f>+'Artesanal Anchoveta XV-IV'!P11</f>
        <v>31494.985000000001</v>
      </c>
      <c r="I11" s="107">
        <f t="shared" ref="I11:I21" si="0">+G11-H11</f>
        <v>8.0149999999994179</v>
      </c>
      <c r="J11" s="113">
        <f t="shared" ref="J11:J21" si="1">+H11/G11</f>
        <v>0.99974557978605216</v>
      </c>
    </row>
    <row r="12" spans="2:10" s="1" customFormat="1">
      <c r="B12" s="245"/>
      <c r="C12" s="242"/>
      <c r="D12" s="14" t="s">
        <v>11</v>
      </c>
      <c r="E12" s="115">
        <f>+'Artesanal Anchoveta XV-IV'!M14</f>
        <v>31478</v>
      </c>
      <c r="F12" s="145">
        <f>+'Artesanal Anchoveta XV-IV'!N14</f>
        <v>0</v>
      </c>
      <c r="G12" s="107">
        <f>+'Artesanal Anchoveta XV-IV'!O14</f>
        <v>31478</v>
      </c>
      <c r="H12" s="107">
        <f>+'Artesanal Anchoveta XV-IV'!P14</f>
        <v>21624.519</v>
      </c>
      <c r="I12" s="107">
        <f t="shared" si="0"/>
        <v>9853.4809999999998</v>
      </c>
      <c r="J12" s="113">
        <f t="shared" si="1"/>
        <v>0.68697245695406317</v>
      </c>
    </row>
    <row r="13" spans="2:10" ht="15" customHeight="1">
      <c r="B13" s="245"/>
      <c r="C13" s="242"/>
      <c r="D13" s="14" t="s">
        <v>12</v>
      </c>
      <c r="E13" s="115">
        <f>+'Artesanal Anchoveta XV-IV'!F15+'Artesanal Anchoveta XV-IV'!F16</f>
        <v>13491</v>
      </c>
      <c r="F13" s="145">
        <f>+'Artesanal Anchoveta XV-IV'!G15+'Artesanal Anchoveta XV-IV'!G16</f>
        <v>-400</v>
      </c>
      <c r="G13" s="107">
        <f>+'Artesanal Anchoveta XV-IV'!H15+'Artesanal Anchoveta XV-IV'!H16</f>
        <v>13091</v>
      </c>
      <c r="H13" s="107">
        <f>+'Artesanal Anchoveta XV-IV'!I15+'Artesanal Anchoveta XV-IV'!I16</f>
        <v>12601.896000000001</v>
      </c>
      <c r="I13" s="107">
        <f t="shared" si="0"/>
        <v>489.10399999999936</v>
      </c>
      <c r="J13" s="113">
        <f t="shared" si="1"/>
        <v>0.9626381483461921</v>
      </c>
    </row>
    <row r="14" spans="2:10">
      <c r="B14" s="245"/>
      <c r="C14" s="242"/>
      <c r="D14" s="14" t="s">
        <v>13</v>
      </c>
      <c r="E14" s="115">
        <f>+'Artesanal Anchoveta XV-IV'!F13</f>
        <v>1000</v>
      </c>
      <c r="F14" s="115">
        <f>+'Artesanal Anchoveta XV-IV'!G13</f>
        <v>0</v>
      </c>
      <c r="G14" s="115">
        <f>+'Artesanal Anchoveta XV-IV'!H13</f>
        <v>1000</v>
      </c>
      <c r="H14" s="115">
        <f>+'Artesanal Anchoveta XV-IV'!I13</f>
        <v>0</v>
      </c>
      <c r="I14" s="107">
        <f t="shared" si="0"/>
        <v>1000</v>
      </c>
      <c r="J14" s="113">
        <f t="shared" si="1"/>
        <v>0</v>
      </c>
    </row>
    <row r="15" spans="2:10">
      <c r="B15" s="245"/>
      <c r="C15" s="242"/>
      <c r="D15" s="14" t="s">
        <v>14</v>
      </c>
      <c r="E15" s="115">
        <f>+'Artesanal Anchoveta XV-IV'!F17</f>
        <v>500</v>
      </c>
      <c r="F15" s="115">
        <f>+'Artesanal Anchoveta XV-IV'!G17</f>
        <v>0</v>
      </c>
      <c r="G15" s="115">
        <f>+'Artesanal Anchoveta XV-IV'!H17</f>
        <v>500</v>
      </c>
      <c r="H15" s="115">
        <f>+'Artesanal Anchoveta XV-IV'!I17</f>
        <v>0</v>
      </c>
      <c r="I15" s="107">
        <f t="shared" si="0"/>
        <v>500</v>
      </c>
      <c r="J15" s="113">
        <f t="shared" si="1"/>
        <v>0</v>
      </c>
    </row>
    <row r="16" spans="2:10" ht="15" customHeight="1">
      <c r="B16" s="245"/>
      <c r="C16" s="242" t="s">
        <v>118</v>
      </c>
      <c r="D16" s="14" t="s">
        <v>9</v>
      </c>
      <c r="E16" s="115">
        <f>+'Artesanal S.española XV-IV'!M7</f>
        <v>736</v>
      </c>
      <c r="F16" s="146">
        <f>+'Artesanal S.española XV-IV'!N7</f>
        <v>0</v>
      </c>
      <c r="G16" s="115">
        <f>+'Artesanal S.española XV-IV'!O7</f>
        <v>736</v>
      </c>
      <c r="H16" s="115">
        <f>+'Artesanal S.española XV-IV'!P7</f>
        <v>0</v>
      </c>
      <c r="I16" s="115">
        <f t="shared" si="0"/>
        <v>736</v>
      </c>
      <c r="J16" s="143">
        <f t="shared" si="1"/>
        <v>0</v>
      </c>
    </row>
    <row r="17" spans="2:10">
      <c r="B17" s="245"/>
      <c r="C17" s="242"/>
      <c r="D17" s="14" t="s">
        <v>10</v>
      </c>
      <c r="E17" s="115">
        <f>+'Artesanal S.española XV-IV'!M9</f>
        <v>2769</v>
      </c>
      <c r="F17" s="146">
        <f>+'Artesanal S.española XV-IV'!N9</f>
        <v>0</v>
      </c>
      <c r="G17" s="115">
        <f>+'Artesanal S.española XV-IV'!O9</f>
        <v>2769</v>
      </c>
      <c r="H17" s="115">
        <f>+'Artesanal S.española XV-IV'!P9</f>
        <v>2676.3710000000001</v>
      </c>
      <c r="I17" s="115">
        <f t="shared" si="0"/>
        <v>92.628999999999905</v>
      </c>
      <c r="J17" s="143">
        <f t="shared" si="1"/>
        <v>0.96654785120982312</v>
      </c>
    </row>
    <row r="18" spans="2:10">
      <c r="B18" s="245"/>
      <c r="C18" s="242"/>
      <c r="D18" s="14" t="s">
        <v>11</v>
      </c>
      <c r="E18" s="115">
        <f>+'Artesanal S.española XV-IV'!M12</f>
        <v>387.5</v>
      </c>
      <c r="F18" s="146">
        <f>+'Artesanal S.española XV-IV'!N12</f>
        <v>0</v>
      </c>
      <c r="G18" s="115">
        <f>+'Artesanal S.española XV-IV'!O12</f>
        <v>387.5</v>
      </c>
      <c r="H18" s="115">
        <f>+'Artesanal S.española XV-IV'!P12</f>
        <v>347.99099999999999</v>
      </c>
      <c r="I18" s="115">
        <f t="shared" si="0"/>
        <v>39.509000000000015</v>
      </c>
      <c r="J18" s="143">
        <f t="shared" si="1"/>
        <v>0.89804129032258062</v>
      </c>
    </row>
    <row r="19" spans="2:10">
      <c r="B19" s="245"/>
      <c r="C19" s="242"/>
      <c r="D19" s="14" t="s">
        <v>12</v>
      </c>
      <c r="E19" s="115">
        <f>+'Artesanal S.española XV-IV'!M13</f>
        <v>387.5</v>
      </c>
      <c r="F19" s="146">
        <f>+'Artesanal S.española XV-IV'!N13</f>
        <v>0</v>
      </c>
      <c r="G19" s="115">
        <f>+'Artesanal S.española XV-IV'!O13</f>
        <v>387.5</v>
      </c>
      <c r="H19" s="115">
        <f>+'Artesanal S.española XV-IV'!P13</f>
        <v>253.26400000000001</v>
      </c>
      <c r="I19" s="115">
        <f t="shared" si="0"/>
        <v>134.23599999999999</v>
      </c>
      <c r="J19" s="143">
        <f t="shared" si="1"/>
        <v>0.65358451612903223</v>
      </c>
    </row>
    <row r="20" spans="2:10">
      <c r="B20" s="245"/>
      <c r="C20" s="242"/>
      <c r="D20" s="14" t="s">
        <v>13</v>
      </c>
      <c r="E20" s="115">
        <f>+'Artesanal S.española XV-IV'!F11</f>
        <v>10</v>
      </c>
      <c r="F20" s="115">
        <f>+'Artesanal S.española XV-IV'!G11</f>
        <v>0</v>
      </c>
      <c r="G20" s="115">
        <f>+'Artesanal S.española XV-IV'!H11</f>
        <v>10</v>
      </c>
      <c r="H20" s="115">
        <f>+'Artesanal S.española XV-IV'!I11</f>
        <v>0</v>
      </c>
      <c r="I20" s="107">
        <f t="shared" si="0"/>
        <v>10</v>
      </c>
      <c r="J20" s="113">
        <f t="shared" si="1"/>
        <v>0</v>
      </c>
    </row>
    <row r="21" spans="2:10">
      <c r="B21" s="245"/>
      <c r="C21" s="242"/>
      <c r="D21" s="14" t="s">
        <v>14</v>
      </c>
      <c r="E21" s="115">
        <f>+'Artesanal S.española XV-IV'!F14</f>
        <v>100</v>
      </c>
      <c r="F21" s="115">
        <f>+'Artesanal S.española XV-IV'!G14</f>
        <v>0</v>
      </c>
      <c r="G21" s="115">
        <f>+'Artesanal S.española XV-IV'!H14</f>
        <v>100</v>
      </c>
      <c r="H21" s="115">
        <f>+'Artesanal S.española XV-IV'!I14</f>
        <v>4.6680000000000001</v>
      </c>
      <c r="I21" s="107">
        <f t="shared" si="0"/>
        <v>95.331999999999994</v>
      </c>
      <c r="J21" s="113">
        <f t="shared" si="1"/>
        <v>4.6679999999999999E-2</v>
      </c>
    </row>
    <row r="22" spans="2:10" s="1" customFormat="1" ht="28.5" customHeight="1">
      <c r="B22" s="13" t="s">
        <v>120</v>
      </c>
      <c r="C22" s="247" t="s">
        <v>123</v>
      </c>
      <c r="D22" s="246" t="s">
        <v>15</v>
      </c>
      <c r="E22" s="115">
        <v>200</v>
      </c>
      <c r="F22" s="145">
        <v>0</v>
      </c>
      <c r="G22" s="107">
        <f t="shared" ref="G22:G27" si="2">+E22+F22</f>
        <v>200</v>
      </c>
      <c r="H22" s="107">
        <v>0</v>
      </c>
      <c r="I22" s="107">
        <f>+G22-H22</f>
        <v>200</v>
      </c>
      <c r="J22" s="113">
        <f>+H22/G22</f>
        <v>0</v>
      </c>
    </row>
    <row r="23" spans="2:10" s="103" customFormat="1" ht="18.75" customHeight="1">
      <c r="B23" s="207" t="s">
        <v>159</v>
      </c>
      <c r="C23" s="248"/>
      <c r="D23" s="246"/>
      <c r="E23" s="115">
        <v>7843</v>
      </c>
      <c r="F23" s="145">
        <v>0</v>
      </c>
      <c r="G23" s="107">
        <f>+E23+F23</f>
        <v>7843</v>
      </c>
      <c r="H23" s="107"/>
      <c r="I23" s="107">
        <f>+G23-H23</f>
        <v>7843</v>
      </c>
      <c r="J23" s="113">
        <f>+H23/G23</f>
        <v>0</v>
      </c>
    </row>
    <row r="24" spans="2:10" s="1" customFormat="1">
      <c r="B24" s="13" t="s">
        <v>122</v>
      </c>
      <c r="C24" s="102" t="s">
        <v>117</v>
      </c>
      <c r="D24" s="246"/>
      <c r="E24" s="115">
        <v>7843</v>
      </c>
      <c r="F24" s="145">
        <f>-7843</f>
        <v>-7843</v>
      </c>
      <c r="G24" s="115">
        <f>+E24+F24</f>
        <v>0</v>
      </c>
      <c r="H24" s="107">
        <v>0</v>
      </c>
      <c r="I24" s="107">
        <v>0</v>
      </c>
      <c r="J24" s="113">
        <v>0</v>
      </c>
    </row>
    <row r="25" spans="2:10" s="1" customFormat="1">
      <c r="B25" s="13" t="s">
        <v>120</v>
      </c>
      <c r="C25" s="102" t="s">
        <v>116</v>
      </c>
      <c r="D25" s="246" t="s">
        <v>16</v>
      </c>
      <c r="E25" s="115">
        <v>70</v>
      </c>
      <c r="F25" s="145">
        <v>0</v>
      </c>
      <c r="G25" s="107">
        <f t="shared" si="2"/>
        <v>70</v>
      </c>
      <c r="H25" s="107">
        <f>'P. Investigación'!H15</f>
        <v>0.50900000000000001</v>
      </c>
      <c r="I25" s="107">
        <f>+G25-H25</f>
        <v>69.491</v>
      </c>
      <c r="J25" s="113">
        <f>+H25/G25</f>
        <v>7.2714285714285719E-3</v>
      </c>
    </row>
    <row r="26" spans="2:10" s="103" customFormat="1">
      <c r="B26" s="207" t="s">
        <v>159</v>
      </c>
      <c r="C26" s="102" t="s">
        <v>117</v>
      </c>
      <c r="D26" s="246"/>
      <c r="E26" s="115">
        <v>919</v>
      </c>
      <c r="F26" s="145"/>
      <c r="G26" s="107">
        <f t="shared" si="2"/>
        <v>919</v>
      </c>
      <c r="H26" s="107"/>
      <c r="I26" s="107">
        <f>+G26-H26</f>
        <v>919</v>
      </c>
      <c r="J26" s="113">
        <f>+H26/G26</f>
        <v>0</v>
      </c>
    </row>
    <row r="27" spans="2:10" s="1" customFormat="1">
      <c r="B27" s="13" t="s">
        <v>120</v>
      </c>
      <c r="C27" s="102" t="s">
        <v>118</v>
      </c>
      <c r="D27" s="246"/>
      <c r="E27" s="115">
        <v>0</v>
      </c>
      <c r="F27" s="145">
        <v>0</v>
      </c>
      <c r="G27" s="107">
        <f t="shared" si="2"/>
        <v>0</v>
      </c>
      <c r="H27" s="107">
        <v>0</v>
      </c>
      <c r="I27" s="107">
        <v>0</v>
      </c>
      <c r="J27" s="113">
        <v>0</v>
      </c>
    </row>
    <row r="28" spans="2:10">
      <c r="B28" s="245" t="s">
        <v>115</v>
      </c>
      <c r="C28" s="242" t="s">
        <v>116</v>
      </c>
      <c r="D28" s="17" t="s">
        <v>15</v>
      </c>
      <c r="E28" s="115">
        <f>+Industrial!K27</f>
        <v>647598.95299999998</v>
      </c>
      <c r="F28" s="145">
        <f>+Industrial!L27</f>
        <v>-189314.79699999999</v>
      </c>
      <c r="G28" s="107">
        <f>+Industrial!M27</f>
        <v>458284.15599999996</v>
      </c>
      <c r="H28" s="107">
        <f>+Industrial!N27</f>
        <v>56514.012000000002</v>
      </c>
      <c r="I28" s="107">
        <f>+G28-H28</f>
        <v>401770.14399999997</v>
      </c>
      <c r="J28" s="113">
        <f>+H28/G28</f>
        <v>0.1233165302795238</v>
      </c>
    </row>
    <row r="29" spans="2:10">
      <c r="B29" s="245"/>
      <c r="C29" s="242"/>
      <c r="D29" s="17" t="s">
        <v>16</v>
      </c>
      <c r="E29" s="115">
        <f>+Industrial!K46</f>
        <v>44741.498999999974</v>
      </c>
      <c r="F29" s="145">
        <f>+Industrial!L46</f>
        <v>-37582.315999999999</v>
      </c>
      <c r="G29" s="107">
        <f>+Industrial!M46</f>
        <v>7159.1829999999809</v>
      </c>
      <c r="H29" s="107">
        <f>+Industrial!N46</f>
        <v>0</v>
      </c>
      <c r="I29" s="107">
        <f t="shared" ref="I29:I31" si="3">+G29-H29</f>
        <v>7159.1829999999809</v>
      </c>
      <c r="J29" s="113">
        <f>+H29/G29</f>
        <v>0</v>
      </c>
    </row>
    <row r="30" spans="2:10">
      <c r="B30" s="245"/>
      <c r="C30" s="242" t="s">
        <v>124</v>
      </c>
      <c r="D30" s="17" t="s">
        <v>15</v>
      </c>
      <c r="E30" s="115">
        <f>+Industrial!K53</f>
        <v>1484.9989999999998</v>
      </c>
      <c r="F30" s="145">
        <f>+Industrial!L53</f>
        <v>-400</v>
      </c>
      <c r="G30" s="107">
        <f>+Industrial!M53</f>
        <v>1084.9989999999998</v>
      </c>
      <c r="H30" s="107">
        <f>+Industrial!N53</f>
        <v>263.15800000000002</v>
      </c>
      <c r="I30" s="107">
        <f t="shared" si="3"/>
        <v>821.84099999999978</v>
      </c>
      <c r="J30" s="113">
        <f>+H30/G30</f>
        <v>0.24254215902503143</v>
      </c>
    </row>
    <row r="31" spans="2:10">
      <c r="B31" s="245"/>
      <c r="C31" s="242"/>
      <c r="D31" s="17" t="s">
        <v>16</v>
      </c>
      <c r="E31" s="115">
        <f>+Industrial!K63</f>
        <v>875.00099999999986</v>
      </c>
      <c r="F31" s="145">
        <f>+Industrial!L63</f>
        <v>-580</v>
      </c>
      <c r="G31" s="107">
        <f>+Industrial!M63</f>
        <v>295.00099999999992</v>
      </c>
      <c r="H31" s="107">
        <f>+Industrial!N63</f>
        <v>0</v>
      </c>
      <c r="I31" s="107">
        <f t="shared" si="3"/>
        <v>295.00099999999992</v>
      </c>
      <c r="J31" s="113">
        <f>+H31/G31</f>
        <v>0</v>
      </c>
    </row>
    <row r="32" spans="2:10" s="103" customFormat="1">
      <c r="B32" s="238" t="s">
        <v>138</v>
      </c>
      <c r="C32" s="149" t="s">
        <v>117</v>
      </c>
      <c r="D32" s="239" t="s">
        <v>139</v>
      </c>
      <c r="E32" s="115">
        <v>0</v>
      </c>
      <c r="F32" s="145">
        <f>+'Cesiones ind y colec'!T5</f>
        <v>227297.11299999998</v>
      </c>
      <c r="G32" s="107">
        <f>+'Cesiones ind y colec'!T5</f>
        <v>227297.11299999998</v>
      </c>
      <c r="H32" s="107">
        <f>+'Cesiones ind y colec'!U5</f>
        <v>112240.58199999997</v>
      </c>
      <c r="I32" s="107">
        <f>+'Cesiones ind y colec'!V5</f>
        <v>115056.53100000002</v>
      </c>
      <c r="J32" s="113">
        <f>+'Cesiones ind y colec'!W5</f>
        <v>0.49380557684426013</v>
      </c>
    </row>
    <row r="33" spans="2:10" s="103" customFormat="1">
      <c r="B33" s="238"/>
      <c r="C33" s="149" t="s">
        <v>118</v>
      </c>
      <c r="D33" s="240"/>
      <c r="E33" s="115">
        <v>0</v>
      </c>
      <c r="F33" s="145">
        <f>+'Cesiones ind y colec'!T6</f>
        <v>980</v>
      </c>
      <c r="G33" s="107">
        <f>+'Cesiones ind y colec'!T6</f>
        <v>980</v>
      </c>
      <c r="H33" s="107">
        <f>+'Cesiones ind y colec'!U6</f>
        <v>0</v>
      </c>
      <c r="I33" s="107">
        <f>+'Cesiones ind y colec'!V6</f>
        <v>980</v>
      </c>
      <c r="J33" s="113">
        <f>+'Cesiones ind y colec'!W6</f>
        <v>0</v>
      </c>
    </row>
    <row r="34" spans="2:10">
      <c r="E34" s="116">
        <f>SUM(E9:E33)</f>
        <v>877336.45199999993</v>
      </c>
      <c r="F34" s="110">
        <f>SUM(F9:F33)</f>
        <v>0</v>
      </c>
      <c r="G34" s="157">
        <f>SUM(G9:G33)</f>
        <v>877336.45199999993</v>
      </c>
    </row>
  </sheetData>
  <mergeCells count="14">
    <mergeCell ref="B32:B33"/>
    <mergeCell ref="D32:D33"/>
    <mergeCell ref="B2:J3"/>
    <mergeCell ref="C30:C31"/>
    <mergeCell ref="C4:J4"/>
    <mergeCell ref="C5:J5"/>
    <mergeCell ref="B28:B31"/>
    <mergeCell ref="B9:B21"/>
    <mergeCell ref="D22:D24"/>
    <mergeCell ref="D25:D27"/>
    <mergeCell ref="C9:C15"/>
    <mergeCell ref="C16:C21"/>
    <mergeCell ref="C28:C29"/>
    <mergeCell ref="C22:C2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25"/>
  <sheetViews>
    <sheetView tabSelected="1" zoomScale="98" zoomScaleNormal="98" workbookViewId="0">
      <selection activeCell="F7" sqref="F7:F13"/>
    </sheetView>
  </sheetViews>
  <sheetFormatPr baseColWidth="10" defaultRowHeight="15"/>
  <cols>
    <col min="1" max="1" width="2.85546875" customWidth="1"/>
    <col min="2" max="2" width="22.7109375" customWidth="1"/>
    <col min="3" max="3" width="21.5703125" customWidth="1"/>
    <col min="4" max="4" width="19.7109375" style="1" customWidth="1"/>
    <col min="5" max="5" width="8.85546875" bestFit="1" customWidth="1"/>
    <col min="6" max="6" width="12.28515625" customWidth="1"/>
    <col min="7" max="7" width="12.7109375" bestFit="1" customWidth="1"/>
  </cols>
  <sheetData>
    <row r="2" spans="2:18">
      <c r="B2" s="249" t="s">
        <v>149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2:18" s="22" customFormat="1"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2:18">
      <c r="B4" s="243">
        <f>+Resumen!C4</f>
        <v>44214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</row>
    <row r="5" spans="2:18">
      <c r="M5" s="262" t="s">
        <v>75</v>
      </c>
      <c r="N5" s="262"/>
      <c r="O5" s="262"/>
      <c r="P5" s="262"/>
      <c r="Q5" s="262"/>
      <c r="R5" s="262"/>
    </row>
    <row r="6" spans="2:18" ht="30">
      <c r="B6" s="12" t="s">
        <v>17</v>
      </c>
      <c r="C6" s="129" t="s">
        <v>142</v>
      </c>
      <c r="D6" s="13" t="s">
        <v>28</v>
      </c>
      <c r="E6" s="13" t="s">
        <v>22</v>
      </c>
      <c r="F6" s="12" t="s">
        <v>33</v>
      </c>
      <c r="G6" s="13" t="s">
        <v>4</v>
      </c>
      <c r="H6" s="12" t="s">
        <v>34</v>
      </c>
      <c r="I6" s="136" t="s">
        <v>145</v>
      </c>
      <c r="J6" s="136" t="s">
        <v>144</v>
      </c>
      <c r="K6" s="13" t="s">
        <v>35</v>
      </c>
      <c r="L6" s="13" t="s">
        <v>36</v>
      </c>
      <c r="M6" s="19" t="s">
        <v>33</v>
      </c>
      <c r="N6" s="20" t="s">
        <v>4</v>
      </c>
      <c r="O6" s="20" t="s">
        <v>34</v>
      </c>
      <c r="P6" s="20" t="s">
        <v>6</v>
      </c>
      <c r="Q6" s="20" t="s">
        <v>7</v>
      </c>
      <c r="R6" s="20" t="s">
        <v>35</v>
      </c>
    </row>
    <row r="7" spans="2:18" ht="15" customHeight="1">
      <c r="B7" s="264" t="s">
        <v>18</v>
      </c>
      <c r="C7" s="254" t="s">
        <v>156</v>
      </c>
      <c r="D7" s="256" t="s">
        <v>288</v>
      </c>
      <c r="E7" s="16" t="s">
        <v>19</v>
      </c>
      <c r="F7" s="123">
        <v>50713</v>
      </c>
      <c r="G7" s="118"/>
      <c r="H7" s="118">
        <f>+F7+G7</f>
        <v>50713</v>
      </c>
      <c r="I7" s="124">
        <v>49285.283000000003</v>
      </c>
      <c r="J7" s="118">
        <f t="shared" ref="J7:J10" si="0">+H7-I7</f>
        <v>1427.7169999999969</v>
      </c>
      <c r="K7" s="158">
        <f t="shared" ref="K7:K10" si="1">+I7/H7</f>
        <v>0.9718471200678328</v>
      </c>
      <c r="L7" s="105"/>
      <c r="M7" s="250">
        <f>+F7+F8</f>
        <v>67617</v>
      </c>
      <c r="N7" s="250">
        <f>+G7+G8</f>
        <v>7843</v>
      </c>
      <c r="O7" s="250">
        <f>+M7+N7</f>
        <v>75460</v>
      </c>
      <c r="P7" s="250">
        <f>+I7+I8</f>
        <v>75440.597999999998</v>
      </c>
      <c r="Q7" s="250">
        <f>+O7-P7</f>
        <v>19.402000000001863</v>
      </c>
      <c r="R7" s="252">
        <f>+P7/O7</f>
        <v>0.99974288364696529</v>
      </c>
    </row>
    <row r="8" spans="2:18" s="1" customFormat="1">
      <c r="B8" s="265"/>
      <c r="C8" s="255"/>
      <c r="D8" s="257"/>
      <c r="E8" s="16" t="s">
        <v>20</v>
      </c>
      <c r="F8" s="123">
        <v>16904</v>
      </c>
      <c r="G8" s="118">
        <f>7843</f>
        <v>7843</v>
      </c>
      <c r="H8" s="118">
        <f>+J7+F8+G8</f>
        <v>26174.716999999997</v>
      </c>
      <c r="I8" s="124">
        <v>26155.314999999999</v>
      </c>
      <c r="J8" s="118">
        <f t="shared" si="0"/>
        <v>19.401999999998225</v>
      </c>
      <c r="K8" s="18">
        <f t="shared" si="1"/>
        <v>0.99925875034293599</v>
      </c>
      <c r="L8" s="229">
        <v>44075</v>
      </c>
      <c r="M8" s="251"/>
      <c r="N8" s="251"/>
      <c r="O8" s="251"/>
      <c r="P8" s="251"/>
      <c r="Q8" s="251"/>
      <c r="R8" s="253"/>
    </row>
    <row r="9" spans="2:18" s="103" customFormat="1">
      <c r="B9" s="265"/>
      <c r="C9" s="254" t="s">
        <v>155</v>
      </c>
      <c r="D9" s="263" t="s">
        <v>155</v>
      </c>
      <c r="E9" s="16" t="s">
        <v>19</v>
      </c>
      <c r="F9" s="123">
        <v>11836</v>
      </c>
      <c r="G9" s="118"/>
      <c r="H9" s="118">
        <f>+F9+G9</f>
        <v>11836</v>
      </c>
      <c r="I9" s="124">
        <v>11213.155000000001</v>
      </c>
      <c r="J9" s="118">
        <f t="shared" si="0"/>
        <v>622.84499999999935</v>
      </c>
      <c r="K9" s="158">
        <f t="shared" si="1"/>
        <v>0.9473770699560663</v>
      </c>
      <c r="L9" s="181"/>
      <c r="M9" s="250">
        <f>+F9+F10</f>
        <v>15782</v>
      </c>
      <c r="N9" s="250">
        <f>+G9+G10</f>
        <v>0</v>
      </c>
      <c r="O9" s="250">
        <f>+M9+N9</f>
        <v>15782</v>
      </c>
      <c r="P9" s="250">
        <f>+I9+I10</f>
        <v>15792.156000000001</v>
      </c>
      <c r="Q9" s="250">
        <f>+O9-P9</f>
        <v>-10.156000000000859</v>
      </c>
      <c r="R9" s="252">
        <f>+P9/O9</f>
        <v>1.0006435179318212</v>
      </c>
    </row>
    <row r="10" spans="2:18" s="103" customFormat="1">
      <c r="B10" s="265"/>
      <c r="C10" s="255"/>
      <c r="D10" s="263"/>
      <c r="E10" s="16" t="s">
        <v>20</v>
      </c>
      <c r="F10" s="123">
        <v>3946</v>
      </c>
      <c r="G10" s="118"/>
      <c r="H10" s="118">
        <f>+J9+F10+G10</f>
        <v>4568.8449999999993</v>
      </c>
      <c r="I10" s="124">
        <v>4579.0010000000002</v>
      </c>
      <c r="J10" s="118">
        <f t="shared" si="0"/>
        <v>-10.156000000000859</v>
      </c>
      <c r="K10" s="18">
        <f t="shared" si="1"/>
        <v>1.0022228812752458</v>
      </c>
      <c r="L10" s="227">
        <v>44121</v>
      </c>
      <c r="M10" s="251"/>
      <c r="N10" s="251"/>
      <c r="O10" s="251"/>
      <c r="P10" s="251"/>
      <c r="Q10" s="251"/>
      <c r="R10" s="253"/>
    </row>
    <row r="11" spans="2:18">
      <c r="B11" s="265"/>
      <c r="C11" s="259" t="s">
        <v>26</v>
      </c>
      <c r="D11" s="263" t="s">
        <v>107</v>
      </c>
      <c r="E11" s="16" t="s">
        <v>19</v>
      </c>
      <c r="F11" s="123">
        <v>31502</v>
      </c>
      <c r="G11" s="118"/>
      <c r="H11" s="118">
        <f>+F11+G11</f>
        <v>31502</v>
      </c>
      <c r="I11" s="124">
        <v>31494.985000000001</v>
      </c>
      <c r="J11" s="118">
        <f t="shared" ref="J11:J16" si="2">+H11-I11</f>
        <v>7.0149999999994179</v>
      </c>
      <c r="K11" s="18">
        <f t="shared" ref="K11:K16" si="3">+I11/H11</f>
        <v>0.99977731572598572</v>
      </c>
      <c r="L11" s="227">
        <v>43965</v>
      </c>
      <c r="M11" s="250">
        <f>+F11+F12</f>
        <v>31503</v>
      </c>
      <c r="N11" s="250">
        <f>+G11+G12</f>
        <v>0</v>
      </c>
      <c r="O11" s="250">
        <f>+M11+N11</f>
        <v>31503</v>
      </c>
      <c r="P11" s="250">
        <f>+I11+I12</f>
        <v>31494.985000000001</v>
      </c>
      <c r="Q11" s="250">
        <f>+O11-P11</f>
        <v>8.0149999999994179</v>
      </c>
      <c r="R11" s="252">
        <f>+P11/O11</f>
        <v>0.99974557978605216</v>
      </c>
    </row>
    <row r="12" spans="2:18">
      <c r="B12" s="265"/>
      <c r="C12" s="259"/>
      <c r="D12" s="263"/>
      <c r="E12" s="16" t="s">
        <v>20</v>
      </c>
      <c r="F12" s="123">
        <v>1</v>
      </c>
      <c r="G12" s="118"/>
      <c r="H12" s="118">
        <f>+J11+F12+G12</f>
        <v>8.0149999999994179</v>
      </c>
      <c r="I12" s="223"/>
      <c r="J12" s="118">
        <f t="shared" si="2"/>
        <v>8.0149999999994179</v>
      </c>
      <c r="K12" s="158">
        <f t="shared" si="3"/>
        <v>0</v>
      </c>
      <c r="L12" s="105"/>
      <c r="M12" s="251"/>
      <c r="N12" s="251"/>
      <c r="O12" s="251"/>
      <c r="P12" s="251"/>
      <c r="Q12" s="251"/>
      <c r="R12" s="253"/>
    </row>
    <row r="13" spans="2:18" s="103" customFormat="1">
      <c r="B13" s="266"/>
      <c r="C13" s="135" t="s">
        <v>143</v>
      </c>
      <c r="D13" s="133" t="s">
        <v>15</v>
      </c>
      <c r="E13" s="16" t="s">
        <v>60</v>
      </c>
      <c r="F13" s="123">
        <v>1000</v>
      </c>
      <c r="G13" s="118"/>
      <c r="H13" s="118">
        <f>+F13+G13</f>
        <v>1000</v>
      </c>
      <c r="I13" s="223"/>
      <c r="J13" s="118">
        <f>+H13-I13</f>
        <v>1000</v>
      </c>
      <c r="K13" s="18">
        <f>+I13/H13</f>
        <v>0</v>
      </c>
      <c r="L13" s="105"/>
      <c r="M13" s="131">
        <f>+F13</f>
        <v>1000</v>
      </c>
      <c r="N13" s="131">
        <f t="shared" ref="N13:P13" si="4">+G13</f>
        <v>0</v>
      </c>
      <c r="O13" s="131">
        <f t="shared" si="4"/>
        <v>1000</v>
      </c>
      <c r="P13" s="131">
        <f t="shared" si="4"/>
        <v>0</v>
      </c>
      <c r="Q13" s="131">
        <f>+O13-P13</f>
        <v>1000</v>
      </c>
      <c r="R13" s="132">
        <f>+P13/O13</f>
        <v>0</v>
      </c>
    </row>
    <row r="14" spans="2:18">
      <c r="B14" s="260" t="s">
        <v>23</v>
      </c>
      <c r="C14" s="15" t="s">
        <v>27</v>
      </c>
      <c r="D14" s="95" t="s">
        <v>108</v>
      </c>
      <c r="E14" s="16" t="s">
        <v>60</v>
      </c>
      <c r="F14" s="123">
        <v>31478</v>
      </c>
      <c r="G14" s="118"/>
      <c r="H14" s="118">
        <f>+F14+G14</f>
        <v>31478</v>
      </c>
      <c r="I14" s="124">
        <v>21624.519</v>
      </c>
      <c r="J14" s="118">
        <f t="shared" si="2"/>
        <v>9853.4809999999998</v>
      </c>
      <c r="K14" s="158">
        <f t="shared" si="3"/>
        <v>0.68697245695406317</v>
      </c>
      <c r="L14" s="17"/>
      <c r="M14" s="119">
        <f>+F14</f>
        <v>31478</v>
      </c>
      <c r="N14" s="119">
        <f>+G14</f>
        <v>0</v>
      </c>
      <c r="O14" s="119">
        <f>+M14+N14</f>
        <v>31478</v>
      </c>
      <c r="P14" s="119">
        <f>+I14</f>
        <v>21624.519</v>
      </c>
      <c r="Q14" s="119">
        <f>+O14-P14</f>
        <v>9853.4809999999998</v>
      </c>
      <c r="R14" s="21">
        <f>+P14/O14</f>
        <v>0.68697245695406317</v>
      </c>
    </row>
    <row r="15" spans="2:18">
      <c r="B15" s="261"/>
      <c r="C15" s="258" t="s">
        <v>29</v>
      </c>
      <c r="D15" s="95" t="s">
        <v>30</v>
      </c>
      <c r="E15" s="16" t="s">
        <v>60</v>
      </c>
      <c r="F15" s="123">
        <v>13446.74</v>
      </c>
      <c r="G15" s="118">
        <f>-200-200</f>
        <v>-400</v>
      </c>
      <c r="H15" s="118">
        <f t="shared" ref="H15:H16" si="5">+F15+G15</f>
        <v>13046.74</v>
      </c>
      <c r="I15" s="124">
        <v>12558.226000000001</v>
      </c>
      <c r="J15" s="118">
        <f t="shared" si="2"/>
        <v>488.51399999999921</v>
      </c>
      <c r="K15" s="158">
        <f t="shared" si="3"/>
        <v>0.96255662334039005</v>
      </c>
      <c r="L15" s="17"/>
      <c r="M15" s="119">
        <f>+F15</f>
        <v>13446.74</v>
      </c>
      <c r="N15" s="119">
        <f>+G15</f>
        <v>-400</v>
      </c>
      <c r="O15" s="119">
        <f t="shared" ref="O15:O16" si="6">+M15+N15</f>
        <v>13046.74</v>
      </c>
      <c r="P15" s="119">
        <f t="shared" ref="P15:P17" si="7">+I15</f>
        <v>12558.226000000001</v>
      </c>
      <c r="Q15" s="119">
        <f t="shared" ref="Q15:Q16" si="8">+O15-P15</f>
        <v>488.51399999999921</v>
      </c>
      <c r="R15" s="21">
        <f t="shared" ref="R15:R16" si="9">+P15/O15</f>
        <v>0.96255662334039005</v>
      </c>
    </row>
    <row r="16" spans="2:18">
      <c r="B16" s="261"/>
      <c r="C16" s="258"/>
      <c r="D16" s="95" t="s">
        <v>109</v>
      </c>
      <c r="E16" s="16" t="s">
        <v>60</v>
      </c>
      <c r="F16" s="123">
        <v>44.26</v>
      </c>
      <c r="G16" s="118"/>
      <c r="H16" s="118">
        <f t="shared" si="5"/>
        <v>44.26</v>
      </c>
      <c r="I16" s="124">
        <v>43.67</v>
      </c>
      <c r="J16" s="118">
        <f t="shared" si="2"/>
        <v>0.58999999999999631</v>
      </c>
      <c r="K16" s="18">
        <f t="shared" si="3"/>
        <v>0.98666967916854953</v>
      </c>
      <c r="L16" s="227">
        <v>44046</v>
      </c>
      <c r="M16" s="119">
        <f t="shared" ref="M16" si="10">+F16</f>
        <v>44.26</v>
      </c>
      <c r="N16" s="119">
        <f t="shared" ref="N16:N17" si="11">+G16</f>
        <v>0</v>
      </c>
      <c r="O16" s="119">
        <f t="shared" si="6"/>
        <v>44.26</v>
      </c>
      <c r="P16" s="119">
        <f t="shared" si="7"/>
        <v>43.67</v>
      </c>
      <c r="Q16" s="119">
        <f t="shared" si="8"/>
        <v>0.58999999999999631</v>
      </c>
      <c r="R16" s="21">
        <f t="shared" si="9"/>
        <v>0.98666967916854953</v>
      </c>
    </row>
    <row r="17" spans="2:18" s="103" customFormat="1">
      <c r="B17" s="261"/>
      <c r="C17" s="134" t="s">
        <v>143</v>
      </c>
      <c r="D17" s="95" t="s">
        <v>16</v>
      </c>
      <c r="E17" s="16" t="s">
        <v>60</v>
      </c>
      <c r="F17" s="123">
        <v>500</v>
      </c>
      <c r="G17" s="118"/>
      <c r="H17" s="118">
        <f>+F17+G17</f>
        <v>500</v>
      </c>
      <c r="I17" s="223"/>
      <c r="J17" s="118">
        <f>+H17-I17</f>
        <v>500</v>
      </c>
      <c r="K17" s="18">
        <f>+I17/H17</f>
        <v>0</v>
      </c>
      <c r="L17" s="130"/>
      <c r="M17" s="119">
        <f>+F17</f>
        <v>500</v>
      </c>
      <c r="N17" s="119">
        <f t="shared" si="11"/>
        <v>0</v>
      </c>
      <c r="O17" s="119">
        <f t="shared" ref="O17" si="12">+H17</f>
        <v>500</v>
      </c>
      <c r="P17" s="119">
        <f t="shared" si="7"/>
        <v>0</v>
      </c>
      <c r="Q17" s="119">
        <f>+O17-P17</f>
        <v>500</v>
      </c>
      <c r="R17" s="21">
        <f>+P17/O17</f>
        <v>0</v>
      </c>
    </row>
    <row r="18" spans="2:18">
      <c r="B18" s="3"/>
      <c r="F18" s="139"/>
    </row>
    <row r="21" spans="2:18">
      <c r="E21" s="103"/>
    </row>
    <row r="24" spans="2:18">
      <c r="B24" s="103"/>
    </row>
    <row r="25" spans="2:18">
      <c r="B25" s="103"/>
    </row>
  </sheetData>
  <mergeCells count="30">
    <mergeCell ref="C15:C16"/>
    <mergeCell ref="C11:C12"/>
    <mergeCell ref="B14:B17"/>
    <mergeCell ref="B4:R4"/>
    <mergeCell ref="M5:R5"/>
    <mergeCell ref="M7:M8"/>
    <mergeCell ref="M11:M12"/>
    <mergeCell ref="N7:N8"/>
    <mergeCell ref="O7:O8"/>
    <mergeCell ref="D11:D12"/>
    <mergeCell ref="D9:D10"/>
    <mergeCell ref="M9:M10"/>
    <mergeCell ref="N9:N10"/>
    <mergeCell ref="C9:C10"/>
    <mergeCell ref="B7:B13"/>
    <mergeCell ref="B2:R3"/>
    <mergeCell ref="P7:P8"/>
    <mergeCell ref="Q7:Q8"/>
    <mergeCell ref="R7:R8"/>
    <mergeCell ref="O11:O12"/>
    <mergeCell ref="P11:P12"/>
    <mergeCell ref="Q11:Q12"/>
    <mergeCell ref="R11:R12"/>
    <mergeCell ref="N11:N12"/>
    <mergeCell ref="O9:O10"/>
    <mergeCell ref="P9:P10"/>
    <mergeCell ref="Q9:Q10"/>
    <mergeCell ref="R9:R10"/>
    <mergeCell ref="C7:C8"/>
    <mergeCell ref="D7:D8"/>
  </mergeCells>
  <conditionalFormatting sqref="J7:J17">
    <cfRule type="cellIs" dxfId="11" priority="3" operator="lessThan">
      <formula>0</formula>
    </cfRule>
  </conditionalFormatting>
  <conditionalFormatting sqref="R14:R17 R7:R12 K7:K17">
    <cfRule type="cellIs" dxfId="10" priority="2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H14 O14:O16 O11:O12 H11:H12 H9 O7:O8 H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15"/>
  <sheetViews>
    <sheetView workbookViewId="0">
      <selection activeCell="F20" sqref="F20"/>
    </sheetView>
  </sheetViews>
  <sheetFormatPr baseColWidth="10" defaultRowHeight="15"/>
  <cols>
    <col min="1" max="1" width="3" customWidth="1"/>
    <col min="2" max="2" width="17.140625" customWidth="1"/>
    <col min="3" max="3" width="19.140625" customWidth="1"/>
    <col min="4" max="4" width="18.140625" customWidth="1"/>
    <col min="5" max="5" width="8.85546875" bestFit="1" customWidth="1"/>
    <col min="6" max="6" width="9" bestFit="1" customWidth="1"/>
    <col min="7" max="7" width="12.85546875" bestFit="1" customWidth="1"/>
    <col min="8" max="8" width="9" bestFit="1" customWidth="1"/>
    <col min="9" max="9" width="9.140625" customWidth="1"/>
    <col min="10" max="10" width="9" bestFit="1" customWidth="1"/>
    <col min="13" max="13" width="9" bestFit="1" customWidth="1"/>
    <col min="14" max="14" width="12.85546875" bestFit="1" customWidth="1"/>
    <col min="15" max="15" width="9" bestFit="1" customWidth="1"/>
    <col min="16" max="16" width="9" customWidth="1"/>
    <col min="17" max="17" width="9" bestFit="1" customWidth="1"/>
    <col min="18" max="18" width="10.85546875" customWidth="1"/>
  </cols>
  <sheetData>
    <row r="2" spans="2:18">
      <c r="B2" s="249" t="s">
        <v>150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2:18"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2:18">
      <c r="B4" s="243">
        <f>+Resumen!C4</f>
        <v>44214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</row>
    <row r="5" spans="2:18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262" t="s">
        <v>75</v>
      </c>
      <c r="N5" s="262"/>
      <c r="O5" s="262"/>
      <c r="P5" s="262"/>
      <c r="Q5" s="262"/>
      <c r="R5" s="262"/>
    </row>
    <row r="6" spans="2:18" ht="30">
      <c r="B6" s="128" t="s">
        <v>17</v>
      </c>
      <c r="C6" s="129" t="s">
        <v>142</v>
      </c>
      <c r="D6" s="126" t="s">
        <v>28</v>
      </c>
      <c r="E6" s="126" t="s">
        <v>22</v>
      </c>
      <c r="F6" s="128" t="s">
        <v>33</v>
      </c>
      <c r="G6" s="126" t="s">
        <v>4</v>
      </c>
      <c r="H6" s="128" t="s">
        <v>34</v>
      </c>
      <c r="I6" s="126" t="s">
        <v>6</v>
      </c>
      <c r="J6" s="126" t="s">
        <v>7</v>
      </c>
      <c r="K6" s="126" t="s">
        <v>35</v>
      </c>
      <c r="L6" s="126" t="s">
        <v>36</v>
      </c>
      <c r="M6" s="19" t="s">
        <v>33</v>
      </c>
      <c r="N6" s="20" t="s">
        <v>4</v>
      </c>
      <c r="O6" s="19" t="s">
        <v>34</v>
      </c>
      <c r="P6" s="20" t="s">
        <v>6</v>
      </c>
      <c r="Q6" s="20" t="s">
        <v>7</v>
      </c>
      <c r="R6" s="19" t="s">
        <v>35</v>
      </c>
    </row>
    <row r="7" spans="2:18" ht="15" customHeight="1">
      <c r="B7" s="267" t="s">
        <v>21</v>
      </c>
      <c r="C7" s="259" t="s">
        <v>25</v>
      </c>
      <c r="D7" s="263" t="s">
        <v>106</v>
      </c>
      <c r="E7" s="16" t="s">
        <v>19</v>
      </c>
      <c r="F7" s="123">
        <v>473</v>
      </c>
      <c r="G7" s="118"/>
      <c r="H7" s="118">
        <f>+F7+G7</f>
        <v>473</v>
      </c>
      <c r="I7" s="118"/>
      <c r="J7" s="118">
        <f t="shared" ref="J7:J13" si="0">+H7-I7</f>
        <v>473</v>
      </c>
      <c r="K7" s="18">
        <f t="shared" ref="K7:K14" si="1">+I7/H7</f>
        <v>0</v>
      </c>
      <c r="L7" s="127"/>
      <c r="M7" s="250">
        <f>+F7+F8</f>
        <v>736</v>
      </c>
      <c r="N7" s="250">
        <f>+G7+G8</f>
        <v>0</v>
      </c>
      <c r="O7" s="250">
        <f>+M7+N7</f>
        <v>736</v>
      </c>
      <c r="P7" s="250">
        <f t="shared" ref="P7" si="2">+I7+I8</f>
        <v>0</v>
      </c>
      <c r="Q7" s="250">
        <f t="shared" ref="Q7" si="3">+O7-P7</f>
        <v>736</v>
      </c>
      <c r="R7" s="252">
        <f t="shared" ref="R7" si="4">+P7/O7</f>
        <v>0</v>
      </c>
    </row>
    <row r="8" spans="2:18">
      <c r="B8" s="268"/>
      <c r="C8" s="259"/>
      <c r="D8" s="263"/>
      <c r="E8" s="16" t="s">
        <v>20</v>
      </c>
      <c r="F8" s="123">
        <v>263</v>
      </c>
      <c r="G8" s="118"/>
      <c r="H8" s="118">
        <f>+J7+F8+G8</f>
        <v>736</v>
      </c>
      <c r="I8" s="124"/>
      <c r="J8" s="118">
        <f t="shared" si="0"/>
        <v>736</v>
      </c>
      <c r="K8" s="18">
        <f t="shared" si="1"/>
        <v>0</v>
      </c>
      <c r="L8" s="127"/>
      <c r="M8" s="251"/>
      <c r="N8" s="251"/>
      <c r="O8" s="251"/>
      <c r="P8" s="251"/>
      <c r="Q8" s="251"/>
      <c r="R8" s="253"/>
    </row>
    <row r="9" spans="2:18">
      <c r="B9" s="268"/>
      <c r="C9" s="270" t="s">
        <v>26</v>
      </c>
      <c r="D9" s="263" t="s">
        <v>107</v>
      </c>
      <c r="E9" s="16" t="s">
        <v>19</v>
      </c>
      <c r="F9" s="123">
        <v>1789</v>
      </c>
      <c r="G9" s="118"/>
      <c r="H9" s="118">
        <f>+F9+G9</f>
        <v>1789</v>
      </c>
      <c r="I9" s="124">
        <v>587.33100000000002</v>
      </c>
      <c r="J9" s="118">
        <f t="shared" si="0"/>
        <v>1201.6689999999999</v>
      </c>
      <c r="K9" s="18">
        <f t="shared" si="1"/>
        <v>0.32830128563443267</v>
      </c>
      <c r="L9" s="127"/>
      <c r="M9" s="250">
        <f>+F9+F10</f>
        <v>2769</v>
      </c>
      <c r="N9" s="250">
        <f t="shared" ref="N9" si="5">+G9+G10</f>
        <v>0</v>
      </c>
      <c r="O9" s="250">
        <f t="shared" ref="O9" si="6">+M9+N9</f>
        <v>2769</v>
      </c>
      <c r="P9" s="250">
        <f t="shared" ref="P9" si="7">+I9+I10</f>
        <v>2676.3710000000001</v>
      </c>
      <c r="Q9" s="250">
        <f t="shared" ref="Q9" si="8">+O9-P9</f>
        <v>92.628999999999905</v>
      </c>
      <c r="R9" s="252">
        <f>+P9/O9</f>
        <v>0.96654785120982312</v>
      </c>
    </row>
    <row r="10" spans="2:18">
      <c r="B10" s="268"/>
      <c r="C10" s="271"/>
      <c r="D10" s="263"/>
      <c r="E10" s="16" t="s">
        <v>20</v>
      </c>
      <c r="F10" s="123">
        <v>980</v>
      </c>
      <c r="G10" s="118"/>
      <c r="H10" s="118">
        <f>+J9+F10+G10</f>
        <v>2181.6689999999999</v>
      </c>
      <c r="I10" s="124">
        <v>2089.04</v>
      </c>
      <c r="J10" s="118">
        <f t="shared" si="0"/>
        <v>92.628999999999905</v>
      </c>
      <c r="K10" s="18">
        <f t="shared" si="1"/>
        <v>0.95754213861039417</v>
      </c>
      <c r="L10" s="127"/>
      <c r="M10" s="251"/>
      <c r="N10" s="251"/>
      <c r="O10" s="251"/>
      <c r="P10" s="251"/>
      <c r="Q10" s="251"/>
      <c r="R10" s="253"/>
    </row>
    <row r="11" spans="2:18" s="103" customFormat="1">
      <c r="B11" s="269"/>
      <c r="C11" s="138" t="s">
        <v>143</v>
      </c>
      <c r="D11" s="133" t="s">
        <v>15</v>
      </c>
      <c r="E11" s="16" t="s">
        <v>60</v>
      </c>
      <c r="F11" s="123">
        <v>10</v>
      </c>
      <c r="G11" s="118"/>
      <c r="H11" s="118">
        <f>+F11+G11</f>
        <v>10</v>
      </c>
      <c r="I11" s="223"/>
      <c r="J11" s="118">
        <f>+H11-I11</f>
        <v>10</v>
      </c>
      <c r="K11" s="18">
        <f>+I11/H11</f>
        <v>0</v>
      </c>
      <c r="L11" s="130"/>
      <c r="M11" s="131">
        <f>+F11</f>
        <v>10</v>
      </c>
      <c r="N11" s="131">
        <f t="shared" ref="N11:P11" si="9">+G11</f>
        <v>0</v>
      </c>
      <c r="O11" s="131">
        <f t="shared" si="9"/>
        <v>10</v>
      </c>
      <c r="P11" s="131">
        <f t="shared" si="9"/>
        <v>0</v>
      </c>
      <c r="Q11" s="131">
        <f>+O11-P11</f>
        <v>10</v>
      </c>
      <c r="R11" s="132">
        <f>+P11/O11</f>
        <v>0</v>
      </c>
    </row>
    <row r="12" spans="2:18" ht="15" customHeight="1">
      <c r="B12" s="272" t="s">
        <v>31</v>
      </c>
      <c r="C12" s="15" t="s">
        <v>32</v>
      </c>
      <c r="D12" s="95" t="s">
        <v>108</v>
      </c>
      <c r="E12" s="16" t="s">
        <v>60</v>
      </c>
      <c r="F12" s="123">
        <v>387.5</v>
      </c>
      <c r="G12" s="118"/>
      <c r="H12" s="118">
        <f t="shared" ref="H12:H13" si="10">+F12+G12</f>
        <v>387.5</v>
      </c>
      <c r="I12" s="124">
        <v>347.99099999999999</v>
      </c>
      <c r="J12" s="118">
        <f t="shared" si="0"/>
        <v>39.509000000000015</v>
      </c>
      <c r="K12" s="158">
        <f t="shared" si="1"/>
        <v>0.89804129032258062</v>
      </c>
      <c r="L12" s="127"/>
      <c r="M12" s="119">
        <f t="shared" ref="M12:N13" si="11">+F12</f>
        <v>387.5</v>
      </c>
      <c r="N12" s="119">
        <f t="shared" si="11"/>
        <v>0</v>
      </c>
      <c r="O12" s="119">
        <f t="shared" ref="O12:O13" si="12">+M12+N12</f>
        <v>387.5</v>
      </c>
      <c r="P12" s="119">
        <f t="shared" ref="P12:P13" si="13">+I12</f>
        <v>347.99099999999999</v>
      </c>
      <c r="Q12" s="119">
        <f t="shared" ref="Q12:Q13" si="14">+O12-P12</f>
        <v>39.509000000000015</v>
      </c>
      <c r="R12" s="156">
        <f t="shared" ref="R12:R13" si="15">+P12/O12</f>
        <v>0.89804129032258062</v>
      </c>
    </row>
    <row r="13" spans="2:18">
      <c r="B13" s="272"/>
      <c r="C13" s="15" t="s">
        <v>29</v>
      </c>
      <c r="D13" s="95" t="s">
        <v>110</v>
      </c>
      <c r="E13" s="16" t="s">
        <v>60</v>
      </c>
      <c r="F13" s="123">
        <v>387.5</v>
      </c>
      <c r="G13" s="118"/>
      <c r="H13" s="118">
        <f t="shared" si="10"/>
        <v>387.5</v>
      </c>
      <c r="I13" s="124">
        <v>253.26400000000001</v>
      </c>
      <c r="J13" s="118">
        <f t="shared" si="0"/>
        <v>134.23599999999999</v>
      </c>
      <c r="K13" s="18">
        <f t="shared" si="1"/>
        <v>0.65358451612903223</v>
      </c>
      <c r="L13" s="127"/>
      <c r="M13" s="119">
        <f t="shared" si="11"/>
        <v>387.5</v>
      </c>
      <c r="N13" s="119">
        <f t="shared" si="11"/>
        <v>0</v>
      </c>
      <c r="O13" s="119">
        <f t="shared" si="12"/>
        <v>387.5</v>
      </c>
      <c r="P13" s="119">
        <f t="shared" si="13"/>
        <v>253.26400000000001</v>
      </c>
      <c r="Q13" s="119">
        <f t="shared" si="14"/>
        <v>134.23599999999999</v>
      </c>
      <c r="R13" s="156">
        <f t="shared" si="15"/>
        <v>0.65358451612903223</v>
      </c>
    </row>
    <row r="14" spans="2:18" s="103" customFormat="1">
      <c r="B14" s="272"/>
      <c r="C14" s="15" t="s">
        <v>143</v>
      </c>
      <c r="D14" s="95" t="s">
        <v>16</v>
      </c>
      <c r="E14" s="16" t="s">
        <v>60</v>
      </c>
      <c r="F14" s="123">
        <v>100</v>
      </c>
      <c r="G14" s="118"/>
      <c r="H14" s="118">
        <f>+F14+G14</f>
        <v>100</v>
      </c>
      <c r="I14" s="124">
        <v>4.6680000000000001</v>
      </c>
      <c r="J14" s="118">
        <f>+H14-I14</f>
        <v>95.331999999999994</v>
      </c>
      <c r="K14" s="18">
        <f t="shared" si="1"/>
        <v>4.6679999999999999E-2</v>
      </c>
      <c r="L14" s="130"/>
      <c r="M14" s="119">
        <f t="shared" ref="M14" si="16">+F14</f>
        <v>100</v>
      </c>
      <c r="N14" s="119">
        <f t="shared" ref="N14" si="17">+G14</f>
        <v>0</v>
      </c>
      <c r="O14" s="119">
        <f t="shared" ref="O14" si="18">+M14+N14</f>
        <v>100</v>
      </c>
      <c r="P14" s="119">
        <f t="shared" ref="P14" si="19">+I14</f>
        <v>4.6680000000000001</v>
      </c>
      <c r="Q14" s="119">
        <f t="shared" ref="Q14" si="20">+O14-P14</f>
        <v>95.331999999999994</v>
      </c>
      <c r="R14" s="21">
        <f t="shared" ref="R14" si="21">+P14/O14</f>
        <v>4.6679999999999999E-2</v>
      </c>
    </row>
    <row r="15" spans="2:18">
      <c r="F15" s="140"/>
    </row>
  </sheetData>
  <mergeCells count="21">
    <mergeCell ref="O9:O10"/>
    <mergeCell ref="P9:P10"/>
    <mergeCell ref="Q9:Q10"/>
    <mergeCell ref="R9:R10"/>
    <mergeCell ref="B12:B14"/>
    <mergeCell ref="B2:R3"/>
    <mergeCell ref="B4:R4"/>
    <mergeCell ref="M5:R5"/>
    <mergeCell ref="C7:C8"/>
    <mergeCell ref="D7:D8"/>
    <mergeCell ref="M7:M8"/>
    <mergeCell ref="N7:N8"/>
    <mergeCell ref="O7:O8"/>
    <mergeCell ref="P7:P8"/>
    <mergeCell ref="B7:B11"/>
    <mergeCell ref="Q7:Q8"/>
    <mergeCell ref="R7:R8"/>
    <mergeCell ref="C9:C10"/>
    <mergeCell ref="D9:D10"/>
    <mergeCell ref="M9:M10"/>
    <mergeCell ref="N9:N10"/>
  </mergeCells>
  <conditionalFormatting sqref="J7:J11">
    <cfRule type="cellIs" dxfId="9" priority="6" operator="lessThan">
      <formula>0</formula>
    </cfRule>
  </conditionalFormatting>
  <conditionalFormatting sqref="K7:K11">
    <cfRule type="cellIs" dxfId="8" priority="5" operator="greaterThan">
      <formula>0.9</formula>
    </cfRule>
  </conditionalFormatting>
  <conditionalFormatting sqref="R7:R11">
    <cfRule type="cellIs" dxfId="7" priority="4" operator="greaterThan">
      <formula>0.9</formula>
    </cfRule>
  </conditionalFormatting>
  <conditionalFormatting sqref="J12:J14">
    <cfRule type="cellIs" dxfId="6" priority="3" operator="lessThan">
      <formula>0</formula>
    </cfRule>
  </conditionalFormatting>
  <conditionalFormatting sqref="K12:K14">
    <cfRule type="cellIs" dxfId="5" priority="2" operator="greaterThan">
      <formula>0.9</formula>
    </cfRule>
  </conditionalFormatting>
  <conditionalFormatting sqref="R12:R14">
    <cfRule type="cellIs" dxfId="4" priority="1" operator="greaterThan">
      <formula>0.9</formula>
    </cfRule>
  </conditionalFormatting>
  <pageMargins left="0.7" right="0.7" top="0.75" bottom="0.75" header="0.3" footer="0.3"/>
  <ignoredErrors>
    <ignoredError sqref="O7:O14 H8:H9 H10" 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63"/>
  <sheetViews>
    <sheetView topLeftCell="A4" zoomScaleNormal="100" workbookViewId="0">
      <pane ySplit="7" topLeftCell="A38" activePane="bottomLeft" state="frozen"/>
      <selection activeCell="A4" sqref="A4"/>
      <selection pane="bottomLeft" activeCell="H20" sqref="H20"/>
    </sheetView>
  </sheetViews>
  <sheetFormatPr baseColWidth="10" defaultRowHeight="15"/>
  <cols>
    <col min="3" max="3" width="35.5703125" customWidth="1"/>
    <col min="5" max="5" width="12" bestFit="1" customWidth="1"/>
    <col min="6" max="6" width="13.5703125" customWidth="1"/>
    <col min="7" max="7" width="12" bestFit="1" customWidth="1"/>
    <col min="9" max="9" width="12" bestFit="1" customWidth="1"/>
    <col min="10" max="10" width="13" style="27" bestFit="1" customWidth="1"/>
    <col min="11" max="11" width="14.5703125" customWidth="1"/>
    <col min="12" max="12" width="11.5703125" bestFit="1" customWidth="1"/>
    <col min="13" max="13" width="11.85546875" bestFit="1" customWidth="1"/>
    <col min="14" max="14" width="11.42578125" style="3"/>
    <col min="16" max="16" width="13" bestFit="1" customWidth="1"/>
  </cols>
  <sheetData>
    <row r="1" spans="2:16">
      <c r="J1"/>
    </row>
    <row r="2" spans="2:16">
      <c r="J2"/>
    </row>
    <row r="3" spans="2:16">
      <c r="J3"/>
    </row>
    <row r="4" spans="2:16" s="103" customFormat="1">
      <c r="N4" s="3"/>
    </row>
    <row r="5" spans="2:16" s="103" customFormat="1">
      <c r="B5" s="312" t="s">
        <v>151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</row>
    <row r="6" spans="2:16" s="103" customFormat="1"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</row>
    <row r="7" spans="2:16" s="103" customFormat="1">
      <c r="B7" s="243">
        <f>+Resumen!C4</f>
        <v>44214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</row>
    <row r="8" spans="2:16" s="103" customFormat="1" ht="15.75" thickBot="1">
      <c r="N8" s="3"/>
    </row>
    <row r="9" spans="2:16" ht="15.75" thickBot="1">
      <c r="E9" s="288" t="s">
        <v>136</v>
      </c>
      <c r="F9" s="289"/>
      <c r="G9" s="290"/>
      <c r="H9" s="288" t="s">
        <v>135</v>
      </c>
      <c r="I9" s="289"/>
      <c r="J9" s="290"/>
      <c r="K9" s="288" t="s">
        <v>75</v>
      </c>
      <c r="L9" s="289"/>
      <c r="M9" s="289"/>
      <c r="N9" s="289"/>
      <c r="O9" s="289"/>
      <c r="P9" s="290"/>
    </row>
    <row r="10" spans="2:16" ht="60.75" thickBot="1">
      <c r="B10" s="184" t="s">
        <v>17</v>
      </c>
      <c r="C10" s="185" t="s">
        <v>71</v>
      </c>
      <c r="D10" s="186" t="s">
        <v>37</v>
      </c>
      <c r="E10" s="187" t="s">
        <v>33</v>
      </c>
      <c r="F10" s="187" t="s">
        <v>72</v>
      </c>
      <c r="G10" s="187" t="s">
        <v>34</v>
      </c>
      <c r="H10" s="186" t="s">
        <v>73</v>
      </c>
      <c r="I10" s="186" t="s">
        <v>74</v>
      </c>
      <c r="J10" s="188" t="s">
        <v>38</v>
      </c>
      <c r="K10" s="189" t="s">
        <v>33</v>
      </c>
      <c r="L10" s="187" t="s">
        <v>72</v>
      </c>
      <c r="M10" s="187" t="s">
        <v>34</v>
      </c>
      <c r="N10" s="186" t="s">
        <v>73</v>
      </c>
      <c r="O10" s="186" t="s">
        <v>74</v>
      </c>
      <c r="P10" s="188" t="s">
        <v>38</v>
      </c>
    </row>
    <row r="11" spans="2:16">
      <c r="B11" s="304" t="s">
        <v>18</v>
      </c>
      <c r="C11" s="305" t="s">
        <v>39</v>
      </c>
      <c r="D11" s="195" t="s">
        <v>19</v>
      </c>
      <c r="E11" s="196">
        <f>3133.264</f>
        <v>3133.2640000000001</v>
      </c>
      <c r="F11" s="5"/>
      <c r="G11" s="29">
        <f>+E11+F11</f>
        <v>3133.2640000000001</v>
      </c>
      <c r="H11" s="5"/>
      <c r="I11" s="29">
        <f t="shared" ref="I11:I26" si="0">+G11-H11</f>
        <v>3133.2640000000001</v>
      </c>
      <c r="J11" s="93">
        <f>+H11/G11</f>
        <v>0</v>
      </c>
      <c r="K11" s="291">
        <f>+E11+E12</f>
        <v>5782.8850000000002</v>
      </c>
      <c r="L11" s="282">
        <f>+F11+F12</f>
        <v>-5781.6620000000003</v>
      </c>
      <c r="M11" s="283">
        <f>+K11+L11</f>
        <v>1.2229999999999563</v>
      </c>
      <c r="N11" s="282">
        <f>+H11+H12</f>
        <v>0</v>
      </c>
      <c r="O11" s="283">
        <f>+M11-N11</f>
        <v>1.2229999999999563</v>
      </c>
      <c r="P11" s="284">
        <v>0</v>
      </c>
    </row>
    <row r="12" spans="2:16" s="7" customFormat="1">
      <c r="B12" s="295"/>
      <c r="C12" s="306"/>
      <c r="D12" s="197" t="s">
        <v>20</v>
      </c>
      <c r="E12" s="198">
        <f>1044.424+1605.197</f>
        <v>2649.6210000000001</v>
      </c>
      <c r="F12" s="4">
        <f>-4177.688-1603.974</f>
        <v>-5781.6620000000003</v>
      </c>
      <c r="G12" s="28">
        <f>+I11+E12+F12</f>
        <v>1.2229999999999563</v>
      </c>
      <c r="H12" s="4"/>
      <c r="I12" s="28">
        <f t="shared" si="0"/>
        <v>1.2229999999999563</v>
      </c>
      <c r="J12" s="91">
        <f>+H12/G12</f>
        <v>0</v>
      </c>
      <c r="K12" s="292"/>
      <c r="L12" s="273"/>
      <c r="M12" s="273"/>
      <c r="N12" s="273"/>
      <c r="O12" s="273"/>
      <c r="P12" s="276"/>
    </row>
    <row r="13" spans="2:16">
      <c r="B13" s="295"/>
      <c r="C13" s="307" t="s">
        <v>40</v>
      </c>
      <c r="D13" s="197" t="s">
        <v>19</v>
      </c>
      <c r="E13" s="198">
        <f>86936.53+1957.556+1957.556+1957.556+1957.556+1957.556+1957.556+1957.556+1957.556</f>
        <v>102596.97799999997</v>
      </c>
      <c r="F13" s="4"/>
      <c r="G13" s="26">
        <f>+E13+F13</f>
        <v>102596.97799999997</v>
      </c>
      <c r="H13" s="228">
        <v>4385.9139999999998</v>
      </c>
      <c r="I13" s="26">
        <f t="shared" si="0"/>
        <v>98211.063999999969</v>
      </c>
      <c r="J13" s="91">
        <f t="shared" ref="J13:J26" si="1">+H13/G13</f>
        <v>4.2748958941071349E-2</v>
      </c>
      <c r="K13" s="292">
        <f>+E13+E14</f>
        <v>136796.04099999997</v>
      </c>
      <c r="L13" s="273">
        <f>+F13+F14</f>
        <v>0</v>
      </c>
      <c r="M13" s="275">
        <f t="shared" ref="M13" si="2">+K13+L13</f>
        <v>136796.04099999997</v>
      </c>
      <c r="N13" s="273">
        <f>+H13+H14</f>
        <v>11487.703</v>
      </c>
      <c r="O13" s="275">
        <f t="shared" ref="O13" si="3">+M13-N13</f>
        <v>125308.33799999997</v>
      </c>
      <c r="P13" s="276">
        <f t="shared" ref="P13" si="4">+N13/M13</f>
        <v>8.3976867429957289E-2</v>
      </c>
    </row>
    <row r="14" spans="2:16" s="7" customFormat="1">
      <c r="B14" s="295"/>
      <c r="C14" s="307"/>
      <c r="D14" s="197" t="s">
        <v>20</v>
      </c>
      <c r="E14" s="198">
        <f>28978.903+652.52+652.52+652.52+652.52+652.52+652.52+652.52+652.52</f>
        <v>34199.062999999995</v>
      </c>
      <c r="F14" s="4"/>
      <c r="G14" s="28">
        <f>+I13+E14+F14</f>
        <v>132410.12699999998</v>
      </c>
      <c r="H14" s="163">
        <v>7101.7889999999998</v>
      </c>
      <c r="I14" s="28">
        <f t="shared" si="0"/>
        <v>125308.33799999997</v>
      </c>
      <c r="J14" s="91">
        <f>+H14/G14</f>
        <v>5.3634787315021616E-2</v>
      </c>
      <c r="K14" s="292"/>
      <c r="L14" s="273"/>
      <c r="M14" s="273"/>
      <c r="N14" s="273"/>
      <c r="O14" s="273"/>
      <c r="P14" s="276"/>
    </row>
    <row r="15" spans="2:16" s="103" customFormat="1">
      <c r="B15" s="295"/>
      <c r="C15" s="309" t="s">
        <v>157</v>
      </c>
      <c r="D15" s="197" t="s">
        <v>19</v>
      </c>
      <c r="E15" s="198">
        <f>734.084+734.084+734.084+734.084+734.084+734.084+734.084+1957.556</f>
        <v>7096.1440000000002</v>
      </c>
      <c r="F15" s="4">
        <f>-652.519-978.779-1957.558</f>
        <v>-3588.8559999999998</v>
      </c>
      <c r="G15" s="26">
        <f>+E15+F15</f>
        <v>3507.2880000000005</v>
      </c>
      <c r="H15" s="4"/>
      <c r="I15" s="26">
        <f t="shared" ref="I15:I16" si="5">+G15-H15</f>
        <v>3507.2880000000005</v>
      </c>
      <c r="J15" s="91">
        <f t="shared" ref="J15" si="6">+H15/G15</f>
        <v>0</v>
      </c>
      <c r="K15" s="292">
        <f>+E15+E16</f>
        <v>9461.5290000000005</v>
      </c>
      <c r="L15" s="273">
        <f>+F15+F16</f>
        <v>-8156.49</v>
      </c>
      <c r="M15" s="275">
        <f t="shared" ref="M15" si="7">+K15+L15</f>
        <v>1305.0390000000007</v>
      </c>
      <c r="N15" s="273">
        <f>+H15+H16</f>
        <v>0</v>
      </c>
      <c r="O15" s="275">
        <f t="shared" ref="O15" si="8">+M15-N15</f>
        <v>1305.0390000000007</v>
      </c>
      <c r="P15" s="276">
        <f t="shared" ref="P15" si="9">+N15/M15</f>
        <v>0</v>
      </c>
    </row>
    <row r="16" spans="2:16" s="103" customFormat="1">
      <c r="B16" s="295"/>
      <c r="C16" s="310"/>
      <c r="D16" s="197" t="s">
        <v>20</v>
      </c>
      <c r="E16" s="198">
        <f>244.695+244.695+244.695+244.695+244.695+244.695+244.695+652.52</f>
        <v>2365.3849999999998</v>
      </c>
      <c r="F16" s="4">
        <f>-1957.558-2610.076</f>
        <v>-4567.634</v>
      </c>
      <c r="G16" s="28">
        <f>+I15+E16+F16</f>
        <v>1305.0390000000007</v>
      </c>
      <c r="H16" s="163"/>
      <c r="I16" s="28">
        <f t="shared" si="5"/>
        <v>1305.0390000000007</v>
      </c>
      <c r="J16" s="91">
        <f>+H16/G16</f>
        <v>0</v>
      </c>
      <c r="K16" s="292"/>
      <c r="L16" s="273"/>
      <c r="M16" s="273"/>
      <c r="N16" s="273"/>
      <c r="O16" s="273"/>
      <c r="P16" s="276"/>
    </row>
    <row r="17" spans="2:16" s="103" customFormat="1">
      <c r="B17" s="295"/>
      <c r="C17" s="309" t="s">
        <v>158</v>
      </c>
      <c r="D17" s="197" t="s">
        <v>19</v>
      </c>
      <c r="E17" s="198">
        <f>734.084+1957.556</f>
        <v>2691.64</v>
      </c>
      <c r="F17" s="4"/>
      <c r="G17" s="26">
        <f>+E17+F17</f>
        <v>2691.64</v>
      </c>
      <c r="H17" s="163"/>
      <c r="I17" s="26">
        <f t="shared" ref="I17:I18" si="10">+G17-H17</f>
        <v>2691.64</v>
      </c>
      <c r="J17" s="91">
        <f t="shared" ref="J17" si="11">+H17/G17</f>
        <v>0</v>
      </c>
      <c r="K17" s="292">
        <f>+E17+E18</f>
        <v>3588.8549999999996</v>
      </c>
      <c r="L17" s="273">
        <f>+F17+F18</f>
        <v>-2610.076</v>
      </c>
      <c r="M17" s="275">
        <f t="shared" ref="M17" si="12">+K17+L17</f>
        <v>978.77899999999954</v>
      </c>
      <c r="N17" s="273">
        <f>+H17+H18</f>
        <v>0</v>
      </c>
      <c r="O17" s="275">
        <f t="shared" ref="O17" si="13">+M17-N17</f>
        <v>978.77899999999954</v>
      </c>
      <c r="P17" s="276">
        <f t="shared" ref="P17" si="14">+N17/M17</f>
        <v>0</v>
      </c>
    </row>
    <row r="18" spans="2:16" s="103" customFormat="1">
      <c r="B18" s="295"/>
      <c r="C18" s="310"/>
      <c r="D18" s="197" t="s">
        <v>20</v>
      </c>
      <c r="E18" s="198">
        <f>244.695+652.52</f>
        <v>897.21499999999992</v>
      </c>
      <c r="F18" s="4">
        <f>-1004.861-1605.215</f>
        <v>-2610.076</v>
      </c>
      <c r="G18" s="28">
        <f>+I17+E18+F18</f>
        <v>978.77899999999954</v>
      </c>
      <c r="H18" s="163"/>
      <c r="I18" s="28">
        <f t="shared" si="10"/>
        <v>978.77899999999954</v>
      </c>
      <c r="J18" s="91">
        <f>+H18/G18</f>
        <v>0</v>
      </c>
      <c r="K18" s="292"/>
      <c r="L18" s="273"/>
      <c r="M18" s="273"/>
      <c r="N18" s="273"/>
      <c r="O18" s="273"/>
      <c r="P18" s="276"/>
    </row>
    <row r="19" spans="2:16" ht="15" customHeight="1">
      <c r="B19" s="295"/>
      <c r="C19" s="306" t="s">
        <v>41</v>
      </c>
      <c r="D19" s="197" t="s">
        <v>19</v>
      </c>
      <c r="E19" s="198">
        <v>0</v>
      </c>
      <c r="F19" s="4"/>
      <c r="G19" s="26">
        <f>+E19+F19</f>
        <v>0</v>
      </c>
      <c r="H19" s="4"/>
      <c r="I19" s="26">
        <f t="shared" si="0"/>
        <v>0</v>
      </c>
      <c r="J19" s="91">
        <v>0</v>
      </c>
      <c r="K19" s="292">
        <f>+E19+E20</f>
        <v>0</v>
      </c>
      <c r="L19" s="273">
        <f>+F19+F20</f>
        <v>0</v>
      </c>
      <c r="M19" s="275">
        <f t="shared" ref="M19" si="15">+K19+L19</f>
        <v>0</v>
      </c>
      <c r="N19" s="273">
        <f>+H19+H20</f>
        <v>0</v>
      </c>
      <c r="O19" s="275">
        <f t="shared" ref="O19" si="16">+M19-N19</f>
        <v>0</v>
      </c>
      <c r="P19" s="276">
        <v>0</v>
      </c>
    </row>
    <row r="20" spans="2:16" s="7" customFormat="1">
      <c r="B20" s="295"/>
      <c r="C20" s="306"/>
      <c r="D20" s="197" t="s">
        <v>20</v>
      </c>
      <c r="E20" s="198">
        <v>0</v>
      </c>
      <c r="F20" s="4"/>
      <c r="G20" s="28">
        <f>+I19+E20+F20</f>
        <v>0</v>
      </c>
      <c r="H20" s="4"/>
      <c r="I20" s="28">
        <f t="shared" si="0"/>
        <v>0</v>
      </c>
      <c r="J20" s="91">
        <v>0</v>
      </c>
      <c r="K20" s="292"/>
      <c r="L20" s="273"/>
      <c r="M20" s="273"/>
      <c r="N20" s="273"/>
      <c r="O20" s="273"/>
      <c r="P20" s="276"/>
    </row>
    <row r="21" spans="2:16" s="7" customFormat="1">
      <c r="B21" s="295"/>
      <c r="C21" s="306" t="s">
        <v>134</v>
      </c>
      <c r="D21" s="197" t="s">
        <v>19</v>
      </c>
      <c r="E21" s="198">
        <f>244.695+244.695+244.695+244.695+244.695+244.695+244.695+244.695+244.695+244.695+489.389+489.389+489.389+489.389+489.389+489.389+489.389+489.389+489.389+734.084+489.389</f>
        <v>8074.9240000000009</v>
      </c>
      <c r="F21" s="4">
        <f>-1559.52-3262.6-3262.595</f>
        <v>-8084.7150000000001</v>
      </c>
      <c r="G21" s="26">
        <f>+E21+F21</f>
        <v>-9.7909999999992579</v>
      </c>
      <c r="H21" s="4"/>
      <c r="I21" s="26">
        <f t="shared" si="0"/>
        <v>-9.7909999999992579</v>
      </c>
      <c r="J21" s="91">
        <f t="shared" si="1"/>
        <v>0</v>
      </c>
      <c r="K21" s="292">
        <f>+E21+E22</f>
        <v>10766.569000000001</v>
      </c>
      <c r="L21" s="273">
        <f>+F21+F22</f>
        <v>-10766.569</v>
      </c>
      <c r="M21" s="275">
        <f t="shared" ref="M21" si="17">+K21+L21</f>
        <v>0</v>
      </c>
      <c r="N21" s="273">
        <f>+H21+H22</f>
        <v>0</v>
      </c>
      <c r="O21" s="275">
        <f t="shared" ref="O21" si="18">+M21-N21</f>
        <v>0</v>
      </c>
      <c r="P21" s="276">
        <v>1</v>
      </c>
    </row>
    <row r="22" spans="2:16" ht="15" customHeight="1">
      <c r="B22" s="295"/>
      <c r="C22" s="306"/>
      <c r="D22" s="197" t="s">
        <v>20</v>
      </c>
      <c r="E22" s="198">
        <f>81.565+81.565+81.565+81.565+81.565+81.565+81.565+81.565+81.565+81.565+163.13+163.13+163.13+163.13+163.13+163.13+163.13+163.13+163.13+244.695+163.13</f>
        <v>2691.6450000000009</v>
      </c>
      <c r="F22" s="4">
        <f>-1500.814-1181.04</f>
        <v>-2681.8540000000003</v>
      </c>
      <c r="G22" s="28">
        <f>+I21+E22+F22</f>
        <v>0</v>
      </c>
      <c r="H22" s="4"/>
      <c r="I22" s="28">
        <f t="shared" si="0"/>
        <v>0</v>
      </c>
      <c r="J22" s="91">
        <v>1</v>
      </c>
      <c r="K22" s="292"/>
      <c r="L22" s="273"/>
      <c r="M22" s="273"/>
      <c r="N22" s="273"/>
      <c r="O22" s="273"/>
      <c r="P22" s="276"/>
    </row>
    <row r="23" spans="2:16" s="103" customFormat="1" ht="15" customHeight="1">
      <c r="B23" s="295"/>
      <c r="C23" s="311" t="s">
        <v>170</v>
      </c>
      <c r="D23" s="197" t="s">
        <v>19</v>
      </c>
      <c r="E23" s="198">
        <f>1468.167+1468.167+1468.167+1468.167+978.778+978.778+978.778+978.778</f>
        <v>9787.7800000000007</v>
      </c>
      <c r="F23" s="4"/>
      <c r="G23" s="26">
        <f>+E23+F23</f>
        <v>9787.7800000000007</v>
      </c>
      <c r="H23" s="4"/>
      <c r="I23" s="26">
        <f t="shared" si="0"/>
        <v>9787.7800000000007</v>
      </c>
      <c r="J23" s="91">
        <f t="shared" si="1"/>
        <v>0</v>
      </c>
      <c r="K23" s="292">
        <f>+E23+E24</f>
        <v>13050.380000000001</v>
      </c>
      <c r="L23" s="273">
        <f>+F23+F24</f>
        <v>0</v>
      </c>
      <c r="M23" s="275">
        <f t="shared" ref="M23" si="19">+K23+L23</f>
        <v>13050.380000000001</v>
      </c>
      <c r="N23" s="273">
        <f>+H23+H24</f>
        <v>0</v>
      </c>
      <c r="O23" s="275">
        <f t="shared" ref="O23" si="20">+M23-N23</f>
        <v>13050.380000000001</v>
      </c>
      <c r="P23" s="276">
        <f t="shared" ref="P23" si="21">+N23/M23</f>
        <v>0</v>
      </c>
    </row>
    <row r="24" spans="2:16" s="103" customFormat="1" ht="15" customHeight="1">
      <c r="B24" s="295"/>
      <c r="C24" s="305"/>
      <c r="D24" s="197" t="s">
        <v>20</v>
      </c>
      <c r="E24" s="198">
        <f>489.39+489.39+489.39+489.39+326.26+326.26+326.26+326.26</f>
        <v>3262.6000000000004</v>
      </c>
      <c r="F24" s="4"/>
      <c r="G24" s="28">
        <f>+I23+E24+F24</f>
        <v>13050.380000000001</v>
      </c>
      <c r="H24" s="4"/>
      <c r="I24" s="28">
        <f t="shared" si="0"/>
        <v>13050.380000000001</v>
      </c>
      <c r="J24" s="91">
        <f t="shared" si="1"/>
        <v>0</v>
      </c>
      <c r="K24" s="292"/>
      <c r="L24" s="273"/>
      <c r="M24" s="273"/>
      <c r="N24" s="273"/>
      <c r="O24" s="273"/>
      <c r="P24" s="276"/>
    </row>
    <row r="25" spans="2:16" s="7" customFormat="1">
      <c r="B25" s="295"/>
      <c r="C25" s="306" t="s">
        <v>42</v>
      </c>
      <c r="D25" s="197" t="s">
        <v>19</v>
      </c>
      <c r="E25" s="198">
        <f>350380.257+734.084</f>
        <v>351114.34099999996</v>
      </c>
      <c r="F25" s="224">
        <f>-40000-80000-40000</f>
        <v>-160000</v>
      </c>
      <c r="G25" s="26">
        <f>+E25+F25</f>
        <v>191114.34099999996</v>
      </c>
      <c r="H25" s="163">
        <v>15083.759</v>
      </c>
      <c r="I25" s="26">
        <f t="shared" si="0"/>
        <v>176030.58199999997</v>
      </c>
      <c r="J25" s="91">
        <f t="shared" si="1"/>
        <v>7.8925312046572174E-2</v>
      </c>
      <c r="K25" s="292">
        <f>+E25+E26</f>
        <v>468152.69399999996</v>
      </c>
      <c r="L25" s="273">
        <f>+F25+F26</f>
        <v>-162000</v>
      </c>
      <c r="M25" s="275">
        <f t="shared" ref="M25" si="22">+K25+L25</f>
        <v>306152.69399999996</v>
      </c>
      <c r="N25" s="273">
        <f>+H25+H26</f>
        <v>45026.309000000001</v>
      </c>
      <c r="O25" s="275">
        <f t="shared" ref="O25" si="23">+M25-N25</f>
        <v>261126.38499999995</v>
      </c>
      <c r="P25" s="276">
        <f t="shared" ref="P25" si="24">+N25/M25</f>
        <v>0.14707141201899732</v>
      </c>
    </row>
    <row r="26" spans="2:16" ht="15.75" thickBot="1">
      <c r="B26" s="297"/>
      <c r="C26" s="308"/>
      <c r="D26" s="199" t="s">
        <v>20</v>
      </c>
      <c r="E26" s="200">
        <f>116793.658+244.695</f>
        <v>117038.353</v>
      </c>
      <c r="F26" s="30">
        <f>-2000</f>
        <v>-2000</v>
      </c>
      <c r="G26" s="31">
        <f>+I25+E26+F26</f>
        <v>291068.93499999994</v>
      </c>
      <c r="H26" s="164">
        <v>29942.55</v>
      </c>
      <c r="I26" s="31">
        <f t="shared" si="0"/>
        <v>261126.38499999995</v>
      </c>
      <c r="J26" s="92">
        <f t="shared" si="1"/>
        <v>0.10287099171198055</v>
      </c>
      <c r="K26" s="293"/>
      <c r="L26" s="274"/>
      <c r="M26" s="274"/>
      <c r="N26" s="274"/>
      <c r="O26" s="274"/>
      <c r="P26" s="277"/>
    </row>
    <row r="27" spans="2:16" s="8" customFormat="1" ht="15.75" thickBot="1">
      <c r="B27" s="32"/>
      <c r="C27" s="33"/>
      <c r="D27" s="34"/>
      <c r="E27" s="159">
        <f>SUM(E11:E26)</f>
        <v>647598.95299999998</v>
      </c>
      <c r="F27" s="6">
        <f>SUM(F11:F26)</f>
        <v>-189314.79699999999</v>
      </c>
      <c r="G27" s="35"/>
      <c r="H27" s="6">
        <f>SUM(H11:H26)</f>
        <v>56514.012000000002</v>
      </c>
      <c r="I27" s="6"/>
      <c r="J27" s="64"/>
      <c r="K27" s="122">
        <f>SUM(K11:K26)</f>
        <v>647598.95299999998</v>
      </c>
      <c r="L27" s="144">
        <f>SUM(L11:L26)</f>
        <v>-189314.79699999999</v>
      </c>
      <c r="M27" s="106">
        <f t="shared" ref="M27:O27" si="25">SUM(M11:M26)</f>
        <v>458284.15599999996</v>
      </c>
      <c r="N27" s="109">
        <f t="shared" si="25"/>
        <v>56514.012000000002</v>
      </c>
      <c r="O27" s="106">
        <f t="shared" si="25"/>
        <v>401770.14399999991</v>
      </c>
      <c r="P27" s="108">
        <f>+N27/M27</f>
        <v>0.1233165302795238</v>
      </c>
    </row>
    <row r="28" spans="2:16" ht="20.100000000000001" customHeight="1">
      <c r="B28" s="294" t="s">
        <v>23</v>
      </c>
      <c r="C28" s="190" t="s">
        <v>57</v>
      </c>
      <c r="D28" s="201" t="s">
        <v>60</v>
      </c>
      <c r="E28" s="202">
        <f>113.673+181.876+181.876</f>
        <v>477.42499999999995</v>
      </c>
      <c r="F28" s="160"/>
      <c r="G28" s="43">
        <f>+E28+F28</f>
        <v>477.42499999999995</v>
      </c>
      <c r="H28" s="36"/>
      <c r="I28" s="43">
        <f>+G28-H28</f>
        <v>477.42499999999995</v>
      </c>
      <c r="J28" s="65">
        <f>+H28/G28</f>
        <v>0</v>
      </c>
      <c r="K28" s="81">
        <f>+E28</f>
        <v>477.42499999999995</v>
      </c>
      <c r="L28" s="82">
        <f>+F28</f>
        <v>0</v>
      </c>
      <c r="M28" s="83">
        <f>+K28+L28</f>
        <v>477.42499999999995</v>
      </c>
      <c r="N28" s="82">
        <f>+H28</f>
        <v>0</v>
      </c>
      <c r="O28" s="83">
        <f>+M28-N28</f>
        <v>477.42499999999995</v>
      </c>
      <c r="P28" s="84">
        <f>+N28/M28</f>
        <v>0</v>
      </c>
    </row>
    <row r="29" spans="2:16" ht="20.100000000000001" customHeight="1">
      <c r="B29" s="295"/>
      <c r="C29" s="191" t="s">
        <v>54</v>
      </c>
      <c r="D29" s="197" t="s">
        <v>60</v>
      </c>
      <c r="E29" s="198">
        <v>0</v>
      </c>
      <c r="F29" s="161"/>
      <c r="G29" s="26">
        <f t="shared" ref="G29:G45" si="26">+E29+F29</f>
        <v>0</v>
      </c>
      <c r="H29" s="4"/>
      <c r="I29" s="26">
        <f t="shared" ref="I29:I45" si="27">+G29-H29</f>
        <v>0</v>
      </c>
      <c r="J29" s="62">
        <v>0</v>
      </c>
      <c r="K29" s="85">
        <f t="shared" ref="K29" si="28">+E29</f>
        <v>0</v>
      </c>
      <c r="L29" s="71">
        <f t="shared" ref="L29" si="29">+F29</f>
        <v>0</v>
      </c>
      <c r="M29" s="70">
        <f t="shared" ref="M29:M45" si="30">+K29+L29</f>
        <v>0</v>
      </c>
      <c r="N29" s="71">
        <f t="shared" ref="N29" si="31">+H29</f>
        <v>0</v>
      </c>
      <c r="O29" s="70">
        <f t="shared" ref="O29:O45" si="32">+M29-N29</f>
        <v>0</v>
      </c>
      <c r="P29" s="86">
        <v>0</v>
      </c>
    </row>
    <row r="30" spans="2:16" ht="20.100000000000001" customHeight="1">
      <c r="B30" s="295"/>
      <c r="C30" s="191" t="s">
        <v>43</v>
      </c>
      <c r="D30" s="197" t="s">
        <v>60</v>
      </c>
      <c r="E30" s="198">
        <f>2546.137</f>
        <v>2546.1370000000002</v>
      </c>
      <c r="F30" s="161"/>
      <c r="G30" s="26">
        <f t="shared" si="26"/>
        <v>2546.1370000000002</v>
      </c>
      <c r="H30" s="4"/>
      <c r="I30" s="26">
        <f t="shared" si="27"/>
        <v>2546.1370000000002</v>
      </c>
      <c r="J30" s="62">
        <f t="shared" ref="J30:J43" si="33">+H30/G30</f>
        <v>0</v>
      </c>
      <c r="K30" s="85">
        <f t="shared" ref="K30:K45" si="34">+E30</f>
        <v>2546.1370000000002</v>
      </c>
      <c r="L30" s="71">
        <f t="shared" ref="L30:L45" si="35">+F30</f>
        <v>0</v>
      </c>
      <c r="M30" s="70">
        <f t="shared" si="30"/>
        <v>2546.1370000000002</v>
      </c>
      <c r="N30" s="71">
        <f t="shared" ref="N30:N45" si="36">+H30</f>
        <v>0</v>
      </c>
      <c r="O30" s="70">
        <f t="shared" si="32"/>
        <v>2546.1370000000002</v>
      </c>
      <c r="P30" s="86">
        <f t="shared" ref="P30:P43" si="37">+N30/M30</f>
        <v>0</v>
      </c>
    </row>
    <row r="31" spans="2:16" ht="20.100000000000001" customHeight="1">
      <c r="B31" s="295"/>
      <c r="C31" s="192" t="s">
        <v>55</v>
      </c>
      <c r="D31" s="197" t="s">
        <v>60</v>
      </c>
      <c r="E31" s="198">
        <f>113.673+113.673+113.673</f>
        <v>341.01900000000001</v>
      </c>
      <c r="F31" s="161"/>
      <c r="G31" s="26">
        <f t="shared" si="26"/>
        <v>341.01900000000001</v>
      </c>
      <c r="H31" s="4"/>
      <c r="I31" s="26">
        <f t="shared" si="27"/>
        <v>341.01900000000001</v>
      </c>
      <c r="J31" s="62">
        <f t="shared" si="33"/>
        <v>0</v>
      </c>
      <c r="K31" s="85">
        <f t="shared" si="34"/>
        <v>341.01900000000001</v>
      </c>
      <c r="L31" s="71">
        <f t="shared" si="35"/>
        <v>0</v>
      </c>
      <c r="M31" s="70">
        <f t="shared" si="30"/>
        <v>341.01900000000001</v>
      </c>
      <c r="N31" s="71">
        <f t="shared" si="36"/>
        <v>0</v>
      </c>
      <c r="O31" s="70">
        <f t="shared" si="32"/>
        <v>341.01900000000001</v>
      </c>
      <c r="P31" s="86">
        <f t="shared" si="37"/>
        <v>0</v>
      </c>
    </row>
    <row r="32" spans="2:16" ht="20.100000000000001" customHeight="1">
      <c r="B32" s="295"/>
      <c r="C32" s="191" t="s">
        <v>44</v>
      </c>
      <c r="D32" s="197" t="s">
        <v>60</v>
      </c>
      <c r="E32" s="198">
        <f>18982.316+56.836+56.836+56.836+56.836+56.836+56.836+56.836+56.836+90.938+90.938+90.938+90.938+90.938</f>
        <v>19891.693999999985</v>
      </c>
      <c r="F32" s="161">
        <f>-18982.316</f>
        <v>-18982.315999999999</v>
      </c>
      <c r="G32" s="26">
        <f t="shared" si="26"/>
        <v>909.37799999998606</v>
      </c>
      <c r="H32" s="4"/>
      <c r="I32" s="26">
        <f t="shared" si="27"/>
        <v>909.37799999998606</v>
      </c>
      <c r="J32" s="62">
        <f t="shared" si="33"/>
        <v>0</v>
      </c>
      <c r="K32" s="85">
        <f t="shared" si="34"/>
        <v>19891.693999999985</v>
      </c>
      <c r="L32" s="71">
        <f t="shared" si="35"/>
        <v>-18982.315999999999</v>
      </c>
      <c r="M32" s="70">
        <f t="shared" si="30"/>
        <v>909.37799999998606</v>
      </c>
      <c r="N32" s="71">
        <f t="shared" si="36"/>
        <v>0</v>
      </c>
      <c r="O32" s="70">
        <f t="shared" si="32"/>
        <v>909.37799999998606</v>
      </c>
      <c r="P32" s="86">
        <f t="shared" si="37"/>
        <v>0</v>
      </c>
    </row>
    <row r="33" spans="2:16" ht="20.100000000000001" customHeight="1">
      <c r="B33" s="295"/>
      <c r="C33" s="191" t="s">
        <v>45</v>
      </c>
      <c r="D33" s="197" t="s">
        <v>60</v>
      </c>
      <c r="E33" s="198">
        <f>146.874</f>
        <v>146.874</v>
      </c>
      <c r="F33" s="161"/>
      <c r="G33" s="26">
        <f t="shared" si="26"/>
        <v>146.874</v>
      </c>
      <c r="H33" s="4"/>
      <c r="I33" s="26">
        <f t="shared" si="27"/>
        <v>146.874</v>
      </c>
      <c r="J33" s="62">
        <f t="shared" si="33"/>
        <v>0</v>
      </c>
      <c r="K33" s="85">
        <f t="shared" si="34"/>
        <v>146.874</v>
      </c>
      <c r="L33" s="71">
        <f t="shared" si="35"/>
        <v>0</v>
      </c>
      <c r="M33" s="70">
        <f t="shared" si="30"/>
        <v>146.874</v>
      </c>
      <c r="N33" s="71">
        <f t="shared" si="36"/>
        <v>0</v>
      </c>
      <c r="O33" s="70">
        <f t="shared" si="32"/>
        <v>146.874</v>
      </c>
      <c r="P33" s="86">
        <f t="shared" si="37"/>
        <v>0</v>
      </c>
    </row>
    <row r="34" spans="2:16" ht="20.100000000000001" customHeight="1">
      <c r="B34" s="295"/>
      <c r="C34" s="191" t="s">
        <v>49</v>
      </c>
      <c r="D34" s="197" t="s">
        <v>60</v>
      </c>
      <c r="E34" s="203">
        <f>116.701+136.407+136.407+136.407+136.407+136.407+159.142+272.814</f>
        <v>1230.6920000000002</v>
      </c>
      <c r="F34" s="161"/>
      <c r="G34" s="26">
        <f t="shared" si="26"/>
        <v>1230.6920000000002</v>
      </c>
      <c r="H34" s="4"/>
      <c r="I34" s="26">
        <f t="shared" si="27"/>
        <v>1230.6920000000002</v>
      </c>
      <c r="J34" s="62">
        <f t="shared" si="33"/>
        <v>0</v>
      </c>
      <c r="K34" s="85">
        <f t="shared" si="34"/>
        <v>1230.6920000000002</v>
      </c>
      <c r="L34" s="71">
        <f t="shared" si="35"/>
        <v>0</v>
      </c>
      <c r="M34" s="70">
        <f t="shared" si="30"/>
        <v>1230.6920000000002</v>
      </c>
      <c r="N34" s="71">
        <f t="shared" si="36"/>
        <v>0</v>
      </c>
      <c r="O34" s="70">
        <f t="shared" si="32"/>
        <v>1230.6920000000002</v>
      </c>
      <c r="P34" s="86">
        <f t="shared" si="37"/>
        <v>0</v>
      </c>
    </row>
    <row r="35" spans="2:16" ht="20.100000000000001" customHeight="1">
      <c r="B35" s="295"/>
      <c r="C35" s="191" t="s">
        <v>46</v>
      </c>
      <c r="D35" s="197" t="s">
        <v>60</v>
      </c>
      <c r="E35" s="198">
        <v>35.17</v>
      </c>
      <c r="F35" s="161"/>
      <c r="G35" s="26">
        <f t="shared" si="26"/>
        <v>35.17</v>
      </c>
      <c r="H35" s="4"/>
      <c r="I35" s="26">
        <f t="shared" si="27"/>
        <v>35.17</v>
      </c>
      <c r="J35" s="62">
        <f t="shared" si="33"/>
        <v>0</v>
      </c>
      <c r="K35" s="85">
        <f t="shared" si="34"/>
        <v>35.17</v>
      </c>
      <c r="L35" s="71">
        <f t="shared" si="35"/>
        <v>0</v>
      </c>
      <c r="M35" s="70">
        <f t="shared" si="30"/>
        <v>35.17</v>
      </c>
      <c r="N35" s="71">
        <f t="shared" si="36"/>
        <v>0</v>
      </c>
      <c r="O35" s="70">
        <f t="shared" si="32"/>
        <v>35.17</v>
      </c>
      <c r="P35" s="86">
        <f t="shared" si="37"/>
        <v>0</v>
      </c>
    </row>
    <row r="36" spans="2:16" ht="20.100000000000001" customHeight="1">
      <c r="B36" s="295"/>
      <c r="C36" s="191" t="s">
        <v>53</v>
      </c>
      <c r="D36" s="197" t="s">
        <v>60</v>
      </c>
      <c r="E36" s="198">
        <v>0</v>
      </c>
      <c r="F36" s="161"/>
      <c r="G36" s="26">
        <f t="shared" si="26"/>
        <v>0</v>
      </c>
      <c r="H36" s="4"/>
      <c r="I36" s="26">
        <f t="shared" si="27"/>
        <v>0</v>
      </c>
      <c r="J36" s="62">
        <v>0</v>
      </c>
      <c r="K36" s="85">
        <f t="shared" si="34"/>
        <v>0</v>
      </c>
      <c r="L36" s="71">
        <f t="shared" si="35"/>
        <v>0</v>
      </c>
      <c r="M36" s="70">
        <f t="shared" si="30"/>
        <v>0</v>
      </c>
      <c r="N36" s="71">
        <f t="shared" si="36"/>
        <v>0</v>
      </c>
      <c r="O36" s="70">
        <f t="shared" si="32"/>
        <v>0</v>
      </c>
      <c r="P36" s="86">
        <v>0</v>
      </c>
    </row>
    <row r="37" spans="2:16" ht="20.100000000000001" customHeight="1">
      <c r="B37" s="295"/>
      <c r="C37" s="192" t="s">
        <v>58</v>
      </c>
      <c r="D37" s="197" t="s">
        <v>60</v>
      </c>
      <c r="E37" s="198">
        <f>181.876</f>
        <v>181.876</v>
      </c>
      <c r="F37" s="161"/>
      <c r="G37" s="26">
        <f t="shared" si="26"/>
        <v>181.876</v>
      </c>
      <c r="H37" s="4"/>
      <c r="I37" s="26">
        <f t="shared" si="27"/>
        <v>181.876</v>
      </c>
      <c r="J37" s="62">
        <v>0</v>
      </c>
      <c r="K37" s="85">
        <f t="shared" si="34"/>
        <v>181.876</v>
      </c>
      <c r="L37" s="71">
        <f t="shared" si="35"/>
        <v>0</v>
      </c>
      <c r="M37" s="70">
        <f t="shared" si="30"/>
        <v>181.876</v>
      </c>
      <c r="N37" s="71">
        <f t="shared" si="36"/>
        <v>0</v>
      </c>
      <c r="O37" s="70">
        <f t="shared" si="32"/>
        <v>181.876</v>
      </c>
      <c r="P37" s="86">
        <v>0</v>
      </c>
    </row>
    <row r="38" spans="2:16" ht="20.100000000000001" customHeight="1">
      <c r="B38" s="295"/>
      <c r="C38" s="191" t="s">
        <v>52</v>
      </c>
      <c r="D38" s="197" t="s">
        <v>60</v>
      </c>
      <c r="E38" s="198">
        <f>113.673</f>
        <v>113.673</v>
      </c>
      <c r="F38" s="161"/>
      <c r="G38" s="26">
        <f t="shared" si="26"/>
        <v>113.673</v>
      </c>
      <c r="H38" s="4"/>
      <c r="I38" s="26">
        <f t="shared" si="27"/>
        <v>113.673</v>
      </c>
      <c r="J38" s="62">
        <f t="shared" si="33"/>
        <v>0</v>
      </c>
      <c r="K38" s="85">
        <f t="shared" si="34"/>
        <v>113.673</v>
      </c>
      <c r="L38" s="71">
        <f t="shared" si="35"/>
        <v>0</v>
      </c>
      <c r="M38" s="70">
        <f t="shared" si="30"/>
        <v>113.673</v>
      </c>
      <c r="N38" s="71">
        <f t="shared" si="36"/>
        <v>0</v>
      </c>
      <c r="O38" s="70">
        <f t="shared" si="32"/>
        <v>113.673</v>
      </c>
      <c r="P38" s="86">
        <f t="shared" si="37"/>
        <v>0</v>
      </c>
    </row>
    <row r="39" spans="2:16" ht="20.100000000000001" customHeight="1">
      <c r="B39" s="295"/>
      <c r="C39" s="192" t="s">
        <v>59</v>
      </c>
      <c r="D39" s="197" t="s">
        <v>60</v>
      </c>
      <c r="E39" s="198">
        <f>181.876</f>
        <v>181.876</v>
      </c>
      <c r="F39" s="161"/>
      <c r="G39" s="26">
        <f t="shared" si="26"/>
        <v>181.876</v>
      </c>
      <c r="H39" s="4"/>
      <c r="I39" s="26">
        <f t="shared" si="27"/>
        <v>181.876</v>
      </c>
      <c r="J39" s="62">
        <v>0</v>
      </c>
      <c r="K39" s="85">
        <f t="shared" si="34"/>
        <v>181.876</v>
      </c>
      <c r="L39" s="71">
        <f t="shared" si="35"/>
        <v>0</v>
      </c>
      <c r="M39" s="70">
        <f t="shared" si="30"/>
        <v>181.876</v>
      </c>
      <c r="N39" s="71">
        <f t="shared" si="36"/>
        <v>0</v>
      </c>
      <c r="O39" s="70">
        <f t="shared" si="32"/>
        <v>181.876</v>
      </c>
      <c r="P39" s="86">
        <v>0</v>
      </c>
    </row>
    <row r="40" spans="2:16" ht="20.100000000000001" customHeight="1">
      <c r="B40" s="295"/>
      <c r="C40" s="191" t="s">
        <v>50</v>
      </c>
      <c r="D40" s="197" t="s">
        <v>60</v>
      </c>
      <c r="E40" s="198">
        <f>4.247</f>
        <v>4.2469999999999999</v>
      </c>
      <c r="F40" s="161"/>
      <c r="G40" s="26">
        <f t="shared" si="26"/>
        <v>4.2469999999999999</v>
      </c>
      <c r="H40" s="4"/>
      <c r="I40" s="26">
        <f t="shared" si="27"/>
        <v>4.2469999999999999</v>
      </c>
      <c r="J40" s="62">
        <f t="shared" si="33"/>
        <v>0</v>
      </c>
      <c r="K40" s="85">
        <f t="shared" si="34"/>
        <v>4.2469999999999999</v>
      </c>
      <c r="L40" s="71">
        <f t="shared" si="35"/>
        <v>0</v>
      </c>
      <c r="M40" s="70">
        <f t="shared" si="30"/>
        <v>4.2469999999999999</v>
      </c>
      <c r="N40" s="71">
        <f t="shared" si="36"/>
        <v>0</v>
      </c>
      <c r="O40" s="70">
        <f t="shared" si="32"/>
        <v>4.2469999999999999</v>
      </c>
      <c r="P40" s="86">
        <f t="shared" si="37"/>
        <v>0</v>
      </c>
    </row>
    <row r="41" spans="2:16" ht="20.100000000000001" customHeight="1">
      <c r="B41" s="295"/>
      <c r="C41" s="191" t="s">
        <v>48</v>
      </c>
      <c r="D41" s="197" t="s">
        <v>60</v>
      </c>
      <c r="E41" s="198">
        <f>16375.615+159.142+181.876+181.876+272.814+272.814+272.814+272.814+318.283+318.283</f>
        <v>18626.330999999995</v>
      </c>
      <c r="F41" s="161">
        <f>-16600-1000-1000</f>
        <v>-18600</v>
      </c>
      <c r="G41" s="26">
        <f t="shared" si="26"/>
        <v>26.330999999994674</v>
      </c>
      <c r="H41" s="4"/>
      <c r="I41" s="26">
        <f t="shared" si="27"/>
        <v>26.330999999994674</v>
      </c>
      <c r="J41" s="62">
        <f t="shared" si="33"/>
        <v>0</v>
      </c>
      <c r="K41" s="85">
        <f t="shared" si="34"/>
        <v>18626.330999999995</v>
      </c>
      <c r="L41" s="71">
        <f t="shared" si="35"/>
        <v>-18600</v>
      </c>
      <c r="M41" s="70">
        <f t="shared" si="30"/>
        <v>26.330999999994674</v>
      </c>
      <c r="N41" s="71">
        <f t="shared" si="36"/>
        <v>0</v>
      </c>
      <c r="O41" s="70">
        <f t="shared" si="32"/>
        <v>26.330999999994674</v>
      </c>
      <c r="P41" s="86">
        <f t="shared" si="37"/>
        <v>0</v>
      </c>
    </row>
    <row r="42" spans="2:16" ht="20.100000000000001" customHeight="1">
      <c r="B42" s="295"/>
      <c r="C42" s="192" t="s">
        <v>56</v>
      </c>
      <c r="D42" s="197" t="s">
        <v>60</v>
      </c>
      <c r="E42" s="198">
        <v>0</v>
      </c>
      <c r="F42" s="161"/>
      <c r="G42" s="26">
        <f t="shared" si="26"/>
        <v>0</v>
      </c>
      <c r="H42" s="4"/>
      <c r="I42" s="26">
        <f t="shared" si="27"/>
        <v>0</v>
      </c>
      <c r="J42" s="62">
        <v>0</v>
      </c>
      <c r="K42" s="85">
        <f t="shared" si="34"/>
        <v>0</v>
      </c>
      <c r="L42" s="71">
        <f t="shared" si="35"/>
        <v>0</v>
      </c>
      <c r="M42" s="70">
        <f t="shared" si="30"/>
        <v>0</v>
      </c>
      <c r="N42" s="71">
        <f t="shared" si="36"/>
        <v>0</v>
      </c>
      <c r="O42" s="70">
        <f t="shared" si="32"/>
        <v>0</v>
      </c>
      <c r="P42" s="86">
        <v>0</v>
      </c>
    </row>
    <row r="43" spans="2:16" ht="20.100000000000001" customHeight="1">
      <c r="B43" s="295"/>
      <c r="C43" s="191" t="s">
        <v>47</v>
      </c>
      <c r="D43" s="197" t="s">
        <v>60</v>
      </c>
      <c r="E43" s="198">
        <f>441.59</f>
        <v>441.59</v>
      </c>
      <c r="F43" s="161"/>
      <c r="G43" s="26">
        <f t="shared" si="26"/>
        <v>441.59</v>
      </c>
      <c r="H43" s="4"/>
      <c r="I43" s="26">
        <f t="shared" si="27"/>
        <v>441.59</v>
      </c>
      <c r="J43" s="62">
        <f t="shared" si="33"/>
        <v>0</v>
      </c>
      <c r="K43" s="85">
        <f t="shared" si="34"/>
        <v>441.59</v>
      </c>
      <c r="L43" s="71">
        <f t="shared" si="35"/>
        <v>0</v>
      </c>
      <c r="M43" s="70">
        <f t="shared" si="30"/>
        <v>441.59</v>
      </c>
      <c r="N43" s="71">
        <f t="shared" si="36"/>
        <v>0</v>
      </c>
      <c r="O43" s="70">
        <f t="shared" si="32"/>
        <v>441.59</v>
      </c>
      <c r="P43" s="86">
        <f t="shared" si="37"/>
        <v>0</v>
      </c>
    </row>
    <row r="44" spans="2:16" s="103" customFormat="1" ht="20.100000000000001" customHeight="1">
      <c r="B44" s="296"/>
      <c r="C44" s="193" t="s">
        <v>134</v>
      </c>
      <c r="D44" s="204" t="s">
        <v>60</v>
      </c>
      <c r="E44" s="205">
        <f>113.673+113.673+113.673+181.876</f>
        <v>522.89499999999998</v>
      </c>
      <c r="F44" s="182"/>
      <c r="G44" s="26">
        <f t="shared" si="26"/>
        <v>522.89499999999998</v>
      </c>
      <c r="H44" s="183"/>
      <c r="I44" s="26">
        <f t="shared" ref="I44" si="38">+G44-H44</f>
        <v>522.89499999999998</v>
      </c>
      <c r="J44" s="62">
        <f t="shared" ref="J44" si="39">+H44/G44</f>
        <v>0</v>
      </c>
      <c r="K44" s="85">
        <f t="shared" ref="K44" si="40">+E44</f>
        <v>522.89499999999998</v>
      </c>
      <c r="L44" s="71">
        <f t="shared" ref="L44" si="41">+F44</f>
        <v>0</v>
      </c>
      <c r="M44" s="70">
        <f t="shared" ref="M44" si="42">+K44+L44</f>
        <v>522.89499999999998</v>
      </c>
      <c r="N44" s="71">
        <f t="shared" ref="N44" si="43">+H44</f>
        <v>0</v>
      </c>
      <c r="O44" s="70">
        <f t="shared" ref="O44" si="44">+M44-N44</f>
        <v>522.89499999999998</v>
      </c>
      <c r="P44" s="86">
        <f t="shared" ref="P44" si="45">+N44/M44</f>
        <v>0</v>
      </c>
    </row>
    <row r="45" spans="2:16" ht="26.25" thickBot="1">
      <c r="B45" s="297"/>
      <c r="C45" s="194" t="s">
        <v>51</v>
      </c>
      <c r="D45" s="206" t="s">
        <v>60</v>
      </c>
      <c r="E45" s="200">
        <v>0</v>
      </c>
      <c r="F45" s="162"/>
      <c r="G45" s="61">
        <f t="shared" si="26"/>
        <v>0</v>
      </c>
      <c r="H45" s="30"/>
      <c r="I45" s="61">
        <f t="shared" si="27"/>
        <v>0</v>
      </c>
      <c r="J45" s="63">
        <v>0</v>
      </c>
      <c r="K45" s="87">
        <f t="shared" si="34"/>
        <v>0</v>
      </c>
      <c r="L45" s="88">
        <f t="shared" si="35"/>
        <v>0</v>
      </c>
      <c r="M45" s="89">
        <f t="shared" si="30"/>
        <v>0</v>
      </c>
      <c r="N45" s="88">
        <f t="shared" si="36"/>
        <v>0</v>
      </c>
      <c r="O45" s="89">
        <f t="shared" si="32"/>
        <v>0</v>
      </c>
      <c r="P45" s="90">
        <v>0</v>
      </c>
    </row>
    <row r="46" spans="2:16" s="9" customFormat="1" ht="15.75" thickBot="1">
      <c r="B46" s="32"/>
      <c r="C46" s="37"/>
      <c r="D46" s="34"/>
      <c r="E46" s="159">
        <f>SUM(E28:E45)</f>
        <v>44741.498999999974</v>
      </c>
      <c r="F46" s="6">
        <f>SUM(F28:F45)</f>
        <v>-37582.315999999999</v>
      </c>
      <c r="G46" s="6"/>
      <c r="H46" s="6"/>
      <c r="I46" s="6"/>
      <c r="J46" s="64"/>
      <c r="K46" s="121">
        <f>SUM(K28:K45)</f>
        <v>44741.498999999974</v>
      </c>
      <c r="L46" s="112">
        <f>SUM(L28:L45)</f>
        <v>-37582.315999999999</v>
      </c>
      <c r="M46" s="112">
        <f t="shared" ref="M46:O46" si="46">SUM(M28:M45)</f>
        <v>7159.1829999999809</v>
      </c>
      <c r="N46" s="144">
        <f t="shared" si="46"/>
        <v>0</v>
      </c>
      <c r="O46" s="112">
        <f t="shared" si="46"/>
        <v>7159.1829999999809</v>
      </c>
      <c r="P46" s="69">
        <f>+N46/M46</f>
        <v>0</v>
      </c>
    </row>
    <row r="47" spans="2:16">
      <c r="B47" s="301" t="s">
        <v>21</v>
      </c>
      <c r="C47" s="298" t="s">
        <v>61</v>
      </c>
      <c r="D47" s="47" t="s">
        <v>19</v>
      </c>
      <c r="E47" s="48">
        <f>3.661</f>
        <v>3.661</v>
      </c>
      <c r="F47" s="41"/>
      <c r="G47" s="56">
        <f>+E47+F47</f>
        <v>3.661</v>
      </c>
      <c r="H47" s="41"/>
      <c r="I47" s="56">
        <f t="shared" ref="I47:I52" si="47">+G47-H47</f>
        <v>3.661</v>
      </c>
      <c r="J47" s="78">
        <f>+H47/G47</f>
        <v>0</v>
      </c>
      <c r="K47" s="278">
        <f>+E47+E48</f>
        <v>4.88</v>
      </c>
      <c r="L47" s="282">
        <f>+F47+F48</f>
        <v>0</v>
      </c>
      <c r="M47" s="283">
        <f>+K47+L47</f>
        <v>4.88</v>
      </c>
      <c r="N47" s="282">
        <f>+H47+H48</f>
        <v>0</v>
      </c>
      <c r="O47" s="283">
        <f>+M47-N47</f>
        <v>4.88</v>
      </c>
      <c r="P47" s="284">
        <f>+N47/M47</f>
        <v>0</v>
      </c>
    </row>
    <row r="48" spans="2:16">
      <c r="B48" s="302"/>
      <c r="C48" s="299"/>
      <c r="D48" s="49" t="s">
        <v>20</v>
      </c>
      <c r="E48" s="50">
        <f>1.219</f>
        <v>1.2190000000000001</v>
      </c>
      <c r="F48" s="11"/>
      <c r="G48" s="57">
        <f>+I47+E48+F48</f>
        <v>4.88</v>
      </c>
      <c r="H48" s="11"/>
      <c r="I48" s="57">
        <f t="shared" si="47"/>
        <v>4.88</v>
      </c>
      <c r="J48" s="79">
        <f t="shared" ref="J48:J51" si="48">+H48/G48</f>
        <v>0</v>
      </c>
      <c r="K48" s="279"/>
      <c r="L48" s="273"/>
      <c r="M48" s="273"/>
      <c r="N48" s="273"/>
      <c r="O48" s="273"/>
      <c r="P48" s="276"/>
    </row>
    <row r="49" spans="2:16">
      <c r="B49" s="302"/>
      <c r="C49" s="299" t="s">
        <v>62</v>
      </c>
      <c r="D49" s="49" t="s">
        <v>19</v>
      </c>
      <c r="E49" s="50">
        <f>234.869</f>
        <v>234.869</v>
      </c>
      <c r="F49" s="11"/>
      <c r="G49" s="58">
        <f>+E49+F49</f>
        <v>234.869</v>
      </c>
      <c r="H49" s="11"/>
      <c r="I49" s="58">
        <f t="shared" si="47"/>
        <v>234.869</v>
      </c>
      <c r="J49" s="79">
        <f t="shared" si="48"/>
        <v>0</v>
      </c>
      <c r="K49" s="280">
        <f>+E49+E50</f>
        <v>313.08799999999997</v>
      </c>
      <c r="L49" s="273">
        <f>+F49+F50</f>
        <v>0</v>
      </c>
      <c r="M49" s="275">
        <f>+K49+L49</f>
        <v>313.08799999999997</v>
      </c>
      <c r="N49" s="273">
        <f>+H49+H50</f>
        <v>0.86299999999999999</v>
      </c>
      <c r="O49" s="275">
        <f t="shared" ref="O49" si="49">+M49-N49</f>
        <v>312.22499999999997</v>
      </c>
      <c r="P49" s="276">
        <f t="shared" ref="P49" si="50">+N49/M49</f>
        <v>2.7564135322976292E-3</v>
      </c>
    </row>
    <row r="50" spans="2:16">
      <c r="B50" s="302"/>
      <c r="C50" s="299"/>
      <c r="D50" s="49" t="s">
        <v>20</v>
      </c>
      <c r="E50" s="50">
        <f>78.219</f>
        <v>78.218999999999994</v>
      </c>
      <c r="F50" s="11"/>
      <c r="G50" s="57">
        <f>+I49+E50+F50</f>
        <v>313.08799999999997</v>
      </c>
      <c r="H50" s="151">
        <v>0.86299999999999999</v>
      </c>
      <c r="I50" s="57">
        <f t="shared" si="47"/>
        <v>312.22499999999997</v>
      </c>
      <c r="J50" s="79">
        <f t="shared" si="48"/>
        <v>2.7564135322976292E-3</v>
      </c>
      <c r="K50" s="279"/>
      <c r="L50" s="273"/>
      <c r="M50" s="273"/>
      <c r="N50" s="273"/>
      <c r="O50" s="273"/>
      <c r="P50" s="276"/>
    </row>
    <row r="51" spans="2:16">
      <c r="B51" s="302"/>
      <c r="C51" s="299" t="s">
        <v>63</v>
      </c>
      <c r="D51" s="49" t="s">
        <v>19</v>
      </c>
      <c r="E51" s="50">
        <f>875.47</f>
        <v>875.47</v>
      </c>
      <c r="F51" s="11"/>
      <c r="G51" s="58">
        <f>+E51+F51</f>
        <v>875.47</v>
      </c>
      <c r="H51" s="163">
        <v>262.29500000000002</v>
      </c>
      <c r="I51" s="58">
        <f t="shared" si="47"/>
        <v>613.17499999999995</v>
      </c>
      <c r="J51" s="79">
        <f t="shared" si="48"/>
        <v>0.29960478371617533</v>
      </c>
      <c r="K51" s="280">
        <f>+E51+E52</f>
        <v>1167.0309999999999</v>
      </c>
      <c r="L51" s="273">
        <f>+F51+F52</f>
        <v>-400</v>
      </c>
      <c r="M51" s="275">
        <f>+K51+L51</f>
        <v>767.03099999999995</v>
      </c>
      <c r="N51" s="273">
        <f>+H51+H52</f>
        <v>262.29500000000002</v>
      </c>
      <c r="O51" s="275">
        <f t="shared" ref="O51" si="51">+M51-N51</f>
        <v>504.73599999999993</v>
      </c>
      <c r="P51" s="276">
        <f t="shared" ref="P51" si="52">+N51/M51</f>
        <v>0.34196140703570005</v>
      </c>
    </row>
    <row r="52" spans="2:16" ht="15.75" thickBot="1">
      <c r="B52" s="303"/>
      <c r="C52" s="300"/>
      <c r="D52" s="51" t="s">
        <v>20</v>
      </c>
      <c r="E52" s="52">
        <f>291.561</f>
        <v>291.56099999999998</v>
      </c>
      <c r="F52" s="42">
        <f>-200-200</f>
        <v>-400</v>
      </c>
      <c r="G52" s="59">
        <f>+I51+E52+F52</f>
        <v>504.73599999999988</v>
      </c>
      <c r="H52" s="42"/>
      <c r="I52" s="59">
        <f t="shared" si="47"/>
        <v>504.73599999999988</v>
      </c>
      <c r="J52" s="80">
        <f>+H52/G52</f>
        <v>0</v>
      </c>
      <c r="K52" s="281"/>
      <c r="L52" s="274"/>
      <c r="M52" s="274"/>
      <c r="N52" s="274"/>
      <c r="O52" s="274"/>
      <c r="P52" s="277"/>
    </row>
    <row r="53" spans="2:16" s="10" customFormat="1" ht="15.75" thickBot="1">
      <c r="B53" s="38"/>
      <c r="C53" s="39"/>
      <c r="D53" s="34"/>
      <c r="E53" s="159">
        <f>SUM(E47:E52)</f>
        <v>1484.999</v>
      </c>
      <c r="F53" s="40">
        <f>SUM(F47:F52)</f>
        <v>-400</v>
      </c>
      <c r="G53" s="40"/>
      <c r="H53" s="40"/>
      <c r="I53" s="40"/>
      <c r="J53" s="69"/>
      <c r="K53" s="120">
        <f>SUM(K47:K52)</f>
        <v>1484.9989999999998</v>
      </c>
      <c r="L53" s="109">
        <f t="shared" ref="L53:O53" si="53">SUM(L47:L52)</f>
        <v>-400</v>
      </c>
      <c r="M53" s="109">
        <f t="shared" si="53"/>
        <v>1084.9989999999998</v>
      </c>
      <c r="N53" s="109">
        <f t="shared" si="53"/>
        <v>263.15800000000002</v>
      </c>
      <c r="O53" s="109">
        <f t="shared" si="53"/>
        <v>821.84099999999989</v>
      </c>
      <c r="P53" s="155">
        <f>+N53/M53</f>
        <v>0.24254215902503143</v>
      </c>
    </row>
    <row r="54" spans="2:16">
      <c r="B54" s="285" t="s">
        <v>31</v>
      </c>
      <c r="C54" s="44" t="s">
        <v>64</v>
      </c>
      <c r="D54" s="53" t="s">
        <v>65</v>
      </c>
      <c r="E54" s="48">
        <f>119.553</f>
        <v>119.553</v>
      </c>
      <c r="F54" s="41"/>
      <c r="G54" s="56">
        <f>+E54+F54</f>
        <v>119.553</v>
      </c>
      <c r="H54" s="41"/>
      <c r="I54" s="56">
        <f>+G54-H54</f>
        <v>119.553</v>
      </c>
      <c r="J54" s="66">
        <f>+H54/G54</f>
        <v>0</v>
      </c>
      <c r="K54" s="73">
        <f>+E54</f>
        <v>119.553</v>
      </c>
      <c r="L54" s="24">
        <f>+F54</f>
        <v>0</v>
      </c>
      <c r="M54" s="74">
        <f>+K54+L54</f>
        <v>119.553</v>
      </c>
      <c r="N54" s="167">
        <f>+H54</f>
        <v>0</v>
      </c>
      <c r="O54" s="74">
        <f>+M54-N54</f>
        <v>119.553</v>
      </c>
      <c r="P54" s="66">
        <f>+N54/M54</f>
        <v>0</v>
      </c>
    </row>
    <row r="55" spans="2:16">
      <c r="B55" s="286"/>
      <c r="C55" s="45" t="s">
        <v>44</v>
      </c>
      <c r="D55" s="54" t="s">
        <v>65</v>
      </c>
      <c r="E55" s="50">
        <f>520.512</f>
        <v>520.51199999999994</v>
      </c>
      <c r="F55" s="11">
        <f>-400</f>
        <v>-400</v>
      </c>
      <c r="G55" s="58">
        <f t="shared" ref="G55:G62" si="54">+E55+F55</f>
        <v>120.51199999999994</v>
      </c>
      <c r="H55" s="11"/>
      <c r="I55" s="58">
        <f t="shared" ref="I55:I62" si="55">+G55-H55</f>
        <v>120.51199999999994</v>
      </c>
      <c r="J55" s="67">
        <f t="shared" ref="J55:J62" si="56">+H55/G55</f>
        <v>0</v>
      </c>
      <c r="K55" s="75">
        <f t="shared" ref="K55:K61" si="57">+E55</f>
        <v>520.51199999999994</v>
      </c>
      <c r="L55" s="23">
        <f>+F55</f>
        <v>-400</v>
      </c>
      <c r="M55" s="72">
        <f t="shared" ref="M55:M62" si="58">+K55+L55</f>
        <v>120.51199999999994</v>
      </c>
      <c r="N55" s="165">
        <f>+H55</f>
        <v>0</v>
      </c>
      <c r="O55" s="72">
        <f t="shared" ref="O55:O62" si="59">+M55-N55</f>
        <v>120.51199999999994</v>
      </c>
      <c r="P55" s="67">
        <f t="shared" ref="P55:P62" si="60">+N55/M55</f>
        <v>0</v>
      </c>
    </row>
    <row r="56" spans="2:16">
      <c r="B56" s="286"/>
      <c r="C56" s="45" t="s">
        <v>52</v>
      </c>
      <c r="D56" s="54" t="s">
        <v>65</v>
      </c>
      <c r="E56" s="50">
        <f>0.088</f>
        <v>8.7999999999999995E-2</v>
      </c>
      <c r="F56" s="11"/>
      <c r="G56" s="58">
        <f t="shared" si="54"/>
        <v>8.7999999999999995E-2</v>
      </c>
      <c r="H56" s="11"/>
      <c r="I56" s="58">
        <f t="shared" si="55"/>
        <v>8.7999999999999995E-2</v>
      </c>
      <c r="J56" s="67">
        <f t="shared" si="56"/>
        <v>0</v>
      </c>
      <c r="K56" s="75">
        <f t="shared" si="57"/>
        <v>8.7999999999999995E-2</v>
      </c>
      <c r="L56" s="23">
        <f t="shared" ref="L56:L62" si="61">+F56</f>
        <v>0</v>
      </c>
      <c r="M56" s="72">
        <f t="shared" si="58"/>
        <v>8.7999999999999995E-2</v>
      </c>
      <c r="N56" s="165">
        <f>+H56</f>
        <v>0</v>
      </c>
      <c r="O56" s="72">
        <f t="shared" si="59"/>
        <v>8.7999999999999995E-2</v>
      </c>
      <c r="P56" s="67">
        <f t="shared" si="60"/>
        <v>0</v>
      </c>
    </row>
    <row r="57" spans="2:16">
      <c r="B57" s="286"/>
      <c r="C57" s="45" t="s">
        <v>66</v>
      </c>
      <c r="D57" s="54" t="s">
        <v>65</v>
      </c>
      <c r="E57" s="50">
        <f>3.352</f>
        <v>3.3519999999999999</v>
      </c>
      <c r="F57" s="11"/>
      <c r="G57" s="58">
        <f t="shared" si="54"/>
        <v>3.3519999999999999</v>
      </c>
      <c r="H57" s="11"/>
      <c r="I57" s="58">
        <f t="shared" si="55"/>
        <v>3.3519999999999999</v>
      </c>
      <c r="J57" s="67">
        <f t="shared" si="56"/>
        <v>0</v>
      </c>
      <c r="K57" s="75">
        <f t="shared" si="57"/>
        <v>3.3519999999999999</v>
      </c>
      <c r="L57" s="23">
        <f t="shared" si="61"/>
        <v>0</v>
      </c>
      <c r="M57" s="72">
        <f t="shared" si="58"/>
        <v>3.3519999999999999</v>
      </c>
      <c r="N57" s="165">
        <f t="shared" ref="N57:N62" si="62">+H57</f>
        <v>0</v>
      </c>
      <c r="O57" s="72">
        <f t="shared" si="59"/>
        <v>3.3519999999999999</v>
      </c>
      <c r="P57" s="67">
        <f t="shared" si="60"/>
        <v>0</v>
      </c>
    </row>
    <row r="58" spans="2:16">
      <c r="B58" s="286"/>
      <c r="C58" s="45" t="s">
        <v>67</v>
      </c>
      <c r="D58" s="54" t="s">
        <v>65</v>
      </c>
      <c r="E58" s="50">
        <f>3.789</f>
        <v>3.7890000000000001</v>
      </c>
      <c r="F58" s="11"/>
      <c r="G58" s="58">
        <f t="shared" si="54"/>
        <v>3.7890000000000001</v>
      </c>
      <c r="H58" s="11"/>
      <c r="I58" s="58">
        <f t="shared" si="55"/>
        <v>3.7890000000000001</v>
      </c>
      <c r="J58" s="67">
        <f t="shared" si="56"/>
        <v>0</v>
      </c>
      <c r="K58" s="75">
        <f t="shared" si="57"/>
        <v>3.7890000000000001</v>
      </c>
      <c r="L58" s="23">
        <f t="shared" si="61"/>
        <v>0</v>
      </c>
      <c r="M58" s="72">
        <f t="shared" si="58"/>
        <v>3.7890000000000001</v>
      </c>
      <c r="N58" s="165">
        <f t="shared" si="62"/>
        <v>0</v>
      </c>
      <c r="O58" s="72">
        <f t="shared" si="59"/>
        <v>3.7890000000000001</v>
      </c>
      <c r="P58" s="67">
        <f t="shared" si="60"/>
        <v>0</v>
      </c>
    </row>
    <row r="59" spans="2:16">
      <c r="B59" s="286"/>
      <c r="C59" s="125" t="s">
        <v>47</v>
      </c>
      <c r="D59" s="54" t="s">
        <v>65</v>
      </c>
      <c r="E59" s="50">
        <f>1.736</f>
        <v>1.736</v>
      </c>
      <c r="F59" s="11"/>
      <c r="G59" s="58">
        <f t="shared" si="54"/>
        <v>1.736</v>
      </c>
      <c r="H59" s="11"/>
      <c r="I59" s="58">
        <f t="shared" si="55"/>
        <v>1.736</v>
      </c>
      <c r="J59" s="67">
        <f t="shared" si="56"/>
        <v>0</v>
      </c>
      <c r="K59" s="75">
        <f t="shared" si="57"/>
        <v>1.736</v>
      </c>
      <c r="L59" s="23">
        <f t="shared" si="61"/>
        <v>0</v>
      </c>
      <c r="M59" s="72">
        <f t="shared" si="58"/>
        <v>1.736</v>
      </c>
      <c r="N59" s="165">
        <f t="shared" si="62"/>
        <v>0</v>
      </c>
      <c r="O59" s="72">
        <f t="shared" si="59"/>
        <v>1.736</v>
      </c>
      <c r="P59" s="67">
        <f t="shared" si="60"/>
        <v>0</v>
      </c>
    </row>
    <row r="60" spans="2:16">
      <c r="B60" s="286"/>
      <c r="C60" s="45" t="s">
        <v>68</v>
      </c>
      <c r="D60" s="54" t="s">
        <v>65</v>
      </c>
      <c r="E60" s="50">
        <f>223.434</f>
        <v>223.434</v>
      </c>
      <c r="F60" s="11">
        <f>-180</f>
        <v>-180</v>
      </c>
      <c r="G60" s="58">
        <f t="shared" si="54"/>
        <v>43.433999999999997</v>
      </c>
      <c r="H60" s="11"/>
      <c r="I60" s="58">
        <f t="shared" si="55"/>
        <v>43.433999999999997</v>
      </c>
      <c r="J60" s="67">
        <f t="shared" si="56"/>
        <v>0</v>
      </c>
      <c r="K60" s="75">
        <f t="shared" si="57"/>
        <v>223.434</v>
      </c>
      <c r="L60" s="23">
        <f t="shared" si="61"/>
        <v>-180</v>
      </c>
      <c r="M60" s="72">
        <f t="shared" si="58"/>
        <v>43.433999999999997</v>
      </c>
      <c r="N60" s="165">
        <f t="shared" si="62"/>
        <v>0</v>
      </c>
      <c r="O60" s="72">
        <f t="shared" si="59"/>
        <v>43.433999999999997</v>
      </c>
      <c r="P60" s="67">
        <f t="shared" si="60"/>
        <v>0</v>
      </c>
    </row>
    <row r="61" spans="2:16">
      <c r="B61" s="286"/>
      <c r="C61" s="45" t="s">
        <v>69</v>
      </c>
      <c r="D61" s="54" t="s">
        <v>65</v>
      </c>
      <c r="E61" s="50">
        <f>1.513</f>
        <v>1.5129999999999999</v>
      </c>
      <c r="F61" s="11"/>
      <c r="G61" s="58">
        <f t="shared" si="54"/>
        <v>1.5129999999999999</v>
      </c>
      <c r="H61" s="11"/>
      <c r="I61" s="58">
        <f t="shared" si="55"/>
        <v>1.5129999999999999</v>
      </c>
      <c r="J61" s="67">
        <f t="shared" si="56"/>
        <v>0</v>
      </c>
      <c r="K61" s="75">
        <f t="shared" si="57"/>
        <v>1.5129999999999999</v>
      </c>
      <c r="L61" s="23">
        <f t="shared" si="61"/>
        <v>0</v>
      </c>
      <c r="M61" s="72">
        <f t="shared" si="58"/>
        <v>1.5129999999999999</v>
      </c>
      <c r="N61" s="165">
        <f t="shared" si="62"/>
        <v>0</v>
      </c>
      <c r="O61" s="72">
        <f t="shared" si="59"/>
        <v>1.5129999999999999</v>
      </c>
      <c r="P61" s="67">
        <f t="shared" si="60"/>
        <v>0</v>
      </c>
    </row>
    <row r="62" spans="2:16" ht="15.75" thickBot="1">
      <c r="B62" s="287"/>
      <c r="C62" s="46" t="s">
        <v>70</v>
      </c>
      <c r="D62" s="55" t="s">
        <v>65</v>
      </c>
      <c r="E62" s="52">
        <f>1.024</f>
        <v>1.024</v>
      </c>
      <c r="F62" s="42"/>
      <c r="G62" s="60">
        <f t="shared" si="54"/>
        <v>1.024</v>
      </c>
      <c r="H62" s="42"/>
      <c r="I62" s="60">
        <f t="shared" si="55"/>
        <v>1.024</v>
      </c>
      <c r="J62" s="68">
        <f t="shared" si="56"/>
        <v>0</v>
      </c>
      <c r="K62" s="76">
        <f>+E62</f>
        <v>1.024</v>
      </c>
      <c r="L62" s="25">
        <f t="shared" si="61"/>
        <v>0</v>
      </c>
      <c r="M62" s="77">
        <f t="shared" si="58"/>
        <v>1.024</v>
      </c>
      <c r="N62" s="166">
        <f t="shared" si="62"/>
        <v>0</v>
      </c>
      <c r="O62" s="77">
        <f t="shared" si="59"/>
        <v>1.024</v>
      </c>
      <c r="P62" s="68">
        <f t="shared" si="60"/>
        <v>0</v>
      </c>
    </row>
    <row r="63" spans="2:16">
      <c r="E63" s="140">
        <f>SUM(E54:E62)</f>
        <v>875.00099999999986</v>
      </c>
      <c r="F63">
        <f>SUM(F54:F62)</f>
        <v>-580</v>
      </c>
      <c r="K63" s="110">
        <f>SUM(K54:K62)</f>
        <v>875.00099999999986</v>
      </c>
      <c r="L63" s="110">
        <f>SUM(L54:L62)</f>
        <v>-580</v>
      </c>
      <c r="M63" s="110">
        <f t="shared" ref="M63:O63" si="63">SUM(M54:M62)</f>
        <v>295.00099999999992</v>
      </c>
      <c r="N63" s="170">
        <f>SUM(N54:N62)</f>
        <v>0</v>
      </c>
      <c r="O63" s="110">
        <f t="shared" si="63"/>
        <v>295.00099999999992</v>
      </c>
      <c r="P63" s="111">
        <f>+N63/M63</f>
        <v>0</v>
      </c>
    </row>
  </sheetData>
  <sortState ref="C16:C32">
    <sortCondition ref="C16"/>
  </sortState>
  <mergeCells count="86">
    <mergeCell ref="K23:K24"/>
    <mergeCell ref="L23:L24"/>
    <mergeCell ref="M23:M24"/>
    <mergeCell ref="N23:N24"/>
    <mergeCell ref="O23:O24"/>
    <mergeCell ref="P15:P16"/>
    <mergeCell ref="C17:C18"/>
    <mergeCell ref="K17:K18"/>
    <mergeCell ref="L17:L18"/>
    <mergeCell ref="M17:M18"/>
    <mergeCell ref="N17:N18"/>
    <mergeCell ref="O17:O18"/>
    <mergeCell ref="P17:P18"/>
    <mergeCell ref="K15:K16"/>
    <mergeCell ref="L15:L16"/>
    <mergeCell ref="M15:M16"/>
    <mergeCell ref="N15:N16"/>
    <mergeCell ref="O15:O16"/>
    <mergeCell ref="B5:P6"/>
    <mergeCell ref="B7:P7"/>
    <mergeCell ref="H9:J9"/>
    <mergeCell ref="E9:G9"/>
    <mergeCell ref="C49:C50"/>
    <mergeCell ref="N13:N14"/>
    <mergeCell ref="O13:O14"/>
    <mergeCell ref="P13:P14"/>
    <mergeCell ref="L19:L20"/>
    <mergeCell ref="M19:M20"/>
    <mergeCell ref="N19:N20"/>
    <mergeCell ref="O19:O20"/>
    <mergeCell ref="P19:P20"/>
    <mergeCell ref="L21:L22"/>
    <mergeCell ref="M21:M22"/>
    <mergeCell ref="N21:N22"/>
    <mergeCell ref="C51:C52"/>
    <mergeCell ref="B47:B52"/>
    <mergeCell ref="B11:B26"/>
    <mergeCell ref="C11:C12"/>
    <mergeCell ref="C13:C14"/>
    <mergeCell ref="C19:C20"/>
    <mergeCell ref="C21:C22"/>
    <mergeCell ref="C25:C26"/>
    <mergeCell ref="C15:C16"/>
    <mergeCell ref="C23:C24"/>
    <mergeCell ref="B54:B62"/>
    <mergeCell ref="K9:P9"/>
    <mergeCell ref="K11:K12"/>
    <mergeCell ref="K13:K14"/>
    <mergeCell ref="K19:K20"/>
    <mergeCell ref="K21:K22"/>
    <mergeCell ref="K25:K26"/>
    <mergeCell ref="L11:L12"/>
    <mergeCell ref="M11:M12"/>
    <mergeCell ref="N11:N12"/>
    <mergeCell ref="O11:O12"/>
    <mergeCell ref="P11:P12"/>
    <mergeCell ref="L13:L14"/>
    <mergeCell ref="M13:M14"/>
    <mergeCell ref="B28:B45"/>
    <mergeCell ref="C47:C48"/>
    <mergeCell ref="O21:O22"/>
    <mergeCell ref="P21:P22"/>
    <mergeCell ref="O49:O50"/>
    <mergeCell ref="P49:P50"/>
    <mergeCell ref="L25:L26"/>
    <mergeCell ref="M25:M26"/>
    <mergeCell ref="N25:N26"/>
    <mergeCell ref="O25:O26"/>
    <mergeCell ref="P25:P26"/>
    <mergeCell ref="P23:P24"/>
    <mergeCell ref="N51:N52"/>
    <mergeCell ref="O51:O52"/>
    <mergeCell ref="P51:P52"/>
    <mergeCell ref="K47:K48"/>
    <mergeCell ref="K49:K50"/>
    <mergeCell ref="K51:K52"/>
    <mergeCell ref="L47:L48"/>
    <mergeCell ref="M47:M48"/>
    <mergeCell ref="L51:L52"/>
    <mergeCell ref="M51:M52"/>
    <mergeCell ref="L49:L50"/>
    <mergeCell ref="M49:M50"/>
    <mergeCell ref="N47:N48"/>
    <mergeCell ref="O47:O48"/>
    <mergeCell ref="P47:P48"/>
    <mergeCell ref="N49:N50"/>
  </mergeCells>
  <conditionalFormatting sqref="J11:J62">
    <cfRule type="cellIs" dxfId="3" priority="2" operator="greaterThan">
      <formula>0.9</formula>
    </cfRule>
  </conditionalFormatting>
  <conditionalFormatting sqref="P11:P63">
    <cfRule type="cellIs" dxfId="2" priority="1" operator="greaterThan">
      <formula>0.9</formula>
    </cfRule>
  </conditionalFormatting>
  <pageMargins left="0.7" right="0.7" top="0.75" bottom="0.75" header="0.3" footer="0.3"/>
  <pageSetup paperSize="9" orientation="portrait" r:id="rId1"/>
  <ignoredErrors>
    <ignoredError sqref="G48:G51 G25 M45 M47:M52 M54:M62 M25:M26 M46:O46 M28:M43 M11:M14 G12:G14 M19:M22 G19:G2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275"/>
  <sheetViews>
    <sheetView zoomScale="90" zoomScaleNormal="90" workbookViewId="0">
      <pane ySplit="3" topLeftCell="A4" activePane="bottomLeft" state="frozen"/>
      <selection pane="bottomLeft" activeCell="L7" sqref="L7"/>
    </sheetView>
  </sheetViews>
  <sheetFormatPr baseColWidth="10" defaultRowHeight="15"/>
  <cols>
    <col min="1" max="1" width="4.5703125" customWidth="1"/>
    <col min="2" max="2" width="7.85546875" style="172" customWidth="1"/>
    <col min="3" max="3" width="13.140625" style="172" customWidth="1"/>
    <col min="4" max="5" width="11.42578125" style="171"/>
    <col min="6" max="6" width="19.85546875" style="172" bestFit="1" customWidth="1"/>
    <col min="7" max="7" width="11.42578125" style="172"/>
    <col min="8" max="11" width="11.42578125" style="171"/>
    <col min="12" max="12" width="16.140625" style="171" bestFit="1" customWidth="1"/>
    <col min="13" max="14" width="10" style="171" customWidth="1"/>
    <col min="15" max="15" width="13.42578125" style="171" customWidth="1"/>
    <col min="16" max="16" width="13.5703125" style="171" customWidth="1"/>
    <col min="18" max="18" width="11.42578125" style="103"/>
    <col min="19" max="19" width="15" bestFit="1" customWidth="1"/>
    <col min="20" max="20" width="13.85546875" bestFit="1" customWidth="1"/>
    <col min="21" max="21" width="13" bestFit="1" customWidth="1"/>
    <col min="22" max="22" width="13.85546875" bestFit="1" customWidth="1"/>
    <col min="23" max="23" width="16.42578125" bestFit="1" customWidth="1"/>
  </cols>
  <sheetData>
    <row r="1" spans="2:23" ht="15.75" thickBot="1">
      <c r="B1"/>
      <c r="C1"/>
      <c r="D1" s="117"/>
      <c r="E1" s="117"/>
      <c r="F1"/>
      <c r="G1"/>
      <c r="H1" s="117"/>
      <c r="I1" s="117"/>
      <c r="J1" s="117"/>
      <c r="K1" s="117"/>
      <c r="L1" s="117"/>
      <c r="M1" s="117"/>
      <c r="N1" s="117"/>
      <c r="O1" s="117"/>
      <c r="P1" s="117"/>
    </row>
    <row r="2" spans="2:23" s="103" customFormat="1" ht="15.75" thickBot="1">
      <c r="D2" s="117"/>
      <c r="E2" s="117"/>
      <c r="H2" s="323" t="s">
        <v>152</v>
      </c>
      <c r="I2" s="319"/>
      <c r="J2" s="319"/>
      <c r="K2" s="319"/>
      <c r="L2" s="320"/>
      <c r="M2" s="319" t="s">
        <v>153</v>
      </c>
      <c r="N2" s="319"/>
      <c r="O2" s="319"/>
      <c r="P2" s="320"/>
    </row>
    <row r="3" spans="2:23" ht="15.75" thickBot="1">
      <c r="B3"/>
      <c r="C3"/>
      <c r="D3" s="117"/>
      <c r="E3" s="117"/>
      <c r="F3"/>
      <c r="G3"/>
      <c r="H3" s="168" t="s">
        <v>130</v>
      </c>
      <c r="I3" s="168" t="s">
        <v>131</v>
      </c>
      <c r="J3" s="168" t="s">
        <v>293</v>
      </c>
      <c r="K3" s="168" t="s">
        <v>132</v>
      </c>
      <c r="L3" s="168" t="s">
        <v>133</v>
      </c>
      <c r="M3" s="169" t="s">
        <v>130</v>
      </c>
      <c r="N3" s="169" t="s">
        <v>131</v>
      </c>
      <c r="O3" s="169" t="s">
        <v>132</v>
      </c>
      <c r="P3" s="169" t="s">
        <v>133</v>
      </c>
      <c r="T3" s="321" t="s">
        <v>154</v>
      </c>
      <c r="U3" s="322"/>
      <c r="V3" s="322"/>
      <c r="W3" s="322"/>
    </row>
    <row r="4" spans="2:23" ht="30">
      <c r="B4" s="177" t="s">
        <v>125</v>
      </c>
      <c r="C4" s="178" t="s">
        <v>126</v>
      </c>
      <c r="D4" s="179" t="s">
        <v>127</v>
      </c>
      <c r="E4" s="178" t="s">
        <v>24</v>
      </c>
      <c r="F4" s="178" t="s">
        <v>128</v>
      </c>
      <c r="G4" s="178" t="s">
        <v>129</v>
      </c>
      <c r="H4" s="178" t="s">
        <v>117</v>
      </c>
      <c r="I4" s="178" t="s">
        <v>117</v>
      </c>
      <c r="J4" s="178" t="s">
        <v>117</v>
      </c>
      <c r="K4" s="178" t="s">
        <v>117</v>
      </c>
      <c r="L4" s="178" t="s">
        <v>117</v>
      </c>
      <c r="M4" s="147" t="s">
        <v>118</v>
      </c>
      <c r="N4" s="147" t="s">
        <v>118</v>
      </c>
      <c r="O4" s="147" t="s">
        <v>118</v>
      </c>
      <c r="P4" s="148" t="s">
        <v>118</v>
      </c>
      <c r="T4" s="150" t="s">
        <v>130</v>
      </c>
      <c r="U4" s="150" t="s">
        <v>131</v>
      </c>
      <c r="V4" s="150" t="s">
        <v>132</v>
      </c>
      <c r="W4" s="150" t="s">
        <v>133</v>
      </c>
    </row>
    <row r="5" spans="2:23" ht="15" customHeight="1">
      <c r="B5" s="220" t="s">
        <v>172</v>
      </c>
      <c r="C5" s="221">
        <v>43921</v>
      </c>
      <c r="D5" s="220">
        <v>894</v>
      </c>
      <c r="E5" s="220" t="s">
        <v>146</v>
      </c>
      <c r="F5" s="220" t="s">
        <v>173</v>
      </c>
      <c r="G5" s="220">
        <v>968447</v>
      </c>
      <c r="H5" s="220">
        <v>1559.52</v>
      </c>
      <c r="I5" s="219">
        <v>111.928</v>
      </c>
      <c r="J5" s="219"/>
      <c r="K5" s="220">
        <f>H5-I5</f>
        <v>1447.5920000000001</v>
      </c>
      <c r="L5" s="143">
        <f>I5/H5</f>
        <v>7.177080127218631E-2</v>
      </c>
      <c r="M5" s="220"/>
      <c r="N5" s="220"/>
      <c r="O5" s="220"/>
      <c r="P5" s="220"/>
      <c r="S5" s="151" t="s">
        <v>117</v>
      </c>
      <c r="T5" s="137">
        <f>+H5+H6+H7+H8+H32+H33+H36+H48+H92+H102+H103+H132+H133+H134+H135+H142+H157+H158+H161+H162+H164+H165+H166+H193+H195</f>
        <v>227297.11299999998</v>
      </c>
      <c r="U5" s="137">
        <f>+I5+I6+I7+I8+I9+I10+I11+I12+I13+I14+I15+I16+I17+I18+I19+I20+I21+I22+I32+I33+I34+I35+I36+I37+I38+I39+I40+I41+I42+I43+I44+I46+I48+I49+I50+I51+I52+I53+I54+I55+I56+I57+I58+I59+I60+I61+I62+I63+I64+I65+I66+I67+I68+I69+I70+I71+I72+I73+I74+I75+I76+I77+I78+I79+I80+I81+I82+I83+I84+I85+I86+I87+I88+I89+I92+I93+I94+I95+I96+I97+I98+I99+I100+I101+I102+I103+I104+I105+I106+I107+I108+I109+I110+I111+I112+I113+I114+I115+I116+I117+I118+I119+I120+I121+I122+I123+I124+I126+I125+I127+I128+I129+I130+I131+I132+I133+I134</f>
        <v>112240.58199999997</v>
      </c>
      <c r="V5" s="137">
        <f>+T5-U5</f>
        <v>115056.53100000002</v>
      </c>
      <c r="W5" s="113">
        <f>+U5/T5</f>
        <v>0.49380557684426013</v>
      </c>
    </row>
    <row r="6" spans="2:23" ht="15" customHeight="1">
      <c r="B6" s="220" t="s">
        <v>172</v>
      </c>
      <c r="C6" s="221">
        <v>43921</v>
      </c>
      <c r="D6" s="220">
        <v>895</v>
      </c>
      <c r="E6" s="220" t="s">
        <v>137</v>
      </c>
      <c r="F6" s="220" t="s">
        <v>174</v>
      </c>
      <c r="G6" s="220">
        <v>967544</v>
      </c>
      <c r="H6" s="220">
        <v>3262.6</v>
      </c>
      <c r="I6" s="219">
        <v>3345.3029999999999</v>
      </c>
      <c r="J6" s="219">
        <v>-82.703000000000003</v>
      </c>
      <c r="K6" s="220">
        <f>H6-(I6+J6)</f>
        <v>0</v>
      </c>
      <c r="L6" s="143">
        <v>1</v>
      </c>
      <c r="M6" s="220"/>
      <c r="N6" s="220"/>
      <c r="O6" s="220"/>
      <c r="P6" s="220"/>
      <c r="S6" s="151" t="s">
        <v>140</v>
      </c>
      <c r="T6" s="137">
        <f>M23+M159+M173+M184</f>
        <v>980</v>
      </c>
      <c r="U6" s="137">
        <f>+N35+N37+N69+N146+N151</f>
        <v>0</v>
      </c>
      <c r="V6" s="137">
        <f>+T6-U6</f>
        <v>980</v>
      </c>
      <c r="W6" s="113">
        <f>+U6/T6</f>
        <v>0</v>
      </c>
    </row>
    <row r="7" spans="2:23" ht="15" customHeight="1">
      <c r="B7" s="220" t="s">
        <v>172</v>
      </c>
      <c r="C7" s="221">
        <v>43923</v>
      </c>
      <c r="D7" s="220">
        <v>927</v>
      </c>
      <c r="E7" s="220" t="s">
        <v>137</v>
      </c>
      <c r="F7" s="220" t="s">
        <v>175</v>
      </c>
      <c r="G7" s="220">
        <v>968274</v>
      </c>
      <c r="H7" s="220">
        <v>3262.5949999999998</v>
      </c>
      <c r="I7" s="219">
        <v>853.07399999999996</v>
      </c>
      <c r="J7" s="219"/>
      <c r="K7" s="220">
        <f>H7-I7</f>
        <v>2409.5209999999997</v>
      </c>
      <c r="L7" s="143">
        <f>I7/H7</f>
        <v>0.26147100697450953</v>
      </c>
      <c r="M7" s="220"/>
      <c r="N7" s="220"/>
      <c r="O7" s="220"/>
      <c r="P7" s="220"/>
      <c r="S7" s="151" t="s">
        <v>141</v>
      </c>
      <c r="T7" s="152">
        <f>SUM(T5:T6)</f>
        <v>228277.11299999998</v>
      </c>
      <c r="U7" s="153">
        <f>SUM(U5:U6)</f>
        <v>112240.58199999997</v>
      </c>
      <c r="V7" s="152">
        <f>+T7-U7</f>
        <v>116036.53100000002</v>
      </c>
      <c r="W7" s="154">
        <f>+U7/T7</f>
        <v>0.49168565575822737</v>
      </c>
    </row>
    <row r="8" spans="2:23" ht="15" customHeight="1">
      <c r="B8" s="220" t="s">
        <v>172</v>
      </c>
      <c r="C8" s="221">
        <v>43927</v>
      </c>
      <c r="D8" s="220">
        <v>936</v>
      </c>
      <c r="E8" s="220" t="s">
        <v>12</v>
      </c>
      <c r="F8" s="220" t="s">
        <v>176</v>
      </c>
      <c r="G8" s="220">
        <v>965236</v>
      </c>
      <c r="H8" s="313">
        <v>16600</v>
      </c>
      <c r="I8" s="219">
        <v>1430.383</v>
      </c>
      <c r="J8" s="235"/>
      <c r="K8" s="313">
        <f>H8-(I8+I9+I10+I11+I12+I13+I14+I15+I16+I17+I18+I19+I20+I21+I22)</f>
        <v>3969.2250000000004</v>
      </c>
      <c r="L8" s="315">
        <f>(I8+I9+I10+I11+I12+I13+I14+I15+I16+I17+I18+I19+I20+I21+I22)/H8</f>
        <v>0.76089006024096384</v>
      </c>
      <c r="M8" s="220"/>
      <c r="N8" s="220"/>
      <c r="O8" s="220"/>
      <c r="P8" s="220"/>
    </row>
    <row r="9" spans="2:23" ht="15" customHeight="1">
      <c r="B9" s="220" t="s">
        <v>172</v>
      </c>
      <c r="C9" s="221">
        <v>43927</v>
      </c>
      <c r="D9" s="220">
        <v>936</v>
      </c>
      <c r="E9" s="220" t="s">
        <v>12</v>
      </c>
      <c r="F9" s="220" t="s">
        <v>177</v>
      </c>
      <c r="G9" s="220">
        <v>28034</v>
      </c>
      <c r="H9" s="317"/>
      <c r="I9" s="219">
        <v>117.953</v>
      </c>
      <c r="J9" s="236"/>
      <c r="K9" s="317"/>
      <c r="L9" s="318"/>
      <c r="M9" s="220"/>
      <c r="N9" s="220"/>
      <c r="O9" s="220"/>
      <c r="P9" s="220"/>
    </row>
    <row r="10" spans="2:23" ht="15" customHeight="1">
      <c r="B10" s="220" t="s">
        <v>172</v>
      </c>
      <c r="C10" s="221">
        <v>43927</v>
      </c>
      <c r="D10" s="220">
        <v>936</v>
      </c>
      <c r="E10" s="220" t="s">
        <v>12</v>
      </c>
      <c r="F10" s="220" t="s">
        <v>178</v>
      </c>
      <c r="G10" s="220">
        <v>901588</v>
      </c>
      <c r="H10" s="317"/>
      <c r="I10" s="219">
        <v>980.64800000000002</v>
      </c>
      <c r="J10" s="236"/>
      <c r="K10" s="317"/>
      <c r="L10" s="318"/>
      <c r="M10" s="220"/>
      <c r="N10" s="220"/>
      <c r="O10" s="220"/>
      <c r="P10" s="220"/>
    </row>
    <row r="11" spans="2:23" ht="15" customHeight="1">
      <c r="B11" s="220" t="s">
        <v>172</v>
      </c>
      <c r="C11" s="221">
        <v>43927</v>
      </c>
      <c r="D11" s="220">
        <v>936</v>
      </c>
      <c r="E11" s="220" t="s">
        <v>12</v>
      </c>
      <c r="F11" s="220" t="s">
        <v>179</v>
      </c>
      <c r="G11" s="220">
        <v>966397</v>
      </c>
      <c r="H11" s="317"/>
      <c r="I11" s="219">
        <v>360.267</v>
      </c>
      <c r="J11" s="236"/>
      <c r="K11" s="317"/>
      <c r="L11" s="318"/>
      <c r="M11" s="220"/>
      <c r="N11" s="220"/>
      <c r="O11" s="220"/>
      <c r="P11" s="220"/>
    </row>
    <row r="12" spans="2:23" ht="15" customHeight="1">
      <c r="B12" s="220" t="s">
        <v>172</v>
      </c>
      <c r="C12" s="221">
        <v>43927</v>
      </c>
      <c r="D12" s="220">
        <v>936</v>
      </c>
      <c r="E12" s="220" t="s">
        <v>12</v>
      </c>
      <c r="F12" s="220" t="s">
        <v>169</v>
      </c>
      <c r="G12" s="220">
        <v>964933</v>
      </c>
      <c r="H12" s="317"/>
      <c r="I12" s="219">
        <v>476.50599999999991</v>
      </c>
      <c r="J12" s="236"/>
      <c r="K12" s="317"/>
      <c r="L12" s="318"/>
      <c r="M12" s="220"/>
      <c r="N12" s="220"/>
      <c r="O12" s="220"/>
      <c r="P12" s="220"/>
    </row>
    <row r="13" spans="2:23" ht="15" customHeight="1">
      <c r="B13" s="220" t="s">
        <v>172</v>
      </c>
      <c r="C13" s="221">
        <v>43927</v>
      </c>
      <c r="D13" s="220">
        <v>936</v>
      </c>
      <c r="E13" s="220" t="s">
        <v>12</v>
      </c>
      <c r="F13" s="220" t="s">
        <v>180</v>
      </c>
      <c r="G13" s="220">
        <v>960563</v>
      </c>
      <c r="H13" s="317"/>
      <c r="I13" s="219">
        <v>1573.6619999999998</v>
      </c>
      <c r="J13" s="236"/>
      <c r="K13" s="317"/>
      <c r="L13" s="318"/>
      <c r="M13" s="220"/>
      <c r="N13" s="220"/>
      <c r="O13" s="220"/>
      <c r="P13" s="220"/>
    </row>
    <row r="14" spans="2:23" ht="15" customHeight="1">
      <c r="B14" s="220" t="s">
        <v>172</v>
      </c>
      <c r="C14" s="221">
        <v>43927</v>
      </c>
      <c r="D14" s="220">
        <v>936</v>
      </c>
      <c r="E14" s="220" t="s">
        <v>12</v>
      </c>
      <c r="F14" s="220" t="s">
        <v>181</v>
      </c>
      <c r="G14" s="220">
        <v>960673</v>
      </c>
      <c r="H14" s="317"/>
      <c r="I14" s="219">
        <v>434.78500000000003</v>
      </c>
      <c r="J14" s="236"/>
      <c r="K14" s="317"/>
      <c r="L14" s="318"/>
      <c r="M14" s="220"/>
      <c r="N14" s="220"/>
      <c r="O14" s="220"/>
      <c r="P14" s="220"/>
    </row>
    <row r="15" spans="2:23" ht="15" customHeight="1">
      <c r="B15" s="220" t="s">
        <v>172</v>
      </c>
      <c r="C15" s="221">
        <v>43927</v>
      </c>
      <c r="D15" s="220">
        <v>936</v>
      </c>
      <c r="E15" s="220" t="s">
        <v>12</v>
      </c>
      <c r="F15" s="220" t="s">
        <v>182</v>
      </c>
      <c r="G15" s="220">
        <v>923266</v>
      </c>
      <c r="H15" s="317"/>
      <c r="I15" s="219">
        <v>1437.4489999999998</v>
      </c>
      <c r="J15" s="236"/>
      <c r="K15" s="317"/>
      <c r="L15" s="318"/>
      <c r="M15" s="220"/>
      <c r="N15" s="220"/>
      <c r="O15" s="220"/>
      <c r="P15" s="220"/>
    </row>
    <row r="16" spans="2:23" ht="15" customHeight="1">
      <c r="B16" s="220" t="s">
        <v>172</v>
      </c>
      <c r="C16" s="221">
        <v>43927</v>
      </c>
      <c r="D16" s="220">
        <v>936</v>
      </c>
      <c r="E16" s="220" t="s">
        <v>12</v>
      </c>
      <c r="F16" s="220" t="s">
        <v>183</v>
      </c>
      <c r="G16" s="220">
        <v>957989</v>
      </c>
      <c r="H16" s="317"/>
      <c r="I16" s="219">
        <v>1671.6209999999999</v>
      </c>
      <c r="J16" s="236"/>
      <c r="K16" s="317"/>
      <c r="L16" s="318"/>
      <c r="M16" s="220"/>
      <c r="N16" s="220"/>
      <c r="O16" s="220"/>
      <c r="P16" s="220"/>
    </row>
    <row r="17" spans="2:16" ht="15" customHeight="1">
      <c r="B17" s="220" t="s">
        <v>172</v>
      </c>
      <c r="C17" s="221">
        <v>43927</v>
      </c>
      <c r="D17" s="220">
        <v>936</v>
      </c>
      <c r="E17" s="220" t="s">
        <v>12</v>
      </c>
      <c r="F17" s="220" t="s">
        <v>184</v>
      </c>
      <c r="G17" s="220">
        <v>958708</v>
      </c>
      <c r="H17" s="317"/>
      <c r="I17" s="219">
        <v>365.779</v>
      </c>
      <c r="J17" s="236"/>
      <c r="K17" s="317"/>
      <c r="L17" s="318"/>
      <c r="M17" s="220"/>
      <c r="N17" s="220"/>
      <c r="O17" s="220"/>
      <c r="P17" s="220"/>
    </row>
    <row r="18" spans="2:16" ht="15" customHeight="1">
      <c r="B18" s="220" t="s">
        <v>172</v>
      </c>
      <c r="C18" s="221">
        <v>43927</v>
      </c>
      <c r="D18" s="220">
        <v>936</v>
      </c>
      <c r="E18" s="220" t="s">
        <v>12</v>
      </c>
      <c r="F18" s="220" t="s">
        <v>189</v>
      </c>
      <c r="G18" s="220">
        <v>953023</v>
      </c>
      <c r="H18" s="317"/>
      <c r="I18" s="219">
        <v>124.84700000000001</v>
      </c>
      <c r="J18" s="236"/>
      <c r="K18" s="317"/>
      <c r="L18" s="318"/>
      <c r="M18" s="220"/>
      <c r="N18" s="220"/>
      <c r="O18" s="220"/>
      <c r="P18" s="220"/>
    </row>
    <row r="19" spans="2:16" ht="15" customHeight="1">
      <c r="B19" s="220" t="s">
        <v>172</v>
      </c>
      <c r="C19" s="221">
        <v>43927</v>
      </c>
      <c r="D19" s="220">
        <v>936</v>
      </c>
      <c r="E19" s="220" t="s">
        <v>12</v>
      </c>
      <c r="F19" s="220" t="s">
        <v>185</v>
      </c>
      <c r="G19" s="220">
        <v>923167</v>
      </c>
      <c r="H19" s="317"/>
      <c r="I19" s="219">
        <v>439.46400000000006</v>
      </c>
      <c r="J19" s="236"/>
      <c r="K19" s="317"/>
      <c r="L19" s="318"/>
      <c r="M19" s="220"/>
      <c r="N19" s="220"/>
      <c r="O19" s="220"/>
      <c r="P19" s="220"/>
    </row>
    <row r="20" spans="2:16" ht="15" customHeight="1">
      <c r="B20" s="220" t="s">
        <v>172</v>
      </c>
      <c r="C20" s="221">
        <v>43927</v>
      </c>
      <c r="D20" s="220">
        <v>936</v>
      </c>
      <c r="E20" s="220" t="s">
        <v>12</v>
      </c>
      <c r="F20" s="220" t="s">
        <v>186</v>
      </c>
      <c r="G20" s="220">
        <v>956427</v>
      </c>
      <c r="H20" s="317"/>
      <c r="I20" s="219">
        <v>1062.7560000000001</v>
      </c>
      <c r="J20" s="236"/>
      <c r="K20" s="317"/>
      <c r="L20" s="318"/>
      <c r="M20" s="220"/>
      <c r="N20" s="220"/>
      <c r="O20" s="220"/>
      <c r="P20" s="220"/>
    </row>
    <row r="21" spans="2:16" ht="15" customHeight="1">
      <c r="B21" s="220" t="s">
        <v>172</v>
      </c>
      <c r="C21" s="221">
        <v>43927</v>
      </c>
      <c r="D21" s="220">
        <v>936</v>
      </c>
      <c r="E21" s="220" t="s">
        <v>12</v>
      </c>
      <c r="F21" s="220" t="s">
        <v>187</v>
      </c>
      <c r="G21" s="220">
        <v>950875</v>
      </c>
      <c r="H21" s="317"/>
      <c r="I21" s="219">
        <v>1020.0580000000002</v>
      </c>
      <c r="J21" s="236"/>
      <c r="K21" s="317"/>
      <c r="L21" s="318"/>
      <c r="M21" s="220"/>
      <c r="N21" s="220"/>
      <c r="O21" s="220"/>
      <c r="P21" s="220"/>
    </row>
    <row r="22" spans="2:16" s="103" customFormat="1" ht="15" customHeight="1">
      <c r="B22" s="220" t="s">
        <v>172</v>
      </c>
      <c r="C22" s="221">
        <v>43927</v>
      </c>
      <c r="D22" s="220">
        <v>936</v>
      </c>
      <c r="E22" s="220" t="s">
        <v>12</v>
      </c>
      <c r="F22" s="220" t="s">
        <v>188</v>
      </c>
      <c r="G22" s="220">
        <v>966707</v>
      </c>
      <c r="H22" s="314"/>
      <c r="I22" s="219">
        <v>1134.597</v>
      </c>
      <c r="J22" s="237"/>
      <c r="K22" s="314"/>
      <c r="L22" s="316"/>
      <c r="M22" s="226"/>
      <c r="N22" s="220"/>
      <c r="O22" s="226"/>
      <c r="P22" s="226"/>
    </row>
    <row r="23" spans="2:16" ht="15" customHeight="1">
      <c r="B23" s="220" t="s">
        <v>172</v>
      </c>
      <c r="C23" s="221">
        <v>43937</v>
      </c>
      <c r="D23" s="220">
        <v>1024</v>
      </c>
      <c r="E23" s="220" t="s">
        <v>12</v>
      </c>
      <c r="F23" s="220" t="s">
        <v>177</v>
      </c>
      <c r="G23" s="220">
        <v>28034</v>
      </c>
      <c r="H23" s="220"/>
      <c r="I23" s="220"/>
      <c r="J23" s="220"/>
      <c r="K23" s="220"/>
      <c r="L23" s="143"/>
      <c r="M23" s="313">
        <v>180</v>
      </c>
      <c r="N23" s="220"/>
      <c r="O23" s="313">
        <f>M23-(N23+N24+N25+N26+N27+N28+N29+N30+N31)</f>
        <v>180</v>
      </c>
      <c r="P23" s="315">
        <f>(N23+N24+N25+N26+N27+N28+N29+N30+N31)/M23</f>
        <v>0</v>
      </c>
    </row>
    <row r="24" spans="2:16" ht="15" customHeight="1">
      <c r="B24" s="220" t="s">
        <v>172</v>
      </c>
      <c r="C24" s="221">
        <v>43937</v>
      </c>
      <c r="D24" s="220">
        <v>1024</v>
      </c>
      <c r="E24" s="220" t="s">
        <v>12</v>
      </c>
      <c r="F24" s="220" t="s">
        <v>178</v>
      </c>
      <c r="G24" s="220">
        <v>901588</v>
      </c>
      <c r="H24" s="220"/>
      <c r="I24" s="220"/>
      <c r="J24" s="220"/>
      <c r="K24" s="220"/>
      <c r="L24" s="143"/>
      <c r="M24" s="317"/>
      <c r="N24" s="220"/>
      <c r="O24" s="317"/>
      <c r="P24" s="318"/>
    </row>
    <row r="25" spans="2:16" ht="15" customHeight="1">
      <c r="B25" s="220" t="s">
        <v>172</v>
      </c>
      <c r="C25" s="221">
        <v>43937</v>
      </c>
      <c r="D25" s="220">
        <v>1024</v>
      </c>
      <c r="E25" s="220" t="s">
        <v>12</v>
      </c>
      <c r="F25" s="220" t="s">
        <v>181</v>
      </c>
      <c r="G25" s="220">
        <v>960673</v>
      </c>
      <c r="H25" s="220"/>
      <c r="I25" s="220"/>
      <c r="J25" s="220"/>
      <c r="K25" s="220"/>
      <c r="L25" s="143"/>
      <c r="M25" s="317"/>
      <c r="N25" s="220"/>
      <c r="O25" s="317"/>
      <c r="P25" s="318"/>
    </row>
    <row r="26" spans="2:16" ht="15" customHeight="1">
      <c r="B26" s="220" t="s">
        <v>172</v>
      </c>
      <c r="C26" s="221">
        <v>43937</v>
      </c>
      <c r="D26" s="220">
        <v>1024</v>
      </c>
      <c r="E26" s="220" t="s">
        <v>12</v>
      </c>
      <c r="F26" s="220" t="s">
        <v>182</v>
      </c>
      <c r="G26" s="220">
        <v>923266</v>
      </c>
      <c r="H26" s="220"/>
      <c r="I26" s="220"/>
      <c r="J26" s="220"/>
      <c r="K26" s="220"/>
      <c r="L26" s="143"/>
      <c r="M26" s="317"/>
      <c r="N26" s="220"/>
      <c r="O26" s="317"/>
      <c r="P26" s="318"/>
    </row>
    <row r="27" spans="2:16" ht="15" customHeight="1">
      <c r="B27" s="220" t="s">
        <v>172</v>
      </c>
      <c r="C27" s="221">
        <v>43937</v>
      </c>
      <c r="D27" s="220">
        <v>1024</v>
      </c>
      <c r="E27" s="220" t="s">
        <v>12</v>
      </c>
      <c r="F27" s="220" t="s">
        <v>183</v>
      </c>
      <c r="G27" s="220">
        <v>957989</v>
      </c>
      <c r="H27" s="220"/>
      <c r="I27" s="220"/>
      <c r="J27" s="220"/>
      <c r="K27" s="220"/>
      <c r="L27" s="143"/>
      <c r="M27" s="317"/>
      <c r="N27" s="220"/>
      <c r="O27" s="317"/>
      <c r="P27" s="318"/>
    </row>
    <row r="28" spans="2:16" ht="15" customHeight="1">
      <c r="B28" s="220" t="s">
        <v>172</v>
      </c>
      <c r="C28" s="221">
        <v>43937</v>
      </c>
      <c r="D28" s="220">
        <v>1024</v>
      </c>
      <c r="E28" s="220" t="s">
        <v>12</v>
      </c>
      <c r="F28" s="220" t="s">
        <v>188</v>
      </c>
      <c r="G28" s="220">
        <v>966707</v>
      </c>
      <c r="H28" s="220"/>
      <c r="I28" s="220"/>
      <c r="J28" s="220"/>
      <c r="K28" s="220"/>
      <c r="L28" s="143"/>
      <c r="M28" s="317"/>
      <c r="N28" s="220"/>
      <c r="O28" s="317"/>
      <c r="P28" s="318"/>
    </row>
    <row r="29" spans="2:16" ht="15" customHeight="1">
      <c r="B29" s="220" t="s">
        <v>172</v>
      </c>
      <c r="C29" s="221">
        <v>43937</v>
      </c>
      <c r="D29" s="220">
        <v>1024</v>
      </c>
      <c r="E29" s="220" t="s">
        <v>12</v>
      </c>
      <c r="F29" s="220" t="s">
        <v>189</v>
      </c>
      <c r="G29" s="220">
        <v>953023</v>
      </c>
      <c r="H29" s="220"/>
      <c r="I29" s="220"/>
      <c r="J29" s="220"/>
      <c r="K29" s="220"/>
      <c r="L29" s="143"/>
      <c r="M29" s="317"/>
      <c r="N29" s="220"/>
      <c r="O29" s="317"/>
      <c r="P29" s="318"/>
    </row>
    <row r="30" spans="2:16" ht="15" customHeight="1">
      <c r="B30" s="220" t="s">
        <v>172</v>
      </c>
      <c r="C30" s="221">
        <v>43937</v>
      </c>
      <c r="D30" s="220">
        <v>1024</v>
      </c>
      <c r="E30" s="220" t="s">
        <v>12</v>
      </c>
      <c r="F30" s="220" t="s">
        <v>186</v>
      </c>
      <c r="G30" s="220">
        <v>956427</v>
      </c>
      <c r="H30" s="220"/>
      <c r="I30" s="220"/>
      <c r="J30" s="220"/>
      <c r="K30" s="220"/>
      <c r="L30" s="143"/>
      <c r="M30" s="317"/>
      <c r="N30" s="220"/>
      <c r="O30" s="317"/>
      <c r="P30" s="318"/>
    </row>
    <row r="31" spans="2:16" ht="15" customHeight="1">
      <c r="B31" s="220" t="s">
        <v>172</v>
      </c>
      <c r="C31" s="221">
        <v>43937</v>
      </c>
      <c r="D31" s="220">
        <v>1024</v>
      </c>
      <c r="E31" s="220" t="s">
        <v>12</v>
      </c>
      <c r="F31" s="220" t="s">
        <v>187</v>
      </c>
      <c r="G31" s="220">
        <v>950875</v>
      </c>
      <c r="H31" s="220"/>
      <c r="I31" s="220"/>
      <c r="J31" s="220"/>
      <c r="K31" s="220"/>
      <c r="L31" s="143"/>
      <c r="M31" s="314"/>
      <c r="N31" s="220"/>
      <c r="O31" s="314"/>
      <c r="P31" s="316"/>
    </row>
    <row r="32" spans="2:16" ht="15" customHeight="1">
      <c r="B32" s="220" t="s">
        <v>190</v>
      </c>
      <c r="C32" s="221">
        <v>43920</v>
      </c>
      <c r="D32" s="220">
        <v>4</v>
      </c>
      <c r="E32" s="220" t="s">
        <v>12</v>
      </c>
      <c r="F32" s="220" t="s">
        <v>191</v>
      </c>
      <c r="G32" s="220">
        <v>966095</v>
      </c>
      <c r="H32" s="220">
        <v>200</v>
      </c>
      <c r="I32" s="219">
        <v>193.77199999999999</v>
      </c>
      <c r="J32" s="219"/>
      <c r="K32" s="220">
        <f>H32-I32</f>
        <v>6.2280000000000086</v>
      </c>
      <c r="L32" s="143">
        <f>I32/H32</f>
        <v>0.96885999999999994</v>
      </c>
      <c r="M32" s="220"/>
      <c r="N32" s="220"/>
      <c r="O32" s="220"/>
      <c r="P32" s="220"/>
    </row>
    <row r="33" spans="2:16" ht="15" customHeight="1">
      <c r="B33" s="220" t="s">
        <v>172</v>
      </c>
      <c r="C33" s="221">
        <v>43944</v>
      </c>
      <c r="D33" s="220">
        <v>1083</v>
      </c>
      <c r="E33" s="220" t="s">
        <v>12</v>
      </c>
      <c r="F33" s="220" t="s">
        <v>192</v>
      </c>
      <c r="G33" s="220">
        <v>968704</v>
      </c>
      <c r="H33" s="313">
        <v>1000</v>
      </c>
      <c r="I33" s="219">
        <v>42.914000000000001</v>
      </c>
      <c r="J33" s="235"/>
      <c r="K33" s="313">
        <f>H33-(I33+I34+I35)</f>
        <v>428.13200000000006</v>
      </c>
      <c r="L33" s="315">
        <f>(I33+I34+I35)/H33</f>
        <v>0.57186799999999993</v>
      </c>
      <c r="M33" s="220"/>
      <c r="N33" s="220"/>
      <c r="O33" s="220"/>
      <c r="P33" s="220"/>
    </row>
    <row r="34" spans="2:16" ht="15" customHeight="1">
      <c r="B34" s="220" t="s">
        <v>172</v>
      </c>
      <c r="C34" s="221">
        <v>43944</v>
      </c>
      <c r="D34" s="220">
        <v>1083</v>
      </c>
      <c r="E34" s="220" t="s">
        <v>12</v>
      </c>
      <c r="F34" s="220" t="s">
        <v>193</v>
      </c>
      <c r="G34" s="220">
        <v>957378</v>
      </c>
      <c r="H34" s="317"/>
      <c r="I34" s="219">
        <v>261.03800000000001</v>
      </c>
      <c r="J34" s="236"/>
      <c r="K34" s="317"/>
      <c r="L34" s="318"/>
      <c r="M34" s="220"/>
      <c r="N34" s="220"/>
      <c r="O34" s="220"/>
      <c r="P34" s="220"/>
    </row>
    <row r="35" spans="2:16" ht="15" customHeight="1">
      <c r="B35" s="220" t="s">
        <v>172</v>
      </c>
      <c r="C35" s="221">
        <v>43944</v>
      </c>
      <c r="D35" s="220">
        <v>1083</v>
      </c>
      <c r="E35" s="220" t="s">
        <v>12</v>
      </c>
      <c r="F35" s="220" t="s">
        <v>194</v>
      </c>
      <c r="G35" s="220">
        <v>965267</v>
      </c>
      <c r="H35" s="314"/>
      <c r="I35" s="219">
        <v>267.916</v>
      </c>
      <c r="J35" s="237"/>
      <c r="K35" s="314"/>
      <c r="L35" s="316"/>
      <c r="M35" s="220"/>
      <c r="N35" s="220"/>
      <c r="O35" s="220"/>
      <c r="P35" s="143"/>
    </row>
    <row r="36" spans="2:16" s="103" customFormat="1" ht="15" customHeight="1">
      <c r="B36" s="220" t="s">
        <v>172</v>
      </c>
      <c r="C36" s="221">
        <v>43944</v>
      </c>
      <c r="D36" s="220">
        <v>1081</v>
      </c>
      <c r="E36" s="220" t="s">
        <v>10</v>
      </c>
      <c r="F36" s="225" t="s">
        <v>195</v>
      </c>
      <c r="G36" s="225">
        <v>967226</v>
      </c>
      <c r="H36" s="313">
        <v>40000</v>
      </c>
      <c r="I36" s="219">
        <v>1571.739</v>
      </c>
      <c r="J36" s="235"/>
      <c r="K36" s="313">
        <f>H36-(I36+I37+I38+I39+I40+I41+I42+I43+I44+I45+I46+I47)</f>
        <v>27200.839</v>
      </c>
      <c r="L36" s="315">
        <f>(I36+I37+I38+I39+I40+I41+I42+I43+I44+I45+I46+I47)/H36</f>
        <v>0.31997902500000003</v>
      </c>
      <c r="M36" s="220"/>
      <c r="N36" s="220"/>
      <c r="O36" s="220"/>
      <c r="P36" s="220"/>
    </row>
    <row r="37" spans="2:16" ht="15" customHeight="1">
      <c r="B37" s="220" t="s">
        <v>172</v>
      </c>
      <c r="C37" s="221">
        <v>43944</v>
      </c>
      <c r="D37" s="220">
        <v>1081</v>
      </c>
      <c r="E37" s="220" t="s">
        <v>10</v>
      </c>
      <c r="F37" s="225" t="s">
        <v>196</v>
      </c>
      <c r="G37" s="225">
        <v>967476</v>
      </c>
      <c r="H37" s="317"/>
      <c r="I37" s="219"/>
      <c r="J37" s="236"/>
      <c r="K37" s="317"/>
      <c r="L37" s="318"/>
      <c r="M37" s="220"/>
      <c r="N37" s="220"/>
      <c r="O37" s="220"/>
      <c r="P37" s="222"/>
    </row>
    <row r="38" spans="2:16" ht="15" customHeight="1">
      <c r="B38" s="220" t="s">
        <v>172</v>
      </c>
      <c r="C38" s="221">
        <v>43944</v>
      </c>
      <c r="D38" s="220">
        <v>1081</v>
      </c>
      <c r="E38" s="220" t="s">
        <v>10</v>
      </c>
      <c r="F38" s="225" t="s">
        <v>197</v>
      </c>
      <c r="G38" s="225">
        <v>961948</v>
      </c>
      <c r="H38" s="317"/>
      <c r="I38" s="219">
        <v>1416.105</v>
      </c>
      <c r="J38" s="236"/>
      <c r="K38" s="317"/>
      <c r="L38" s="318"/>
      <c r="M38" s="220"/>
      <c r="N38" s="220"/>
      <c r="O38" s="220"/>
      <c r="P38" s="222"/>
    </row>
    <row r="39" spans="2:16" ht="15" customHeight="1">
      <c r="B39" s="220" t="s">
        <v>172</v>
      </c>
      <c r="C39" s="221">
        <v>43944</v>
      </c>
      <c r="D39" s="220">
        <v>1081</v>
      </c>
      <c r="E39" s="220" t="s">
        <v>10</v>
      </c>
      <c r="F39" s="225" t="s">
        <v>198</v>
      </c>
      <c r="G39" s="225">
        <v>961805</v>
      </c>
      <c r="H39" s="317"/>
      <c r="I39" s="219">
        <v>1767.375</v>
      </c>
      <c r="J39" s="236"/>
      <c r="K39" s="317"/>
      <c r="L39" s="318"/>
      <c r="M39" s="220"/>
      <c r="N39" s="220"/>
      <c r="O39" s="220"/>
      <c r="P39" s="222"/>
    </row>
    <row r="40" spans="2:16" ht="15" customHeight="1">
      <c r="B40" s="220" t="s">
        <v>172</v>
      </c>
      <c r="C40" s="221">
        <v>43944</v>
      </c>
      <c r="D40" s="220">
        <v>1081</v>
      </c>
      <c r="E40" s="220" t="s">
        <v>10</v>
      </c>
      <c r="F40" s="225" t="s">
        <v>199</v>
      </c>
      <c r="G40" s="225">
        <v>968122</v>
      </c>
      <c r="H40" s="317"/>
      <c r="I40" s="219">
        <v>2453.9279999999999</v>
      </c>
      <c r="J40" s="236"/>
      <c r="K40" s="317"/>
      <c r="L40" s="318"/>
      <c r="M40" s="220"/>
      <c r="N40" s="220"/>
      <c r="O40" s="220"/>
      <c r="P40" s="222"/>
    </row>
    <row r="41" spans="2:16" ht="15" customHeight="1">
      <c r="B41" s="220" t="s">
        <v>172</v>
      </c>
      <c r="C41" s="221">
        <v>43944</v>
      </c>
      <c r="D41" s="220">
        <v>1081</v>
      </c>
      <c r="E41" s="220" t="s">
        <v>10</v>
      </c>
      <c r="F41" s="225" t="s">
        <v>200</v>
      </c>
      <c r="G41" s="225">
        <v>919376</v>
      </c>
      <c r="H41" s="317"/>
      <c r="I41" s="219">
        <v>799.52499999999998</v>
      </c>
      <c r="J41" s="236"/>
      <c r="K41" s="317"/>
      <c r="L41" s="318"/>
      <c r="M41" s="220"/>
      <c r="N41" s="220"/>
      <c r="O41" s="220"/>
      <c r="P41" s="222"/>
    </row>
    <row r="42" spans="2:16" ht="15" customHeight="1">
      <c r="B42" s="220" t="s">
        <v>172</v>
      </c>
      <c r="C42" s="221">
        <v>43944</v>
      </c>
      <c r="D42" s="220">
        <v>1081</v>
      </c>
      <c r="E42" s="220" t="s">
        <v>10</v>
      </c>
      <c r="F42" s="225" t="s">
        <v>201</v>
      </c>
      <c r="G42" s="225">
        <v>958248</v>
      </c>
      <c r="H42" s="317"/>
      <c r="I42" s="219">
        <v>1771.22</v>
      </c>
      <c r="J42" s="236"/>
      <c r="K42" s="317"/>
      <c r="L42" s="318"/>
      <c r="M42" s="220"/>
      <c r="N42" s="220"/>
      <c r="O42" s="220"/>
      <c r="P42" s="222"/>
    </row>
    <row r="43" spans="2:16" ht="15" customHeight="1">
      <c r="B43" s="220" t="s">
        <v>172</v>
      </c>
      <c r="C43" s="221">
        <v>43944</v>
      </c>
      <c r="D43" s="220">
        <v>1081</v>
      </c>
      <c r="E43" s="220" t="s">
        <v>10</v>
      </c>
      <c r="F43" s="225" t="s">
        <v>202</v>
      </c>
      <c r="G43" s="225">
        <v>966135</v>
      </c>
      <c r="H43" s="317"/>
      <c r="I43" s="219">
        <v>566.62</v>
      </c>
      <c r="J43" s="236"/>
      <c r="K43" s="317"/>
      <c r="L43" s="318"/>
      <c r="M43" s="220"/>
      <c r="N43" s="220"/>
      <c r="O43" s="220"/>
      <c r="P43" s="222"/>
    </row>
    <row r="44" spans="2:16" ht="15" customHeight="1">
      <c r="B44" s="220" t="s">
        <v>172</v>
      </c>
      <c r="C44" s="221">
        <v>43944</v>
      </c>
      <c r="D44" s="220">
        <v>1081</v>
      </c>
      <c r="E44" s="220" t="s">
        <v>10</v>
      </c>
      <c r="F44" s="225" t="s">
        <v>203</v>
      </c>
      <c r="G44" s="225">
        <v>1546</v>
      </c>
      <c r="H44" s="317"/>
      <c r="I44" s="219">
        <v>727.54499999999996</v>
      </c>
      <c r="J44" s="236"/>
      <c r="K44" s="317"/>
      <c r="L44" s="318"/>
      <c r="M44" s="220"/>
      <c r="N44" s="220"/>
      <c r="O44" s="220"/>
      <c r="P44" s="222"/>
    </row>
    <row r="45" spans="2:16" s="103" customFormat="1" ht="15" customHeight="1">
      <c r="B45" s="220" t="s">
        <v>172</v>
      </c>
      <c r="C45" s="221">
        <v>43944</v>
      </c>
      <c r="D45" s="220">
        <v>1081</v>
      </c>
      <c r="E45" s="220" t="s">
        <v>10</v>
      </c>
      <c r="F45" s="225" t="s">
        <v>203</v>
      </c>
      <c r="G45" s="225">
        <v>969234</v>
      </c>
      <c r="H45" s="317"/>
      <c r="I45" s="219"/>
      <c r="J45" s="236"/>
      <c r="K45" s="317"/>
      <c r="L45" s="318"/>
      <c r="M45" s="220"/>
      <c r="N45" s="220"/>
      <c r="O45" s="220"/>
      <c r="P45" s="222"/>
    </row>
    <row r="46" spans="2:16" ht="15" customHeight="1">
      <c r="B46" s="220" t="s">
        <v>172</v>
      </c>
      <c r="C46" s="221">
        <v>43944</v>
      </c>
      <c r="D46" s="220">
        <v>1081</v>
      </c>
      <c r="E46" s="220" t="s">
        <v>10</v>
      </c>
      <c r="F46" s="225" t="s">
        <v>204</v>
      </c>
      <c r="G46" s="225">
        <v>968156</v>
      </c>
      <c r="H46" s="317"/>
      <c r="I46" s="219">
        <v>1688.6189999999999</v>
      </c>
      <c r="J46" s="236"/>
      <c r="K46" s="317"/>
      <c r="L46" s="318"/>
      <c r="M46" s="220"/>
      <c r="N46" s="220"/>
      <c r="O46" s="220"/>
      <c r="P46" s="222"/>
    </row>
    <row r="47" spans="2:16" s="103" customFormat="1" ht="15" customHeight="1">
      <c r="B47" s="220" t="s">
        <v>172</v>
      </c>
      <c r="C47" s="221">
        <v>43944</v>
      </c>
      <c r="D47" s="220">
        <v>1081</v>
      </c>
      <c r="E47" s="220" t="s">
        <v>10</v>
      </c>
      <c r="F47" s="225" t="s">
        <v>287</v>
      </c>
      <c r="G47" s="225">
        <v>968960</v>
      </c>
      <c r="H47" s="314"/>
      <c r="I47" s="219">
        <v>36.484999999999999</v>
      </c>
      <c r="J47" s="237"/>
      <c r="K47" s="314"/>
      <c r="L47" s="316"/>
      <c r="M47" s="220"/>
      <c r="N47" s="220"/>
      <c r="O47" s="220"/>
      <c r="P47" s="222"/>
    </row>
    <row r="48" spans="2:16" ht="15" customHeight="1">
      <c r="B48" s="220" t="s">
        <v>172</v>
      </c>
      <c r="C48" s="221">
        <v>43944</v>
      </c>
      <c r="D48" s="220">
        <v>1084</v>
      </c>
      <c r="E48" s="220" t="s">
        <v>137</v>
      </c>
      <c r="F48" s="220" t="s">
        <v>205</v>
      </c>
      <c r="G48" s="220">
        <v>968463</v>
      </c>
      <c r="H48" s="313">
        <v>80000</v>
      </c>
      <c r="I48" s="219">
        <v>550.61799999999994</v>
      </c>
      <c r="J48" s="235"/>
      <c r="K48" s="313">
        <f>H48-(I48+I49+I50+I51+I52+I53+I54+I55+I56+I57+I58+I59+I60+I61+I62+I63+I64+I65+I66+I67+I68+I69+I70+I71+I72+I73+I74+I75+I76+I77+I78+I79+I80+I81+I82+I83+I84+I85+I86+I87+I88+I89+I90+I91)</f>
        <v>21281.701000000001</v>
      </c>
      <c r="L48" s="315">
        <f>(I48+I49+I50+I51+I52+I53+I54+I55+I56+I57+I58+I59+I60+I61+I62+I63+I64+I65+I66+I67+I68+I69+I70+I71+I72+I73+I74+I75+I76+I77+I78+I79+I80+I81+I82+I83+I84+I85+I86+I87+I88+I89+I90+I91)/H48</f>
        <v>0.73397873749999998</v>
      </c>
      <c r="M48" s="220"/>
      <c r="N48" s="220"/>
      <c r="O48" s="220"/>
      <c r="P48" s="222"/>
    </row>
    <row r="49" spans="2:16" ht="15" customHeight="1">
      <c r="B49" s="220" t="s">
        <v>172</v>
      </c>
      <c r="C49" s="221">
        <v>43944</v>
      </c>
      <c r="D49" s="220">
        <v>1084</v>
      </c>
      <c r="E49" s="220" t="s">
        <v>137</v>
      </c>
      <c r="F49" s="220" t="s">
        <v>206</v>
      </c>
      <c r="G49" s="220">
        <v>965747</v>
      </c>
      <c r="H49" s="317"/>
      <c r="I49" s="219">
        <v>2135.9350000000004</v>
      </c>
      <c r="J49" s="236"/>
      <c r="K49" s="317"/>
      <c r="L49" s="318"/>
      <c r="M49" s="220"/>
      <c r="N49" s="220"/>
      <c r="O49" s="220"/>
      <c r="P49" s="222"/>
    </row>
    <row r="50" spans="2:16" ht="15" customHeight="1">
      <c r="B50" s="220" t="s">
        <v>172</v>
      </c>
      <c r="C50" s="221">
        <v>43944</v>
      </c>
      <c r="D50" s="220">
        <v>1084</v>
      </c>
      <c r="E50" s="220" t="s">
        <v>137</v>
      </c>
      <c r="F50" s="220" t="s">
        <v>207</v>
      </c>
      <c r="G50" s="220">
        <v>913587</v>
      </c>
      <c r="H50" s="317"/>
      <c r="I50" s="219">
        <v>569.85500000000013</v>
      </c>
      <c r="J50" s="236"/>
      <c r="K50" s="317"/>
      <c r="L50" s="318"/>
      <c r="M50" s="220"/>
      <c r="N50" s="220"/>
      <c r="O50" s="220"/>
      <c r="P50" s="222"/>
    </row>
    <row r="51" spans="2:16" ht="15" customHeight="1">
      <c r="B51" s="220" t="s">
        <v>172</v>
      </c>
      <c r="C51" s="221">
        <v>43944</v>
      </c>
      <c r="D51" s="220">
        <v>1084</v>
      </c>
      <c r="E51" s="220" t="s">
        <v>137</v>
      </c>
      <c r="F51" s="220" t="s">
        <v>208</v>
      </c>
      <c r="G51" s="220">
        <v>956794</v>
      </c>
      <c r="H51" s="317"/>
      <c r="I51" s="219">
        <v>3554.4739999999988</v>
      </c>
      <c r="J51" s="236"/>
      <c r="K51" s="317"/>
      <c r="L51" s="318"/>
      <c r="M51" s="220"/>
      <c r="N51" s="220"/>
      <c r="O51" s="220"/>
      <c r="P51" s="222"/>
    </row>
    <row r="52" spans="2:16" ht="15" customHeight="1">
      <c r="B52" s="220" t="s">
        <v>172</v>
      </c>
      <c r="C52" s="221">
        <v>43944</v>
      </c>
      <c r="D52" s="220">
        <v>1084</v>
      </c>
      <c r="E52" s="220" t="s">
        <v>137</v>
      </c>
      <c r="F52" s="220" t="s">
        <v>209</v>
      </c>
      <c r="G52" s="220">
        <v>913594</v>
      </c>
      <c r="H52" s="317"/>
      <c r="I52" s="219">
        <v>635.5709999999998</v>
      </c>
      <c r="J52" s="236"/>
      <c r="K52" s="317"/>
      <c r="L52" s="318"/>
      <c r="M52" s="220"/>
      <c r="N52" s="220"/>
      <c r="O52" s="220"/>
      <c r="P52" s="222"/>
    </row>
    <row r="53" spans="2:16" ht="15" customHeight="1">
      <c r="B53" s="220" t="s">
        <v>172</v>
      </c>
      <c r="C53" s="221">
        <v>43944</v>
      </c>
      <c r="D53" s="220">
        <v>1084</v>
      </c>
      <c r="E53" s="220" t="s">
        <v>137</v>
      </c>
      <c r="F53" s="220" t="s">
        <v>175</v>
      </c>
      <c r="G53" s="220">
        <v>968274</v>
      </c>
      <c r="H53" s="317"/>
      <c r="I53" s="219">
        <v>1752.462</v>
      </c>
      <c r="J53" s="236"/>
      <c r="K53" s="317"/>
      <c r="L53" s="318"/>
      <c r="M53" s="220"/>
      <c r="N53" s="220"/>
      <c r="O53" s="220"/>
      <c r="P53" s="220"/>
    </row>
    <row r="54" spans="2:16" ht="15" customHeight="1">
      <c r="B54" s="220" t="s">
        <v>172</v>
      </c>
      <c r="C54" s="221">
        <v>43944</v>
      </c>
      <c r="D54" s="220">
        <v>1084</v>
      </c>
      <c r="E54" s="220" t="s">
        <v>137</v>
      </c>
      <c r="F54" s="220" t="s">
        <v>210</v>
      </c>
      <c r="G54" s="220">
        <v>963544</v>
      </c>
      <c r="H54" s="317"/>
      <c r="I54" s="219">
        <v>2269.309999999999</v>
      </c>
      <c r="J54" s="236"/>
      <c r="K54" s="317"/>
      <c r="L54" s="318"/>
      <c r="M54" s="220"/>
      <c r="N54" s="220"/>
      <c r="O54" s="220"/>
      <c r="P54" s="220"/>
    </row>
    <row r="55" spans="2:16" ht="15" customHeight="1">
      <c r="B55" s="220" t="s">
        <v>172</v>
      </c>
      <c r="C55" s="221">
        <v>43944</v>
      </c>
      <c r="D55" s="220">
        <v>1084</v>
      </c>
      <c r="E55" s="220" t="s">
        <v>137</v>
      </c>
      <c r="F55" s="220" t="s">
        <v>211</v>
      </c>
      <c r="G55" s="220">
        <v>963409</v>
      </c>
      <c r="H55" s="317"/>
      <c r="I55" s="219">
        <v>1696.336</v>
      </c>
      <c r="J55" s="236"/>
      <c r="K55" s="317"/>
      <c r="L55" s="318"/>
      <c r="M55" s="220"/>
      <c r="N55" s="220"/>
      <c r="O55" s="220"/>
      <c r="P55" s="220"/>
    </row>
    <row r="56" spans="2:16" ht="15" customHeight="1">
      <c r="B56" s="220" t="s">
        <v>172</v>
      </c>
      <c r="C56" s="221">
        <v>43944</v>
      </c>
      <c r="D56" s="220">
        <v>1084</v>
      </c>
      <c r="E56" s="220" t="s">
        <v>137</v>
      </c>
      <c r="F56" s="220" t="s">
        <v>212</v>
      </c>
      <c r="G56" s="220">
        <v>966363</v>
      </c>
      <c r="H56" s="317"/>
      <c r="I56" s="219">
        <v>1085.5029999999999</v>
      </c>
      <c r="J56" s="236"/>
      <c r="K56" s="317"/>
      <c r="L56" s="318"/>
      <c r="M56" s="220"/>
      <c r="N56" s="220"/>
      <c r="O56" s="220"/>
      <c r="P56" s="220"/>
    </row>
    <row r="57" spans="2:16" ht="15" customHeight="1">
      <c r="B57" s="220" t="s">
        <v>172</v>
      </c>
      <c r="C57" s="221">
        <v>43944</v>
      </c>
      <c r="D57" s="220">
        <v>1084</v>
      </c>
      <c r="E57" s="220" t="s">
        <v>137</v>
      </c>
      <c r="F57" s="220" t="s">
        <v>213</v>
      </c>
      <c r="G57" s="220">
        <v>965738</v>
      </c>
      <c r="H57" s="317"/>
      <c r="I57" s="219">
        <v>1653.7750000000001</v>
      </c>
      <c r="J57" s="236"/>
      <c r="K57" s="317"/>
      <c r="L57" s="318"/>
      <c r="M57" s="220"/>
      <c r="N57" s="220"/>
      <c r="O57" s="220"/>
      <c r="P57" s="220"/>
    </row>
    <row r="58" spans="2:16" ht="15" customHeight="1">
      <c r="B58" s="220" t="s">
        <v>172</v>
      </c>
      <c r="C58" s="221">
        <v>43944</v>
      </c>
      <c r="D58" s="220">
        <v>1084</v>
      </c>
      <c r="E58" s="220" t="s">
        <v>137</v>
      </c>
      <c r="F58" s="220" t="s">
        <v>214</v>
      </c>
      <c r="G58" s="220">
        <v>955856</v>
      </c>
      <c r="H58" s="317"/>
      <c r="I58" s="219">
        <v>1585.8879999999999</v>
      </c>
      <c r="J58" s="236"/>
      <c r="K58" s="317"/>
      <c r="L58" s="318"/>
      <c r="M58" s="220"/>
      <c r="N58" s="220"/>
      <c r="O58" s="220"/>
      <c r="P58" s="220"/>
    </row>
    <row r="59" spans="2:16" ht="15" customHeight="1">
      <c r="B59" s="220" t="s">
        <v>172</v>
      </c>
      <c r="C59" s="221">
        <v>43944</v>
      </c>
      <c r="D59" s="220">
        <v>1084</v>
      </c>
      <c r="E59" s="220" t="s">
        <v>137</v>
      </c>
      <c r="F59" s="220" t="s">
        <v>215</v>
      </c>
      <c r="G59" s="220">
        <v>960891</v>
      </c>
      <c r="H59" s="317"/>
      <c r="I59" s="219">
        <v>901.14499999999998</v>
      </c>
      <c r="J59" s="236"/>
      <c r="K59" s="317"/>
      <c r="L59" s="318"/>
      <c r="M59" s="220"/>
      <c r="N59" s="220"/>
      <c r="O59" s="220"/>
      <c r="P59" s="220"/>
    </row>
    <row r="60" spans="2:16" ht="15" customHeight="1">
      <c r="B60" s="220" t="s">
        <v>172</v>
      </c>
      <c r="C60" s="221">
        <v>43944</v>
      </c>
      <c r="D60" s="220">
        <v>1084</v>
      </c>
      <c r="E60" s="220" t="s">
        <v>137</v>
      </c>
      <c r="F60" s="220" t="s">
        <v>216</v>
      </c>
      <c r="G60" s="220">
        <v>965576</v>
      </c>
      <c r="H60" s="317"/>
      <c r="I60" s="219">
        <v>0</v>
      </c>
      <c r="J60" s="236"/>
      <c r="K60" s="317"/>
      <c r="L60" s="318"/>
      <c r="M60" s="220"/>
      <c r="N60" s="220"/>
      <c r="O60" s="220"/>
      <c r="P60" s="220"/>
    </row>
    <row r="61" spans="2:16" ht="15" customHeight="1">
      <c r="B61" s="220" t="s">
        <v>172</v>
      </c>
      <c r="C61" s="221">
        <v>43944</v>
      </c>
      <c r="D61" s="220">
        <v>1084</v>
      </c>
      <c r="E61" s="220" t="s">
        <v>137</v>
      </c>
      <c r="F61" s="220" t="s">
        <v>217</v>
      </c>
      <c r="G61" s="220">
        <v>964506</v>
      </c>
      <c r="H61" s="317"/>
      <c r="I61" s="219">
        <v>406.75</v>
      </c>
      <c r="J61" s="236"/>
      <c r="K61" s="317"/>
      <c r="L61" s="318"/>
      <c r="M61" s="220"/>
      <c r="N61" s="220"/>
      <c r="O61" s="220"/>
      <c r="P61" s="220"/>
    </row>
    <row r="62" spans="2:16" s="103" customFormat="1" ht="15" customHeight="1">
      <c r="B62" s="220" t="s">
        <v>172</v>
      </c>
      <c r="C62" s="221">
        <v>43944</v>
      </c>
      <c r="D62" s="220">
        <v>1084</v>
      </c>
      <c r="E62" s="220" t="s">
        <v>146</v>
      </c>
      <c r="F62" s="220" t="s">
        <v>218</v>
      </c>
      <c r="G62" s="220">
        <v>35115</v>
      </c>
      <c r="H62" s="317"/>
      <c r="I62" s="219">
        <v>234.44699999999997</v>
      </c>
      <c r="J62" s="236"/>
      <c r="K62" s="317"/>
      <c r="L62" s="318"/>
      <c r="M62" s="220"/>
      <c r="N62" s="220"/>
      <c r="O62" s="220"/>
      <c r="P62" s="220"/>
    </row>
    <row r="63" spans="2:16" ht="15" customHeight="1">
      <c r="B63" s="220" t="s">
        <v>172</v>
      </c>
      <c r="C63" s="221">
        <v>43944</v>
      </c>
      <c r="D63" s="220">
        <v>1084</v>
      </c>
      <c r="E63" s="220" t="s">
        <v>137</v>
      </c>
      <c r="F63" s="220" t="s">
        <v>219</v>
      </c>
      <c r="G63" s="220">
        <v>967834</v>
      </c>
      <c r="H63" s="317"/>
      <c r="I63" s="219">
        <v>1283.4059999999997</v>
      </c>
      <c r="J63" s="236"/>
      <c r="K63" s="317"/>
      <c r="L63" s="318"/>
      <c r="M63" s="220"/>
      <c r="N63" s="220"/>
      <c r="O63" s="220"/>
      <c r="P63" s="220"/>
    </row>
    <row r="64" spans="2:16" ht="15" customHeight="1">
      <c r="B64" s="220" t="s">
        <v>172</v>
      </c>
      <c r="C64" s="221">
        <v>43944</v>
      </c>
      <c r="D64" s="220">
        <v>1084</v>
      </c>
      <c r="E64" s="220" t="s">
        <v>137</v>
      </c>
      <c r="F64" s="220" t="s">
        <v>220</v>
      </c>
      <c r="G64" s="220">
        <v>966916</v>
      </c>
      <c r="H64" s="317"/>
      <c r="I64" s="219">
        <v>2002.4050000000002</v>
      </c>
      <c r="J64" s="236"/>
      <c r="K64" s="317"/>
      <c r="L64" s="318"/>
      <c r="M64" s="220"/>
      <c r="N64" s="220"/>
      <c r="O64" s="220"/>
      <c r="P64" s="220"/>
    </row>
    <row r="65" spans="2:16" ht="15" customHeight="1">
      <c r="B65" s="220" t="s">
        <v>172</v>
      </c>
      <c r="C65" s="221">
        <v>43944</v>
      </c>
      <c r="D65" s="220">
        <v>1084</v>
      </c>
      <c r="E65" s="220" t="s">
        <v>137</v>
      </c>
      <c r="F65" s="220" t="s">
        <v>221</v>
      </c>
      <c r="G65" s="220">
        <v>956524</v>
      </c>
      <c r="H65" s="317"/>
      <c r="I65" s="219">
        <v>692.84000000000015</v>
      </c>
      <c r="J65" s="236"/>
      <c r="K65" s="317"/>
      <c r="L65" s="318"/>
      <c r="M65" s="220"/>
      <c r="N65" s="220"/>
      <c r="O65" s="220"/>
      <c r="P65" s="220"/>
    </row>
    <row r="66" spans="2:16" ht="15" customHeight="1">
      <c r="B66" s="220" t="s">
        <v>172</v>
      </c>
      <c r="C66" s="221">
        <v>43944</v>
      </c>
      <c r="D66" s="220">
        <v>1084</v>
      </c>
      <c r="E66" s="220" t="s">
        <v>146</v>
      </c>
      <c r="F66" s="220" t="s">
        <v>173</v>
      </c>
      <c r="G66" s="220">
        <v>968447</v>
      </c>
      <c r="H66" s="317"/>
      <c r="I66" s="219">
        <v>1503.7910000000002</v>
      </c>
      <c r="J66" s="236"/>
      <c r="K66" s="317"/>
      <c r="L66" s="318"/>
      <c r="M66" s="220"/>
      <c r="N66" s="220"/>
      <c r="O66" s="220"/>
      <c r="P66" s="220"/>
    </row>
    <row r="67" spans="2:16" ht="15" customHeight="1">
      <c r="B67" s="220" t="s">
        <v>172</v>
      </c>
      <c r="C67" s="221">
        <v>43944</v>
      </c>
      <c r="D67" s="220">
        <v>1084</v>
      </c>
      <c r="E67" s="220" t="s">
        <v>137</v>
      </c>
      <c r="F67" s="220" t="s">
        <v>222</v>
      </c>
      <c r="G67" s="220">
        <v>952279</v>
      </c>
      <c r="H67" s="317"/>
      <c r="I67" s="219">
        <v>1745.57</v>
      </c>
      <c r="J67" s="236"/>
      <c r="K67" s="317"/>
      <c r="L67" s="318"/>
      <c r="M67" s="220"/>
      <c r="N67" s="220"/>
      <c r="O67" s="220"/>
      <c r="P67" s="220"/>
    </row>
    <row r="68" spans="2:16" ht="15" customHeight="1">
      <c r="B68" s="220" t="s">
        <v>172</v>
      </c>
      <c r="C68" s="221">
        <v>43944</v>
      </c>
      <c r="D68" s="220">
        <v>1084</v>
      </c>
      <c r="E68" s="220" t="s">
        <v>137</v>
      </c>
      <c r="F68" s="220" t="s">
        <v>223</v>
      </c>
      <c r="G68" s="220">
        <v>964906</v>
      </c>
      <c r="H68" s="317"/>
      <c r="I68" s="219">
        <v>796.20699999999999</v>
      </c>
      <c r="J68" s="236"/>
      <c r="K68" s="317"/>
      <c r="L68" s="318"/>
      <c r="M68" s="220"/>
      <c r="N68" s="220"/>
      <c r="O68" s="220"/>
      <c r="P68" s="220"/>
    </row>
    <row r="69" spans="2:16" ht="15" customHeight="1">
      <c r="B69" s="220" t="s">
        <v>172</v>
      </c>
      <c r="C69" s="221">
        <v>43944</v>
      </c>
      <c r="D69" s="220">
        <v>1084</v>
      </c>
      <c r="E69" s="220" t="s">
        <v>137</v>
      </c>
      <c r="F69" s="220" t="s">
        <v>224</v>
      </c>
      <c r="G69" s="220">
        <v>961261</v>
      </c>
      <c r="H69" s="317"/>
      <c r="I69" s="219">
        <v>2168.6750000000002</v>
      </c>
      <c r="J69" s="236"/>
      <c r="K69" s="317"/>
      <c r="L69" s="318"/>
      <c r="M69" s="220"/>
      <c r="N69" s="220"/>
      <c r="O69" s="220"/>
      <c r="P69" s="143"/>
    </row>
    <row r="70" spans="2:16" ht="15" customHeight="1">
      <c r="B70" s="220" t="s">
        <v>172</v>
      </c>
      <c r="C70" s="221">
        <v>43944</v>
      </c>
      <c r="D70" s="220">
        <v>1084</v>
      </c>
      <c r="E70" s="220" t="s">
        <v>137</v>
      </c>
      <c r="F70" s="220" t="s">
        <v>225</v>
      </c>
      <c r="G70" s="220">
        <v>962880</v>
      </c>
      <c r="H70" s="317"/>
      <c r="I70" s="219">
        <v>2089.384</v>
      </c>
      <c r="J70" s="236"/>
      <c r="K70" s="317"/>
      <c r="L70" s="318"/>
      <c r="M70" s="220"/>
      <c r="N70" s="220"/>
      <c r="O70" s="220"/>
      <c r="P70" s="220"/>
    </row>
    <row r="71" spans="2:16" ht="15" customHeight="1">
      <c r="B71" s="220" t="s">
        <v>172</v>
      </c>
      <c r="C71" s="221">
        <v>43944</v>
      </c>
      <c r="D71" s="220">
        <v>1084</v>
      </c>
      <c r="E71" s="220" t="s">
        <v>137</v>
      </c>
      <c r="F71" s="220" t="s">
        <v>226</v>
      </c>
      <c r="G71" s="220">
        <v>966010</v>
      </c>
      <c r="H71" s="317"/>
      <c r="I71" s="219">
        <v>1442.53</v>
      </c>
      <c r="J71" s="236"/>
      <c r="K71" s="317"/>
      <c r="L71" s="318"/>
      <c r="M71" s="220"/>
      <c r="N71" s="220"/>
      <c r="O71" s="220"/>
      <c r="P71" s="220"/>
    </row>
    <row r="72" spans="2:16" ht="15" customHeight="1">
      <c r="B72" s="220" t="s">
        <v>172</v>
      </c>
      <c r="C72" s="221">
        <v>43944</v>
      </c>
      <c r="D72" s="220">
        <v>1084</v>
      </c>
      <c r="E72" s="220" t="s">
        <v>137</v>
      </c>
      <c r="F72" s="220" t="s">
        <v>227</v>
      </c>
      <c r="G72" s="220">
        <v>913564</v>
      </c>
      <c r="H72" s="317"/>
      <c r="I72" s="219">
        <v>939.11099999999999</v>
      </c>
      <c r="J72" s="236"/>
      <c r="K72" s="317"/>
      <c r="L72" s="318"/>
      <c r="M72" s="220"/>
      <c r="N72" s="220"/>
      <c r="O72" s="220"/>
      <c r="P72" s="220"/>
    </row>
    <row r="73" spans="2:16" ht="15" customHeight="1">
      <c r="B73" s="220" t="s">
        <v>172</v>
      </c>
      <c r="C73" s="221">
        <v>43944</v>
      </c>
      <c r="D73" s="220">
        <v>1084</v>
      </c>
      <c r="E73" s="220" t="s">
        <v>137</v>
      </c>
      <c r="F73" s="220" t="s">
        <v>228</v>
      </c>
      <c r="G73" s="220">
        <v>968293</v>
      </c>
      <c r="H73" s="317"/>
      <c r="I73" s="219">
        <v>1895.4250000000004</v>
      </c>
      <c r="J73" s="236"/>
      <c r="K73" s="317"/>
      <c r="L73" s="318"/>
      <c r="M73" s="220"/>
      <c r="N73" s="220"/>
      <c r="O73" s="220"/>
      <c r="P73" s="220"/>
    </row>
    <row r="74" spans="2:16" ht="15" customHeight="1">
      <c r="B74" s="220" t="s">
        <v>172</v>
      </c>
      <c r="C74" s="221">
        <v>43944</v>
      </c>
      <c r="D74" s="220">
        <v>1084</v>
      </c>
      <c r="E74" s="220" t="s">
        <v>137</v>
      </c>
      <c r="F74" s="220" t="s">
        <v>229</v>
      </c>
      <c r="G74" s="220">
        <v>964503</v>
      </c>
      <c r="H74" s="317"/>
      <c r="I74" s="219">
        <v>2037.6880000000003</v>
      </c>
      <c r="J74" s="236"/>
      <c r="K74" s="317"/>
      <c r="L74" s="318"/>
      <c r="M74" s="220"/>
      <c r="N74" s="220"/>
      <c r="O74" s="220"/>
      <c r="P74" s="220"/>
    </row>
    <row r="75" spans="2:16" ht="15" customHeight="1">
      <c r="B75" s="220" t="s">
        <v>172</v>
      </c>
      <c r="C75" s="221">
        <v>43944</v>
      </c>
      <c r="D75" s="220">
        <v>1084</v>
      </c>
      <c r="E75" s="220" t="s">
        <v>137</v>
      </c>
      <c r="F75" s="220" t="s">
        <v>230</v>
      </c>
      <c r="G75" s="220">
        <v>913590</v>
      </c>
      <c r="H75" s="317"/>
      <c r="I75" s="219">
        <v>654.84800000000007</v>
      </c>
      <c r="J75" s="236"/>
      <c r="K75" s="317"/>
      <c r="L75" s="318"/>
      <c r="M75" s="220"/>
      <c r="N75" s="220"/>
      <c r="O75" s="220"/>
      <c r="P75" s="220"/>
    </row>
    <row r="76" spans="2:16" ht="15" customHeight="1">
      <c r="B76" s="220" t="s">
        <v>172</v>
      </c>
      <c r="C76" s="221">
        <v>43944</v>
      </c>
      <c r="D76" s="220">
        <v>1084</v>
      </c>
      <c r="E76" s="220" t="s">
        <v>137</v>
      </c>
      <c r="F76" s="220" t="s">
        <v>231</v>
      </c>
      <c r="G76" s="220">
        <v>952277</v>
      </c>
      <c r="H76" s="317"/>
      <c r="I76" s="219">
        <v>911.67499999999995</v>
      </c>
      <c r="J76" s="236"/>
      <c r="K76" s="317"/>
      <c r="L76" s="318"/>
      <c r="M76" s="220"/>
      <c r="N76" s="220"/>
      <c r="O76" s="220"/>
      <c r="P76" s="220"/>
    </row>
    <row r="77" spans="2:16" ht="15" customHeight="1">
      <c r="B77" s="220" t="s">
        <v>172</v>
      </c>
      <c r="C77" s="221">
        <v>43944</v>
      </c>
      <c r="D77" s="220">
        <v>1084</v>
      </c>
      <c r="E77" s="220" t="s">
        <v>137</v>
      </c>
      <c r="F77" s="220" t="s">
        <v>232</v>
      </c>
      <c r="G77" s="220">
        <v>914147</v>
      </c>
      <c r="H77" s="317"/>
      <c r="I77" s="219">
        <v>1222.76</v>
      </c>
      <c r="J77" s="236"/>
      <c r="K77" s="317"/>
      <c r="L77" s="318"/>
      <c r="M77" s="220"/>
      <c r="N77" s="220"/>
      <c r="O77" s="220"/>
      <c r="P77" s="220"/>
    </row>
    <row r="78" spans="2:16" ht="15" customHeight="1">
      <c r="B78" s="220" t="s">
        <v>172</v>
      </c>
      <c r="C78" s="221">
        <v>43944</v>
      </c>
      <c r="D78" s="220">
        <v>1084</v>
      </c>
      <c r="E78" s="220" t="s">
        <v>137</v>
      </c>
      <c r="F78" s="220" t="s">
        <v>233</v>
      </c>
      <c r="G78" s="220">
        <v>960140</v>
      </c>
      <c r="H78" s="317"/>
      <c r="I78" s="219">
        <v>2721.3830000000003</v>
      </c>
      <c r="J78" s="236"/>
      <c r="K78" s="317"/>
      <c r="L78" s="318"/>
      <c r="M78" s="220"/>
      <c r="N78" s="220"/>
      <c r="O78" s="220"/>
      <c r="P78" s="220"/>
    </row>
    <row r="79" spans="2:16" ht="15" customHeight="1">
      <c r="B79" s="220" t="s">
        <v>172</v>
      </c>
      <c r="C79" s="221">
        <v>43944</v>
      </c>
      <c r="D79" s="220">
        <v>1084</v>
      </c>
      <c r="E79" s="220" t="s">
        <v>146</v>
      </c>
      <c r="F79" s="220" t="s">
        <v>234</v>
      </c>
      <c r="G79" s="220">
        <v>953852</v>
      </c>
      <c r="H79" s="317"/>
      <c r="I79" s="219">
        <v>1671.5710000000001</v>
      </c>
      <c r="J79" s="236"/>
      <c r="K79" s="317"/>
      <c r="L79" s="318"/>
      <c r="M79" s="220"/>
      <c r="N79" s="220"/>
      <c r="O79" s="220"/>
      <c r="P79" s="220"/>
    </row>
    <row r="80" spans="2:16" ht="15" customHeight="1">
      <c r="B80" s="220" t="s">
        <v>172</v>
      </c>
      <c r="C80" s="221">
        <v>43944</v>
      </c>
      <c r="D80" s="220">
        <v>1084</v>
      </c>
      <c r="E80" s="220" t="s">
        <v>146</v>
      </c>
      <c r="F80" s="220" t="s">
        <v>235</v>
      </c>
      <c r="G80" s="220">
        <v>952324</v>
      </c>
      <c r="H80" s="317"/>
      <c r="I80" s="219">
        <v>0</v>
      </c>
      <c r="J80" s="236"/>
      <c r="K80" s="317"/>
      <c r="L80" s="318"/>
      <c r="M80" s="220"/>
      <c r="N80" s="220"/>
      <c r="O80" s="220"/>
      <c r="P80" s="220"/>
    </row>
    <row r="81" spans="2:16" ht="15" customHeight="1">
      <c r="B81" s="220" t="s">
        <v>172</v>
      </c>
      <c r="C81" s="221">
        <v>43944</v>
      </c>
      <c r="D81" s="220">
        <v>1084</v>
      </c>
      <c r="E81" s="220" t="s">
        <v>137</v>
      </c>
      <c r="F81" s="220" t="s">
        <v>236</v>
      </c>
      <c r="G81" s="220">
        <v>964706</v>
      </c>
      <c r="H81" s="317"/>
      <c r="I81" s="219">
        <v>1579.3490000000002</v>
      </c>
      <c r="J81" s="236"/>
      <c r="K81" s="317"/>
      <c r="L81" s="318"/>
      <c r="M81" s="220"/>
      <c r="N81" s="220"/>
      <c r="O81" s="220"/>
      <c r="P81" s="220"/>
    </row>
    <row r="82" spans="2:16" ht="15" customHeight="1">
      <c r="B82" s="220" t="s">
        <v>172</v>
      </c>
      <c r="C82" s="221">
        <v>43944</v>
      </c>
      <c r="D82" s="220">
        <v>1084</v>
      </c>
      <c r="E82" s="220" t="s">
        <v>137</v>
      </c>
      <c r="F82" s="220" t="s">
        <v>237</v>
      </c>
      <c r="G82" s="220">
        <v>914125</v>
      </c>
      <c r="H82" s="317"/>
      <c r="I82" s="219">
        <v>1438.1610000000001</v>
      </c>
      <c r="J82" s="236"/>
      <c r="K82" s="317"/>
      <c r="L82" s="318"/>
      <c r="M82" s="220"/>
      <c r="N82" s="220"/>
      <c r="O82" s="220"/>
      <c r="P82" s="220"/>
    </row>
    <row r="83" spans="2:16" ht="15" customHeight="1">
      <c r="B83" s="220" t="s">
        <v>172</v>
      </c>
      <c r="C83" s="221">
        <v>43944</v>
      </c>
      <c r="D83" s="220">
        <v>1084</v>
      </c>
      <c r="E83" s="220" t="s">
        <v>137</v>
      </c>
      <c r="F83" s="220" t="s">
        <v>238</v>
      </c>
      <c r="G83" s="220">
        <v>968795</v>
      </c>
      <c r="H83" s="317"/>
      <c r="I83" s="219">
        <v>275.07000000000005</v>
      </c>
      <c r="J83" s="236"/>
      <c r="K83" s="317"/>
      <c r="L83" s="318"/>
      <c r="M83" s="220"/>
      <c r="N83" s="220"/>
      <c r="O83" s="220"/>
      <c r="P83" s="220"/>
    </row>
    <row r="84" spans="2:16" ht="15" customHeight="1">
      <c r="B84" s="220" t="s">
        <v>172</v>
      </c>
      <c r="C84" s="221">
        <v>43944</v>
      </c>
      <c r="D84" s="220">
        <v>1084</v>
      </c>
      <c r="E84" s="220" t="s">
        <v>137</v>
      </c>
      <c r="F84" s="220" t="s">
        <v>239</v>
      </c>
      <c r="G84" s="220">
        <v>968111</v>
      </c>
      <c r="H84" s="317"/>
      <c r="I84" s="219">
        <v>3860.2320000000004</v>
      </c>
      <c r="J84" s="236"/>
      <c r="K84" s="317"/>
      <c r="L84" s="318"/>
      <c r="M84" s="220"/>
      <c r="N84" s="220"/>
      <c r="O84" s="220"/>
      <c r="P84" s="220"/>
    </row>
    <row r="85" spans="2:16" ht="15" customHeight="1">
      <c r="B85" s="220" t="s">
        <v>172</v>
      </c>
      <c r="C85" s="221">
        <v>43944</v>
      </c>
      <c r="D85" s="220">
        <v>1084</v>
      </c>
      <c r="E85" s="220" t="s">
        <v>146</v>
      </c>
      <c r="F85" s="220" t="s">
        <v>240</v>
      </c>
      <c r="G85" s="220">
        <v>963908</v>
      </c>
      <c r="H85" s="317"/>
      <c r="I85" s="219">
        <v>659.46500000000003</v>
      </c>
      <c r="J85" s="236"/>
      <c r="K85" s="317"/>
      <c r="L85" s="318"/>
      <c r="M85" s="220"/>
      <c r="N85" s="220"/>
      <c r="O85" s="220"/>
      <c r="P85" s="220"/>
    </row>
    <row r="86" spans="2:16" ht="15" customHeight="1">
      <c r="B86" s="220" t="s">
        <v>172</v>
      </c>
      <c r="C86" s="221">
        <v>43944</v>
      </c>
      <c r="D86" s="220">
        <v>1084</v>
      </c>
      <c r="E86" s="220" t="s">
        <v>137</v>
      </c>
      <c r="F86" s="220" t="s">
        <v>241</v>
      </c>
      <c r="G86" s="220">
        <v>914124</v>
      </c>
      <c r="H86" s="317"/>
      <c r="I86" s="219">
        <v>888.08999999999992</v>
      </c>
      <c r="J86" s="236"/>
      <c r="K86" s="317"/>
      <c r="L86" s="318"/>
      <c r="M86" s="220"/>
      <c r="N86" s="220"/>
      <c r="O86" s="220"/>
      <c r="P86" s="220"/>
    </row>
    <row r="87" spans="2:16" s="103" customFormat="1" ht="15" customHeight="1">
      <c r="B87" s="220" t="s">
        <v>172</v>
      </c>
      <c r="C87" s="221">
        <v>43944</v>
      </c>
      <c r="D87" s="220">
        <v>1084</v>
      </c>
      <c r="E87" s="220" t="s">
        <v>146</v>
      </c>
      <c r="F87" s="220" t="s">
        <v>242</v>
      </c>
      <c r="G87" s="220">
        <v>914128</v>
      </c>
      <c r="H87" s="317"/>
      <c r="I87" s="219">
        <v>1292.2949999999996</v>
      </c>
      <c r="J87" s="236"/>
      <c r="K87" s="317"/>
      <c r="L87" s="318"/>
      <c r="M87" s="220"/>
      <c r="N87" s="220"/>
      <c r="O87" s="220"/>
      <c r="P87" s="220"/>
    </row>
    <row r="88" spans="2:16" ht="15" customHeight="1">
      <c r="B88" s="220" t="s">
        <v>172</v>
      </c>
      <c r="C88" s="221">
        <v>43944</v>
      </c>
      <c r="D88" s="220">
        <v>1084</v>
      </c>
      <c r="E88" s="220" t="s">
        <v>137</v>
      </c>
      <c r="F88" s="220" t="s">
        <v>243</v>
      </c>
      <c r="G88" s="220">
        <v>961059</v>
      </c>
      <c r="H88" s="317"/>
      <c r="I88" s="219">
        <v>3627.3689999999997</v>
      </c>
      <c r="J88" s="236"/>
      <c r="K88" s="317"/>
      <c r="L88" s="318"/>
      <c r="M88" s="220"/>
      <c r="N88" s="220"/>
      <c r="O88" s="220"/>
      <c r="P88" s="220"/>
    </row>
    <row r="89" spans="2:16" ht="15" customHeight="1">
      <c r="B89" s="220" t="s">
        <v>172</v>
      </c>
      <c r="C89" s="221">
        <v>43944</v>
      </c>
      <c r="D89" s="220">
        <v>1084</v>
      </c>
      <c r="E89" s="220" t="s">
        <v>146</v>
      </c>
      <c r="F89" s="220" t="s">
        <v>244</v>
      </c>
      <c r="G89" s="220">
        <v>923159</v>
      </c>
      <c r="H89" s="317"/>
      <c r="I89" s="219">
        <v>60.754999999999995</v>
      </c>
      <c r="J89" s="236"/>
      <c r="K89" s="317"/>
      <c r="L89" s="318"/>
      <c r="M89" s="220"/>
      <c r="N89" s="220"/>
      <c r="O89" s="220"/>
      <c r="P89" s="220"/>
    </row>
    <row r="90" spans="2:16" s="103" customFormat="1" ht="15" customHeight="1">
      <c r="B90" s="220" t="s">
        <v>172</v>
      </c>
      <c r="C90" s="221">
        <v>43944</v>
      </c>
      <c r="D90" s="220">
        <v>1084</v>
      </c>
      <c r="E90" s="220" t="s">
        <v>146</v>
      </c>
      <c r="F90" s="220" t="s">
        <v>289</v>
      </c>
      <c r="G90" s="220">
        <v>969068</v>
      </c>
      <c r="H90" s="317"/>
      <c r="I90" s="219"/>
      <c r="J90" s="236"/>
      <c r="K90" s="317"/>
      <c r="L90" s="318"/>
      <c r="M90" s="220"/>
      <c r="N90" s="220"/>
      <c r="O90" s="220"/>
      <c r="P90" s="220"/>
    </row>
    <row r="91" spans="2:16" s="103" customFormat="1" ht="15" customHeight="1">
      <c r="B91" s="220" t="s">
        <v>172</v>
      </c>
      <c r="C91" s="221">
        <v>43944</v>
      </c>
      <c r="D91" s="220">
        <v>1084</v>
      </c>
      <c r="E91" s="220" t="s">
        <v>137</v>
      </c>
      <c r="F91" s="220" t="s">
        <v>215</v>
      </c>
      <c r="G91" s="220">
        <v>969249</v>
      </c>
      <c r="H91" s="314"/>
      <c r="I91" s="219">
        <v>226.17500000000001</v>
      </c>
      <c r="J91" s="237"/>
      <c r="K91" s="314"/>
      <c r="L91" s="316"/>
      <c r="M91" s="220"/>
      <c r="N91" s="220"/>
      <c r="O91" s="220"/>
      <c r="P91" s="220"/>
    </row>
    <row r="92" spans="2:16" ht="15" customHeight="1">
      <c r="B92" s="220" t="s">
        <v>172</v>
      </c>
      <c r="C92" s="221">
        <v>43944</v>
      </c>
      <c r="D92" s="220">
        <v>1085</v>
      </c>
      <c r="E92" s="220" t="s">
        <v>10</v>
      </c>
      <c r="F92" s="220" t="s">
        <v>245</v>
      </c>
      <c r="G92" s="220">
        <v>967935</v>
      </c>
      <c r="H92" s="313">
        <v>40000</v>
      </c>
      <c r="I92" s="220"/>
      <c r="J92" s="232"/>
      <c r="K92" s="313">
        <f>H92-(I92+I93+I94+I95+I96+I97+I98+I99+I100+I101)</f>
        <v>31290.914000000001</v>
      </c>
      <c r="L92" s="315">
        <f>(I92+I93+I94+I95+I96+I97+I98+I99+I100+I101)/H92</f>
        <v>0.21772714999999998</v>
      </c>
      <c r="M92" s="220"/>
      <c r="N92" s="220"/>
      <c r="O92" s="220"/>
      <c r="P92" s="220"/>
    </row>
    <row r="93" spans="2:16" ht="15" customHeight="1">
      <c r="B93" s="220" t="s">
        <v>172</v>
      </c>
      <c r="C93" s="221">
        <v>43944</v>
      </c>
      <c r="D93" s="220">
        <v>1085</v>
      </c>
      <c r="E93" s="220" t="s">
        <v>10</v>
      </c>
      <c r="F93" s="220" t="s">
        <v>246</v>
      </c>
      <c r="G93" s="220">
        <v>968808</v>
      </c>
      <c r="H93" s="317"/>
      <c r="I93" s="219">
        <v>143.97</v>
      </c>
      <c r="J93" s="236"/>
      <c r="K93" s="317"/>
      <c r="L93" s="318"/>
      <c r="M93" s="220"/>
      <c r="N93" s="220"/>
      <c r="O93" s="220"/>
      <c r="P93" s="220"/>
    </row>
    <row r="94" spans="2:16" ht="15" customHeight="1">
      <c r="B94" s="220" t="s">
        <v>172</v>
      </c>
      <c r="C94" s="221">
        <v>43944</v>
      </c>
      <c r="D94" s="220">
        <v>1085</v>
      </c>
      <c r="E94" s="220" t="s">
        <v>10</v>
      </c>
      <c r="F94" s="220" t="s">
        <v>247</v>
      </c>
      <c r="G94" s="220">
        <v>967513</v>
      </c>
      <c r="H94" s="317"/>
      <c r="I94" s="219">
        <v>1563.6</v>
      </c>
      <c r="J94" s="236"/>
      <c r="K94" s="317"/>
      <c r="L94" s="318"/>
      <c r="M94" s="220"/>
      <c r="N94" s="220"/>
      <c r="O94" s="220"/>
      <c r="P94" s="220"/>
    </row>
    <row r="95" spans="2:16" ht="15" customHeight="1">
      <c r="B95" s="220" t="s">
        <v>172</v>
      </c>
      <c r="C95" s="221">
        <v>43944</v>
      </c>
      <c r="D95" s="220">
        <v>1085</v>
      </c>
      <c r="E95" s="220" t="s">
        <v>10</v>
      </c>
      <c r="F95" s="220" t="s">
        <v>248</v>
      </c>
      <c r="G95" s="220">
        <v>968789</v>
      </c>
      <c r="H95" s="317"/>
      <c r="I95" s="219">
        <v>357.65100000000001</v>
      </c>
      <c r="J95" s="236"/>
      <c r="K95" s="317"/>
      <c r="L95" s="318"/>
      <c r="M95" s="220"/>
      <c r="N95" s="220"/>
      <c r="O95" s="220"/>
      <c r="P95" s="220"/>
    </row>
    <row r="96" spans="2:16" ht="15" customHeight="1">
      <c r="B96" s="220" t="s">
        <v>172</v>
      </c>
      <c r="C96" s="221">
        <v>43944</v>
      </c>
      <c r="D96" s="220">
        <v>1085</v>
      </c>
      <c r="E96" s="220" t="s">
        <v>10</v>
      </c>
      <c r="F96" s="220" t="s">
        <v>249</v>
      </c>
      <c r="G96" s="220">
        <v>919387</v>
      </c>
      <c r="H96" s="317"/>
      <c r="I96" s="219">
        <v>8.2899999999999991</v>
      </c>
      <c r="J96" s="236"/>
      <c r="K96" s="317"/>
      <c r="L96" s="318"/>
      <c r="M96" s="220"/>
      <c r="N96" s="220"/>
      <c r="O96" s="220"/>
      <c r="P96" s="220"/>
    </row>
    <row r="97" spans="2:16" ht="15" customHeight="1">
      <c r="B97" s="220" t="s">
        <v>172</v>
      </c>
      <c r="C97" s="221">
        <v>43944</v>
      </c>
      <c r="D97" s="220">
        <v>1085</v>
      </c>
      <c r="E97" s="220" t="s">
        <v>10</v>
      </c>
      <c r="F97" s="220" t="s">
        <v>250</v>
      </c>
      <c r="G97" s="220">
        <v>964115</v>
      </c>
      <c r="H97" s="317"/>
      <c r="I97" s="219">
        <v>1124.56</v>
      </c>
      <c r="J97" s="236"/>
      <c r="K97" s="317"/>
      <c r="L97" s="318"/>
      <c r="M97" s="220"/>
      <c r="N97" s="220"/>
      <c r="O97" s="220"/>
      <c r="P97" s="220"/>
    </row>
    <row r="98" spans="2:16" ht="15" customHeight="1">
      <c r="B98" s="220" t="s">
        <v>172</v>
      </c>
      <c r="C98" s="221">
        <v>43944</v>
      </c>
      <c r="D98" s="220">
        <v>1085</v>
      </c>
      <c r="E98" s="220" t="s">
        <v>10</v>
      </c>
      <c r="F98" s="220" t="s">
        <v>251</v>
      </c>
      <c r="G98" s="220">
        <v>968831</v>
      </c>
      <c r="H98" s="317"/>
      <c r="I98" s="219">
        <v>290.60000000000002</v>
      </c>
      <c r="J98" s="236"/>
      <c r="K98" s="317"/>
      <c r="L98" s="318"/>
      <c r="M98" s="220"/>
      <c r="N98" s="220"/>
      <c r="O98" s="220"/>
      <c r="P98" s="220"/>
    </row>
    <row r="99" spans="2:16" ht="15" customHeight="1">
      <c r="B99" s="220" t="s">
        <v>172</v>
      </c>
      <c r="C99" s="221">
        <v>43944</v>
      </c>
      <c r="D99" s="220">
        <v>1085</v>
      </c>
      <c r="E99" s="220" t="s">
        <v>10</v>
      </c>
      <c r="F99" s="220" t="s">
        <v>252</v>
      </c>
      <c r="G99" s="220">
        <v>966479</v>
      </c>
      <c r="H99" s="317"/>
      <c r="I99" s="219">
        <v>1701.83</v>
      </c>
      <c r="J99" s="236"/>
      <c r="K99" s="317"/>
      <c r="L99" s="318"/>
      <c r="M99" s="220"/>
      <c r="N99" s="220"/>
      <c r="O99" s="220"/>
      <c r="P99" s="220"/>
    </row>
    <row r="100" spans="2:16" ht="15" customHeight="1">
      <c r="B100" s="220" t="s">
        <v>172</v>
      </c>
      <c r="C100" s="221">
        <v>43944</v>
      </c>
      <c r="D100" s="220">
        <v>1085</v>
      </c>
      <c r="E100" s="220" t="s">
        <v>10</v>
      </c>
      <c r="F100" s="220" t="s">
        <v>253</v>
      </c>
      <c r="G100" s="220">
        <v>966548</v>
      </c>
      <c r="H100" s="317"/>
      <c r="I100" s="219">
        <v>2502.31</v>
      </c>
      <c r="J100" s="236"/>
      <c r="K100" s="317"/>
      <c r="L100" s="318"/>
      <c r="M100" s="220"/>
      <c r="N100" s="220"/>
      <c r="O100" s="220"/>
      <c r="P100" s="220"/>
    </row>
    <row r="101" spans="2:16" ht="15" customHeight="1">
      <c r="B101" s="220" t="s">
        <v>172</v>
      </c>
      <c r="C101" s="221">
        <v>43944</v>
      </c>
      <c r="D101" s="220">
        <v>1085</v>
      </c>
      <c r="E101" s="220" t="s">
        <v>10</v>
      </c>
      <c r="F101" s="220" t="s">
        <v>284</v>
      </c>
      <c r="G101" s="220">
        <v>966516</v>
      </c>
      <c r="H101" s="314"/>
      <c r="I101" s="219">
        <v>1016.275</v>
      </c>
      <c r="J101" s="237"/>
      <c r="K101" s="314"/>
      <c r="L101" s="316"/>
      <c r="M101" s="220"/>
      <c r="N101" s="220"/>
      <c r="O101" s="220"/>
      <c r="P101" s="220"/>
    </row>
    <row r="102" spans="2:16" ht="15" customHeight="1">
      <c r="B102" s="220" t="s">
        <v>172</v>
      </c>
      <c r="C102" s="221">
        <v>43921</v>
      </c>
      <c r="D102" s="220">
        <v>919</v>
      </c>
      <c r="E102" s="220" t="s">
        <v>137</v>
      </c>
      <c r="F102" s="220" t="s">
        <v>254</v>
      </c>
      <c r="G102" s="220">
        <v>968466</v>
      </c>
      <c r="H102" s="220">
        <v>652.51900000000001</v>
      </c>
      <c r="I102" s="219">
        <v>1047.8620000000001</v>
      </c>
      <c r="J102" s="219">
        <v>-395.34300000000002</v>
      </c>
      <c r="K102" s="220">
        <f>H102-(I102+J102)</f>
        <v>0</v>
      </c>
      <c r="L102" s="143">
        <v>1</v>
      </c>
      <c r="M102" s="220"/>
      <c r="N102" s="220"/>
      <c r="O102" s="220"/>
      <c r="P102" s="220"/>
    </row>
    <row r="103" spans="2:16" ht="15" customHeight="1">
      <c r="B103" s="220" t="s">
        <v>172</v>
      </c>
      <c r="C103" s="221">
        <v>43949</v>
      </c>
      <c r="D103" s="220">
        <v>1139</v>
      </c>
      <c r="E103" s="220" t="s">
        <v>11</v>
      </c>
      <c r="F103" s="220" t="s">
        <v>255</v>
      </c>
      <c r="G103" s="220">
        <v>968468</v>
      </c>
      <c r="H103" s="313">
        <v>18982.315999999999</v>
      </c>
      <c r="I103" s="219">
        <v>302.16499999999996</v>
      </c>
      <c r="J103" s="235"/>
      <c r="K103" s="313">
        <f>H103-(I103+I104+I105+I106+I107+I108+I109+I110+I111+I112+I113+I114+I115+I116+I117+I118+I119+I120+I121+I122+I123+I124+I125+I126+I127+I128+I129+I130+I131)</f>
        <v>6924.8509999999969</v>
      </c>
      <c r="L103" s="315">
        <f>(I103+I104+I105+I106+I107+I108+I109+I110+I111+I112+I113+I114+I115+I116+I117+I118+I119+I120+I121+I122+I123+I124+I125+I126+I127+I128+I129+I130+I131)/H103</f>
        <v>0.6351946200874542</v>
      </c>
      <c r="M103" s="220"/>
      <c r="N103" s="220"/>
      <c r="O103" s="220"/>
      <c r="P103" s="220"/>
    </row>
    <row r="104" spans="2:16" ht="15" customHeight="1">
      <c r="B104" s="220" t="s">
        <v>172</v>
      </c>
      <c r="C104" s="221">
        <v>43949</v>
      </c>
      <c r="D104" s="220">
        <v>1139</v>
      </c>
      <c r="E104" s="220" t="s">
        <v>11</v>
      </c>
      <c r="F104" s="220" t="s">
        <v>256</v>
      </c>
      <c r="G104" s="220">
        <v>913444</v>
      </c>
      <c r="H104" s="317"/>
      <c r="I104" s="219">
        <v>324.7</v>
      </c>
      <c r="J104" s="236"/>
      <c r="K104" s="317"/>
      <c r="L104" s="318"/>
      <c r="M104" s="220"/>
      <c r="N104" s="220"/>
      <c r="O104" s="220"/>
      <c r="P104" s="220"/>
    </row>
    <row r="105" spans="2:16" ht="15" customHeight="1">
      <c r="B105" s="220" t="s">
        <v>172</v>
      </c>
      <c r="C105" s="221">
        <v>43949</v>
      </c>
      <c r="D105" s="220">
        <v>1139</v>
      </c>
      <c r="E105" s="220" t="s">
        <v>11</v>
      </c>
      <c r="F105" s="220" t="s">
        <v>257</v>
      </c>
      <c r="G105" s="220">
        <v>967785</v>
      </c>
      <c r="H105" s="317"/>
      <c r="I105" s="219">
        <v>451.29500000000007</v>
      </c>
      <c r="J105" s="236"/>
      <c r="K105" s="317"/>
      <c r="L105" s="318"/>
      <c r="M105" s="220"/>
      <c r="N105" s="220"/>
      <c r="O105" s="220"/>
      <c r="P105" s="220"/>
    </row>
    <row r="106" spans="2:16" ht="15" customHeight="1">
      <c r="B106" s="220" t="s">
        <v>172</v>
      </c>
      <c r="C106" s="221">
        <v>43949</v>
      </c>
      <c r="D106" s="220">
        <v>1139</v>
      </c>
      <c r="E106" s="220" t="s">
        <v>11</v>
      </c>
      <c r="F106" s="220" t="s">
        <v>258</v>
      </c>
      <c r="G106" s="220">
        <v>963744</v>
      </c>
      <c r="H106" s="317"/>
      <c r="I106" s="219">
        <v>240.93</v>
      </c>
      <c r="J106" s="236"/>
      <c r="K106" s="317"/>
      <c r="L106" s="318"/>
      <c r="M106" s="220"/>
      <c r="N106" s="220"/>
      <c r="O106" s="220"/>
      <c r="P106" s="220"/>
    </row>
    <row r="107" spans="2:16" ht="15" customHeight="1">
      <c r="B107" s="220" t="s">
        <v>172</v>
      </c>
      <c r="C107" s="221">
        <v>43949</v>
      </c>
      <c r="D107" s="220">
        <v>1139</v>
      </c>
      <c r="E107" s="220" t="s">
        <v>11</v>
      </c>
      <c r="F107" s="220" t="s">
        <v>259</v>
      </c>
      <c r="G107" s="220">
        <v>962067</v>
      </c>
      <c r="H107" s="317"/>
      <c r="I107" s="219"/>
      <c r="J107" s="236"/>
      <c r="K107" s="317"/>
      <c r="L107" s="318"/>
      <c r="M107" s="220"/>
      <c r="N107" s="220"/>
      <c r="O107" s="220"/>
      <c r="P107" s="220"/>
    </row>
    <row r="108" spans="2:16" ht="15" customHeight="1">
      <c r="B108" s="220" t="s">
        <v>172</v>
      </c>
      <c r="C108" s="221">
        <v>43949</v>
      </c>
      <c r="D108" s="220">
        <v>1139</v>
      </c>
      <c r="E108" s="220" t="s">
        <v>11</v>
      </c>
      <c r="F108" s="220" t="s">
        <v>260</v>
      </c>
      <c r="G108" s="220">
        <v>959745</v>
      </c>
      <c r="H108" s="317"/>
      <c r="I108" s="219">
        <v>174.24</v>
      </c>
      <c r="J108" s="236"/>
      <c r="K108" s="317"/>
      <c r="L108" s="318"/>
      <c r="M108" s="220"/>
      <c r="N108" s="220"/>
      <c r="O108" s="220"/>
      <c r="P108" s="220"/>
    </row>
    <row r="109" spans="2:16" ht="15" customHeight="1">
      <c r="B109" s="220" t="s">
        <v>172</v>
      </c>
      <c r="C109" s="221">
        <v>43949</v>
      </c>
      <c r="D109" s="220">
        <v>1139</v>
      </c>
      <c r="E109" s="220" t="s">
        <v>11</v>
      </c>
      <c r="F109" s="220" t="s">
        <v>261</v>
      </c>
      <c r="G109" s="220">
        <v>966244</v>
      </c>
      <c r="H109" s="317"/>
      <c r="I109" s="219">
        <v>467.69</v>
      </c>
      <c r="J109" s="236"/>
      <c r="K109" s="317"/>
      <c r="L109" s="318"/>
      <c r="M109" s="220"/>
      <c r="N109" s="220"/>
      <c r="O109" s="220"/>
      <c r="P109" s="220"/>
    </row>
    <row r="110" spans="2:16" ht="15" customHeight="1">
      <c r="B110" s="220" t="s">
        <v>172</v>
      </c>
      <c r="C110" s="221">
        <v>43949</v>
      </c>
      <c r="D110" s="220">
        <v>1139</v>
      </c>
      <c r="E110" s="220" t="s">
        <v>11</v>
      </c>
      <c r="F110" s="220" t="s">
        <v>262</v>
      </c>
      <c r="G110" s="220">
        <v>968467</v>
      </c>
      <c r="H110" s="317"/>
      <c r="I110" s="219">
        <v>286.32500000000005</v>
      </c>
      <c r="J110" s="236"/>
      <c r="K110" s="317"/>
      <c r="L110" s="318"/>
      <c r="M110" s="220"/>
      <c r="N110" s="220"/>
      <c r="O110" s="220"/>
      <c r="P110" s="220"/>
    </row>
    <row r="111" spans="2:16" ht="15" customHeight="1">
      <c r="B111" s="220" t="s">
        <v>172</v>
      </c>
      <c r="C111" s="221">
        <v>43949</v>
      </c>
      <c r="D111" s="220">
        <v>1139</v>
      </c>
      <c r="E111" s="220" t="s">
        <v>11</v>
      </c>
      <c r="F111" s="220" t="s">
        <v>263</v>
      </c>
      <c r="G111" s="220">
        <v>950657</v>
      </c>
      <c r="H111" s="317"/>
      <c r="I111" s="219">
        <v>387.5150000000001</v>
      </c>
      <c r="J111" s="236"/>
      <c r="K111" s="317"/>
      <c r="L111" s="318"/>
      <c r="M111" s="220"/>
      <c r="N111" s="220"/>
      <c r="O111" s="220"/>
      <c r="P111" s="220"/>
    </row>
    <row r="112" spans="2:16" ht="15" customHeight="1">
      <c r="B112" s="220" t="s">
        <v>172</v>
      </c>
      <c r="C112" s="221">
        <v>43949</v>
      </c>
      <c r="D112" s="220">
        <v>1139</v>
      </c>
      <c r="E112" s="220" t="s">
        <v>11</v>
      </c>
      <c r="F112" s="220" t="s">
        <v>264</v>
      </c>
      <c r="G112" s="220">
        <v>967800</v>
      </c>
      <c r="H112" s="317"/>
      <c r="I112" s="219"/>
      <c r="J112" s="236"/>
      <c r="K112" s="317"/>
      <c r="L112" s="318"/>
      <c r="M112" s="220"/>
      <c r="N112" s="220"/>
      <c r="O112" s="220"/>
      <c r="P112" s="220"/>
    </row>
    <row r="113" spans="2:16" ht="15" customHeight="1">
      <c r="B113" s="220" t="s">
        <v>172</v>
      </c>
      <c r="C113" s="221">
        <v>43949</v>
      </c>
      <c r="D113" s="220">
        <v>1139</v>
      </c>
      <c r="E113" s="220" t="s">
        <v>11</v>
      </c>
      <c r="F113" s="220" t="s">
        <v>285</v>
      </c>
      <c r="G113" s="220">
        <v>960352</v>
      </c>
      <c r="H113" s="317"/>
      <c r="I113" s="219">
        <v>518.39499999999987</v>
      </c>
      <c r="J113" s="236"/>
      <c r="K113" s="317"/>
      <c r="L113" s="318"/>
      <c r="M113" s="220"/>
      <c r="N113" s="220"/>
      <c r="O113" s="220"/>
      <c r="P113" s="220"/>
    </row>
    <row r="114" spans="2:16" ht="15" customHeight="1">
      <c r="B114" s="220" t="s">
        <v>172</v>
      </c>
      <c r="C114" s="221">
        <v>43949</v>
      </c>
      <c r="D114" s="220">
        <v>1139</v>
      </c>
      <c r="E114" s="220" t="s">
        <v>11</v>
      </c>
      <c r="F114" s="220" t="s">
        <v>265</v>
      </c>
      <c r="G114" s="220">
        <v>951110</v>
      </c>
      <c r="H114" s="317"/>
      <c r="I114" s="219">
        <v>723.40499999999997</v>
      </c>
      <c r="J114" s="236"/>
      <c r="K114" s="317"/>
      <c r="L114" s="318"/>
      <c r="M114" s="220"/>
      <c r="N114" s="220"/>
      <c r="O114" s="220"/>
      <c r="P114" s="220"/>
    </row>
    <row r="115" spans="2:16" ht="15" customHeight="1">
      <c r="B115" s="220" t="s">
        <v>172</v>
      </c>
      <c r="C115" s="221">
        <v>43949</v>
      </c>
      <c r="D115" s="220">
        <v>1139</v>
      </c>
      <c r="E115" s="220" t="s">
        <v>11</v>
      </c>
      <c r="F115" s="220" t="s">
        <v>266</v>
      </c>
      <c r="G115" s="220">
        <v>968796</v>
      </c>
      <c r="H115" s="317"/>
      <c r="I115" s="219">
        <v>944.77499999999986</v>
      </c>
      <c r="J115" s="236"/>
      <c r="K115" s="317"/>
      <c r="L115" s="318"/>
      <c r="M115" s="220"/>
      <c r="N115" s="220"/>
      <c r="O115" s="220"/>
      <c r="P115" s="220"/>
    </row>
    <row r="116" spans="2:16" ht="15" customHeight="1">
      <c r="B116" s="220" t="s">
        <v>172</v>
      </c>
      <c r="C116" s="221">
        <v>43949</v>
      </c>
      <c r="D116" s="220">
        <v>1139</v>
      </c>
      <c r="E116" s="220" t="s">
        <v>11</v>
      </c>
      <c r="F116" s="220" t="s">
        <v>168</v>
      </c>
      <c r="G116" s="220">
        <v>961267</v>
      </c>
      <c r="H116" s="317"/>
      <c r="I116" s="219">
        <v>432.68</v>
      </c>
      <c r="J116" s="236"/>
      <c r="K116" s="317"/>
      <c r="L116" s="318"/>
      <c r="M116" s="220"/>
      <c r="N116" s="220"/>
      <c r="O116" s="220"/>
      <c r="P116" s="220"/>
    </row>
    <row r="117" spans="2:16">
      <c r="B117" s="220" t="s">
        <v>172</v>
      </c>
      <c r="C117" s="221">
        <v>43949</v>
      </c>
      <c r="D117" s="220">
        <v>1139</v>
      </c>
      <c r="E117" s="220" t="s">
        <v>11</v>
      </c>
      <c r="F117" s="220" t="s">
        <v>267</v>
      </c>
      <c r="G117" s="220">
        <v>963710</v>
      </c>
      <c r="H117" s="317"/>
      <c r="I117" s="219">
        <v>756.14000000000021</v>
      </c>
      <c r="J117" s="236"/>
      <c r="K117" s="317"/>
      <c r="L117" s="318"/>
      <c r="M117" s="220"/>
      <c r="N117" s="220"/>
      <c r="O117" s="220"/>
      <c r="P117" s="220"/>
    </row>
    <row r="118" spans="2:16" ht="15" customHeight="1">
      <c r="B118" s="220" t="s">
        <v>172</v>
      </c>
      <c r="C118" s="221">
        <v>43949</v>
      </c>
      <c r="D118" s="220">
        <v>1139</v>
      </c>
      <c r="E118" s="220" t="s">
        <v>11</v>
      </c>
      <c r="F118" s="220" t="s">
        <v>268</v>
      </c>
      <c r="G118" s="220">
        <v>923206</v>
      </c>
      <c r="H118" s="317"/>
      <c r="I118" s="219">
        <v>504.86499999999995</v>
      </c>
      <c r="J118" s="236"/>
      <c r="K118" s="317"/>
      <c r="L118" s="318"/>
      <c r="M118" s="220"/>
      <c r="N118" s="220"/>
      <c r="O118" s="220"/>
      <c r="P118" s="220"/>
    </row>
    <row r="119" spans="2:16" ht="15" customHeight="1">
      <c r="B119" s="220" t="s">
        <v>172</v>
      </c>
      <c r="C119" s="221">
        <v>43949</v>
      </c>
      <c r="D119" s="220">
        <v>1139</v>
      </c>
      <c r="E119" s="220" t="s">
        <v>11</v>
      </c>
      <c r="F119" s="220" t="s">
        <v>269</v>
      </c>
      <c r="G119" s="220">
        <v>962529</v>
      </c>
      <c r="H119" s="317"/>
      <c r="I119" s="219">
        <v>823.69</v>
      </c>
      <c r="J119" s="236"/>
      <c r="K119" s="317"/>
      <c r="L119" s="318"/>
      <c r="M119" s="220"/>
      <c r="N119" s="220"/>
      <c r="O119" s="220"/>
      <c r="P119" s="220"/>
    </row>
    <row r="120" spans="2:16" ht="15" customHeight="1">
      <c r="B120" s="220" t="s">
        <v>172</v>
      </c>
      <c r="C120" s="221">
        <v>43949</v>
      </c>
      <c r="D120" s="220">
        <v>1139</v>
      </c>
      <c r="E120" s="220" t="s">
        <v>11</v>
      </c>
      <c r="F120" s="220" t="s">
        <v>270</v>
      </c>
      <c r="G120" s="220">
        <v>967677</v>
      </c>
      <c r="H120" s="317"/>
      <c r="I120" s="219">
        <v>942.2</v>
      </c>
      <c r="J120" s="236"/>
      <c r="K120" s="317"/>
      <c r="L120" s="318"/>
      <c r="M120" s="220"/>
      <c r="N120" s="220"/>
      <c r="O120" s="220"/>
      <c r="P120" s="220"/>
    </row>
    <row r="121" spans="2:16" ht="15" customHeight="1">
      <c r="B121" s="220" t="s">
        <v>172</v>
      </c>
      <c r="C121" s="221">
        <v>43949</v>
      </c>
      <c r="D121" s="220">
        <v>1139</v>
      </c>
      <c r="E121" s="220" t="s">
        <v>11</v>
      </c>
      <c r="F121" s="220" t="s">
        <v>271</v>
      </c>
      <c r="G121" s="220">
        <v>953317</v>
      </c>
      <c r="H121" s="317"/>
      <c r="I121" s="219">
        <v>140.86000000000001</v>
      </c>
      <c r="J121" s="236"/>
      <c r="K121" s="317"/>
      <c r="L121" s="318"/>
      <c r="M121" s="220"/>
      <c r="N121" s="220"/>
      <c r="O121" s="220"/>
      <c r="P121" s="220"/>
    </row>
    <row r="122" spans="2:16" ht="15" customHeight="1">
      <c r="B122" s="220" t="s">
        <v>172</v>
      </c>
      <c r="C122" s="221">
        <v>43949</v>
      </c>
      <c r="D122" s="220">
        <v>1139</v>
      </c>
      <c r="E122" s="220" t="s">
        <v>11</v>
      </c>
      <c r="F122" s="220" t="s">
        <v>272</v>
      </c>
      <c r="G122" s="220">
        <v>953967</v>
      </c>
      <c r="H122" s="317"/>
      <c r="I122" s="219">
        <v>232.54999999999998</v>
      </c>
      <c r="J122" s="236"/>
      <c r="K122" s="317"/>
      <c r="L122" s="318"/>
      <c r="M122" s="220"/>
      <c r="N122" s="220"/>
      <c r="O122" s="220"/>
      <c r="P122" s="220"/>
    </row>
    <row r="123" spans="2:16" ht="15" customHeight="1">
      <c r="B123" s="220" t="s">
        <v>172</v>
      </c>
      <c r="C123" s="221">
        <v>43949</v>
      </c>
      <c r="D123" s="220">
        <v>1139</v>
      </c>
      <c r="E123" s="220" t="s">
        <v>11</v>
      </c>
      <c r="F123" s="220" t="s">
        <v>273</v>
      </c>
      <c r="G123" s="220">
        <v>35893</v>
      </c>
      <c r="H123" s="317"/>
      <c r="I123" s="219">
        <v>291.85500000000002</v>
      </c>
      <c r="J123" s="236"/>
      <c r="K123" s="317"/>
      <c r="L123" s="318"/>
      <c r="M123" s="220"/>
      <c r="N123" s="220"/>
      <c r="O123" s="220"/>
      <c r="P123" s="220"/>
    </row>
    <row r="124" spans="2:16" ht="15" customHeight="1">
      <c r="B124" s="220" t="s">
        <v>172</v>
      </c>
      <c r="C124" s="221">
        <v>43949</v>
      </c>
      <c r="D124" s="220">
        <v>1139</v>
      </c>
      <c r="E124" s="220" t="s">
        <v>11</v>
      </c>
      <c r="F124" s="220" t="s">
        <v>274</v>
      </c>
      <c r="G124" s="220">
        <v>955847</v>
      </c>
      <c r="H124" s="317"/>
      <c r="I124" s="219">
        <v>932.77500000000009</v>
      </c>
      <c r="J124" s="236"/>
      <c r="K124" s="317"/>
      <c r="L124" s="318"/>
      <c r="M124" s="220"/>
      <c r="N124" s="220"/>
      <c r="O124" s="220"/>
      <c r="P124" s="220"/>
    </row>
    <row r="125" spans="2:16" ht="15" customHeight="1">
      <c r="B125" s="220" t="s">
        <v>172</v>
      </c>
      <c r="C125" s="221">
        <v>43949</v>
      </c>
      <c r="D125" s="220">
        <v>1139</v>
      </c>
      <c r="E125" s="220" t="s">
        <v>11</v>
      </c>
      <c r="F125" s="220" t="s">
        <v>275</v>
      </c>
      <c r="G125" s="220">
        <v>921881</v>
      </c>
      <c r="H125" s="317"/>
      <c r="I125" s="219">
        <v>121.91</v>
      </c>
      <c r="J125" s="236"/>
      <c r="K125" s="317"/>
      <c r="L125" s="318"/>
      <c r="M125" s="220"/>
      <c r="N125" s="220"/>
      <c r="O125" s="220"/>
      <c r="P125" s="220"/>
    </row>
    <row r="126" spans="2:16" ht="15" customHeight="1">
      <c r="B126" s="220" t="s">
        <v>172</v>
      </c>
      <c r="C126" s="221">
        <v>43949</v>
      </c>
      <c r="D126" s="220">
        <v>1139</v>
      </c>
      <c r="E126" s="220" t="s">
        <v>11</v>
      </c>
      <c r="F126" s="220" t="s">
        <v>276</v>
      </c>
      <c r="G126" s="220">
        <v>968469</v>
      </c>
      <c r="H126" s="317"/>
      <c r="I126" s="219">
        <v>654.44499999999994</v>
      </c>
      <c r="J126" s="236"/>
      <c r="K126" s="317"/>
      <c r="L126" s="318"/>
      <c r="M126" s="220"/>
      <c r="N126" s="220"/>
      <c r="O126" s="220"/>
      <c r="P126" s="220"/>
    </row>
    <row r="127" spans="2:16" ht="15" customHeight="1">
      <c r="B127" s="220" t="s">
        <v>172</v>
      </c>
      <c r="C127" s="221">
        <v>43949</v>
      </c>
      <c r="D127" s="220">
        <v>1139</v>
      </c>
      <c r="E127" s="220" t="s">
        <v>11</v>
      </c>
      <c r="F127" s="220" t="s">
        <v>277</v>
      </c>
      <c r="G127" s="220">
        <v>965905</v>
      </c>
      <c r="H127" s="317"/>
      <c r="I127" s="219"/>
      <c r="J127" s="236"/>
      <c r="K127" s="317"/>
      <c r="L127" s="318"/>
      <c r="M127" s="220"/>
      <c r="N127" s="220"/>
      <c r="O127" s="220"/>
      <c r="P127" s="220"/>
    </row>
    <row r="128" spans="2:16" ht="15" customHeight="1">
      <c r="B128" s="220" t="s">
        <v>172</v>
      </c>
      <c r="C128" s="221">
        <v>43949</v>
      </c>
      <c r="D128" s="220">
        <v>1139</v>
      </c>
      <c r="E128" s="220" t="s">
        <v>11</v>
      </c>
      <c r="F128" s="220" t="s">
        <v>278</v>
      </c>
      <c r="G128" s="220">
        <v>967700</v>
      </c>
      <c r="H128" s="317"/>
      <c r="I128" s="219">
        <v>111.405</v>
      </c>
      <c r="J128" s="236"/>
      <c r="K128" s="317"/>
      <c r="L128" s="318"/>
      <c r="M128" s="220"/>
      <c r="N128" s="220"/>
      <c r="O128" s="220"/>
      <c r="P128" s="220"/>
    </row>
    <row r="129" spans="2:16" ht="15" customHeight="1">
      <c r="B129" s="220" t="s">
        <v>172</v>
      </c>
      <c r="C129" s="221">
        <v>43949</v>
      </c>
      <c r="D129" s="220">
        <v>1139</v>
      </c>
      <c r="E129" s="220" t="s">
        <v>11</v>
      </c>
      <c r="F129" s="220" t="s">
        <v>279</v>
      </c>
      <c r="G129" s="220">
        <v>951184</v>
      </c>
      <c r="H129" s="317"/>
      <c r="I129" s="219">
        <v>321.61</v>
      </c>
      <c r="J129" s="236"/>
      <c r="K129" s="317"/>
      <c r="L129" s="318"/>
      <c r="M129" s="220"/>
      <c r="N129" s="220"/>
      <c r="O129" s="220"/>
      <c r="P129" s="220"/>
    </row>
    <row r="130" spans="2:16" ht="15" customHeight="1">
      <c r="B130" s="220" t="s">
        <v>172</v>
      </c>
      <c r="C130" s="221">
        <v>43949</v>
      </c>
      <c r="D130" s="220">
        <v>1139</v>
      </c>
      <c r="E130" s="220" t="s">
        <v>11</v>
      </c>
      <c r="F130" s="220" t="s">
        <v>280</v>
      </c>
      <c r="G130" s="220">
        <v>960009</v>
      </c>
      <c r="H130" s="317"/>
      <c r="I130" s="219"/>
      <c r="J130" s="236"/>
      <c r="K130" s="317"/>
      <c r="L130" s="318"/>
      <c r="M130" s="220"/>
      <c r="N130" s="220"/>
      <c r="O130" s="220"/>
      <c r="P130" s="220"/>
    </row>
    <row r="131" spans="2:16" ht="15" customHeight="1">
      <c r="B131" s="220" t="s">
        <v>172</v>
      </c>
      <c r="C131" s="221">
        <v>43949</v>
      </c>
      <c r="D131" s="220">
        <v>1139</v>
      </c>
      <c r="E131" s="220" t="s">
        <v>11</v>
      </c>
      <c r="F131" s="220" t="s">
        <v>281</v>
      </c>
      <c r="G131" s="220">
        <v>955947</v>
      </c>
      <c r="H131" s="314"/>
      <c r="I131" s="219">
        <v>969.04500000000007</v>
      </c>
      <c r="J131" s="237"/>
      <c r="K131" s="314"/>
      <c r="L131" s="316"/>
      <c r="M131" s="220"/>
      <c r="N131" s="220"/>
      <c r="O131" s="220"/>
      <c r="P131" s="220"/>
    </row>
    <row r="132" spans="2:16" ht="15" customHeight="1">
      <c r="B132" s="220" t="s">
        <v>172</v>
      </c>
      <c r="C132" s="221">
        <v>43964</v>
      </c>
      <c r="D132" s="220">
        <v>1249</v>
      </c>
      <c r="E132" s="220" t="s">
        <v>137</v>
      </c>
      <c r="F132" s="220" t="s">
        <v>282</v>
      </c>
      <c r="G132" s="220">
        <v>968369</v>
      </c>
      <c r="H132" s="220">
        <v>978.779</v>
      </c>
      <c r="I132" s="219">
        <v>375.46199999999999</v>
      </c>
      <c r="J132" s="219"/>
      <c r="K132" s="220">
        <f>H132-I132</f>
        <v>603.31700000000001</v>
      </c>
      <c r="L132" s="143">
        <f>I132/H132</f>
        <v>0.3836024271056081</v>
      </c>
      <c r="M132" s="220"/>
      <c r="N132" s="220"/>
      <c r="O132" s="220"/>
      <c r="P132" s="220"/>
    </row>
    <row r="133" spans="2:16" ht="15" customHeight="1">
      <c r="B133" s="220" t="s">
        <v>172</v>
      </c>
      <c r="C133" s="221">
        <v>43964</v>
      </c>
      <c r="D133" s="220">
        <v>1250</v>
      </c>
      <c r="E133" s="220" t="s">
        <v>137</v>
      </c>
      <c r="F133" s="220" t="s">
        <v>283</v>
      </c>
      <c r="G133" s="220">
        <v>967665</v>
      </c>
      <c r="H133" s="220">
        <v>1957.558</v>
      </c>
      <c r="I133" s="219">
        <v>945.07600000000002</v>
      </c>
      <c r="J133" s="219"/>
      <c r="K133" s="220">
        <f>H133-I133</f>
        <v>1012.482</v>
      </c>
      <c r="L133" s="143">
        <f>I133/H133</f>
        <v>0.48278314103592335</v>
      </c>
      <c r="M133" s="220"/>
      <c r="N133" s="220"/>
      <c r="O133" s="220"/>
      <c r="P133" s="220"/>
    </row>
    <row r="134" spans="2:16" ht="15" customHeight="1">
      <c r="B134" s="220" t="s">
        <v>190</v>
      </c>
      <c r="C134" s="221">
        <v>43976</v>
      </c>
      <c r="D134" s="220">
        <v>9</v>
      </c>
      <c r="E134" s="220" t="s">
        <v>12</v>
      </c>
      <c r="F134" s="220" t="s">
        <v>191</v>
      </c>
      <c r="G134" s="220">
        <v>966095</v>
      </c>
      <c r="H134" s="220">
        <v>200</v>
      </c>
      <c r="I134" s="219">
        <v>144.11099999999999</v>
      </c>
      <c r="J134" s="219"/>
      <c r="K134" s="220">
        <f>H134-I134</f>
        <v>55.88900000000001</v>
      </c>
      <c r="L134" s="143">
        <f>I134/H134</f>
        <v>0.72055499999999995</v>
      </c>
      <c r="M134" s="220"/>
      <c r="N134" s="220"/>
      <c r="O134" s="220"/>
      <c r="P134" s="220"/>
    </row>
    <row r="135" spans="2:16">
      <c r="B135" s="220" t="s">
        <v>172</v>
      </c>
      <c r="C135" s="221">
        <v>43985</v>
      </c>
      <c r="D135" s="220">
        <v>1536</v>
      </c>
      <c r="E135" s="220" t="s">
        <v>137</v>
      </c>
      <c r="F135" s="220" t="s">
        <v>210</v>
      </c>
      <c r="G135" s="220">
        <v>963544</v>
      </c>
      <c r="H135" s="313">
        <v>4177.6880000000001</v>
      </c>
      <c r="I135" s="219">
        <v>1080.94</v>
      </c>
      <c r="J135" s="235"/>
      <c r="K135" s="313">
        <f>H135-(I135+I136+I137+I138+I139+I140+I141)</f>
        <v>6.5529999999998836</v>
      </c>
      <c r="L135" s="315">
        <f>(I135+I136+I137+I138+I139+I140+I141)/H135</f>
        <v>0.99843142905836912</v>
      </c>
      <c r="M135" s="220"/>
      <c r="N135" s="220"/>
      <c r="O135" s="220"/>
      <c r="P135" s="220"/>
    </row>
    <row r="136" spans="2:16">
      <c r="B136" s="220" t="s">
        <v>172</v>
      </c>
      <c r="C136" s="221">
        <v>43985</v>
      </c>
      <c r="D136" s="220">
        <v>1536</v>
      </c>
      <c r="E136" s="220" t="s">
        <v>137</v>
      </c>
      <c r="F136" s="220" t="s">
        <v>211</v>
      </c>
      <c r="G136" s="220">
        <v>963409</v>
      </c>
      <c r="H136" s="317"/>
      <c r="I136" s="219">
        <v>497.26499999999999</v>
      </c>
      <c r="J136" s="236"/>
      <c r="K136" s="317"/>
      <c r="L136" s="318"/>
      <c r="M136" s="220"/>
      <c r="N136" s="220"/>
      <c r="O136" s="220"/>
      <c r="P136" s="220"/>
    </row>
    <row r="137" spans="2:16">
      <c r="B137" s="220" t="s">
        <v>172</v>
      </c>
      <c r="C137" s="221">
        <v>43985</v>
      </c>
      <c r="D137" s="220">
        <v>1536</v>
      </c>
      <c r="E137" s="220" t="s">
        <v>137</v>
      </c>
      <c r="F137" s="220" t="s">
        <v>232</v>
      </c>
      <c r="G137" s="220">
        <v>914147</v>
      </c>
      <c r="H137" s="317"/>
      <c r="I137" s="219">
        <v>654.005</v>
      </c>
      <c r="J137" s="236"/>
      <c r="K137" s="317"/>
      <c r="L137" s="318"/>
      <c r="M137" s="220"/>
      <c r="N137" s="220"/>
      <c r="O137" s="220"/>
      <c r="P137" s="220"/>
    </row>
    <row r="138" spans="2:16">
      <c r="B138" s="220" t="s">
        <v>172</v>
      </c>
      <c r="C138" s="221">
        <v>43985</v>
      </c>
      <c r="D138" s="220">
        <v>1536</v>
      </c>
      <c r="E138" s="220" t="s">
        <v>137</v>
      </c>
      <c r="F138" s="220" t="s">
        <v>236</v>
      </c>
      <c r="G138" s="220">
        <v>964706</v>
      </c>
      <c r="H138" s="317"/>
      <c r="I138" s="219">
        <v>936.76499999999999</v>
      </c>
      <c r="J138" s="236"/>
      <c r="K138" s="317"/>
      <c r="L138" s="318"/>
      <c r="M138" s="220"/>
      <c r="N138" s="220"/>
      <c r="O138" s="220"/>
      <c r="P138" s="220"/>
    </row>
    <row r="139" spans="2:16">
      <c r="B139" s="220" t="s">
        <v>172</v>
      </c>
      <c r="C139" s="221">
        <v>43985</v>
      </c>
      <c r="D139" s="220">
        <v>1536</v>
      </c>
      <c r="E139" s="220" t="s">
        <v>137</v>
      </c>
      <c r="F139" s="220" t="s">
        <v>237</v>
      </c>
      <c r="G139" s="220">
        <v>914125</v>
      </c>
      <c r="H139" s="317"/>
      <c r="I139" s="219">
        <v>394.26499999999999</v>
      </c>
      <c r="J139" s="236"/>
      <c r="K139" s="317"/>
      <c r="L139" s="318"/>
      <c r="M139" s="220"/>
      <c r="N139" s="220"/>
      <c r="O139" s="220"/>
      <c r="P139" s="220"/>
    </row>
    <row r="140" spans="2:16">
      <c r="B140" s="220" t="s">
        <v>172</v>
      </c>
      <c r="C140" s="221">
        <v>43985</v>
      </c>
      <c r="D140" s="220">
        <v>1536</v>
      </c>
      <c r="E140" s="220" t="s">
        <v>137</v>
      </c>
      <c r="F140" s="220" t="s">
        <v>241</v>
      </c>
      <c r="G140" s="220">
        <v>914124</v>
      </c>
      <c r="H140" s="317"/>
      <c r="I140" s="219">
        <v>430.27</v>
      </c>
      <c r="J140" s="236"/>
      <c r="K140" s="317"/>
      <c r="L140" s="318"/>
      <c r="M140" s="220"/>
      <c r="N140" s="220"/>
      <c r="O140" s="220"/>
      <c r="P140" s="220"/>
    </row>
    <row r="141" spans="2:16">
      <c r="B141" s="220" t="s">
        <v>172</v>
      </c>
      <c r="C141" s="221">
        <v>43985</v>
      </c>
      <c r="D141" s="220">
        <v>1536</v>
      </c>
      <c r="E141" s="220" t="s">
        <v>137</v>
      </c>
      <c r="F141" s="220" t="s">
        <v>238</v>
      </c>
      <c r="G141" s="220">
        <v>968795</v>
      </c>
      <c r="H141" s="314"/>
      <c r="I141" s="219">
        <v>177.625</v>
      </c>
      <c r="J141" s="237"/>
      <c r="K141" s="314"/>
      <c r="L141" s="316"/>
      <c r="M141" s="220"/>
      <c r="N141" s="220"/>
      <c r="O141" s="220"/>
      <c r="P141" s="220"/>
    </row>
    <row r="142" spans="2:16">
      <c r="B142" s="220" t="s">
        <v>172</v>
      </c>
      <c r="C142" s="221">
        <v>44018</v>
      </c>
      <c r="D142" s="220">
        <v>1540</v>
      </c>
      <c r="E142" s="220" t="s">
        <v>12</v>
      </c>
      <c r="F142" s="220" t="s">
        <v>176</v>
      </c>
      <c r="G142" s="220">
        <v>965236</v>
      </c>
      <c r="H142" s="313">
        <v>1000</v>
      </c>
      <c r="I142" s="220"/>
      <c r="J142" s="232"/>
      <c r="K142" s="313">
        <f>H142-(I142+I143+I144+I145+I146+I147+I148+I149+I150+I151+I152+I153+I154+I155+I156)</f>
        <v>1000</v>
      </c>
      <c r="L142" s="315">
        <f>(I142+I143+I144+I145+I146+I147+I148+I149+I150+I151+I152+I153+I154+I155+I156)/H142</f>
        <v>0</v>
      </c>
      <c r="M142" s="220"/>
      <c r="N142" s="220"/>
      <c r="O142" s="220"/>
      <c r="P142" s="220"/>
    </row>
    <row r="143" spans="2:16">
      <c r="B143" s="220" t="s">
        <v>172</v>
      </c>
      <c r="C143" s="221">
        <v>44018</v>
      </c>
      <c r="D143" s="220">
        <v>1540</v>
      </c>
      <c r="E143" s="220" t="s">
        <v>12</v>
      </c>
      <c r="F143" s="220" t="s">
        <v>177</v>
      </c>
      <c r="G143" s="220">
        <v>28034</v>
      </c>
      <c r="H143" s="317"/>
      <c r="I143" s="220"/>
      <c r="J143" s="234"/>
      <c r="K143" s="317"/>
      <c r="L143" s="318"/>
      <c r="M143" s="220"/>
      <c r="N143" s="220"/>
      <c r="O143" s="220"/>
      <c r="P143" s="220"/>
    </row>
    <row r="144" spans="2:16">
      <c r="B144" s="220" t="s">
        <v>172</v>
      </c>
      <c r="C144" s="221">
        <v>44018</v>
      </c>
      <c r="D144" s="220">
        <v>1540</v>
      </c>
      <c r="E144" s="220" t="s">
        <v>12</v>
      </c>
      <c r="F144" s="220" t="s">
        <v>178</v>
      </c>
      <c r="G144" s="220">
        <v>901588</v>
      </c>
      <c r="H144" s="317"/>
      <c r="I144" s="220"/>
      <c r="J144" s="234"/>
      <c r="K144" s="317"/>
      <c r="L144" s="318"/>
      <c r="M144" s="220"/>
      <c r="N144" s="220"/>
      <c r="O144" s="220"/>
      <c r="P144" s="220"/>
    </row>
    <row r="145" spans="2:16" s="103" customFormat="1">
      <c r="B145" s="220" t="s">
        <v>172</v>
      </c>
      <c r="C145" s="221">
        <v>44018</v>
      </c>
      <c r="D145" s="220">
        <v>1540</v>
      </c>
      <c r="E145" s="220" t="s">
        <v>12</v>
      </c>
      <c r="F145" s="220" t="s">
        <v>179</v>
      </c>
      <c r="G145" s="220">
        <v>966397</v>
      </c>
      <c r="H145" s="317"/>
      <c r="I145" s="220"/>
      <c r="J145" s="234"/>
      <c r="K145" s="317"/>
      <c r="L145" s="318"/>
      <c r="M145" s="220"/>
      <c r="N145" s="220"/>
      <c r="O145" s="220"/>
      <c r="P145" s="220"/>
    </row>
    <row r="146" spans="2:16">
      <c r="B146" s="220" t="s">
        <v>172</v>
      </c>
      <c r="C146" s="221">
        <v>44018</v>
      </c>
      <c r="D146" s="220">
        <v>1540</v>
      </c>
      <c r="E146" s="220" t="s">
        <v>12</v>
      </c>
      <c r="F146" s="220" t="s">
        <v>169</v>
      </c>
      <c r="G146" s="220">
        <v>964933</v>
      </c>
      <c r="H146" s="317"/>
      <c r="I146" s="220"/>
      <c r="J146" s="234"/>
      <c r="K146" s="317"/>
      <c r="L146" s="318"/>
      <c r="M146" s="220"/>
      <c r="N146" s="220"/>
      <c r="O146" s="220"/>
      <c r="P146" s="143"/>
    </row>
    <row r="147" spans="2:16">
      <c r="B147" s="220" t="s">
        <v>172</v>
      </c>
      <c r="C147" s="221">
        <v>44018</v>
      </c>
      <c r="D147" s="220">
        <v>1540</v>
      </c>
      <c r="E147" s="220" t="s">
        <v>12</v>
      </c>
      <c r="F147" s="220" t="s">
        <v>180</v>
      </c>
      <c r="G147" s="220">
        <v>960563</v>
      </c>
      <c r="H147" s="317"/>
      <c r="I147" s="220"/>
      <c r="J147" s="234"/>
      <c r="K147" s="317"/>
      <c r="L147" s="318"/>
      <c r="M147" s="220"/>
      <c r="N147" s="220"/>
      <c r="O147" s="220"/>
      <c r="P147" s="143"/>
    </row>
    <row r="148" spans="2:16">
      <c r="B148" s="220" t="s">
        <v>172</v>
      </c>
      <c r="C148" s="221">
        <v>44018</v>
      </c>
      <c r="D148" s="220">
        <v>1540</v>
      </c>
      <c r="E148" s="220" t="s">
        <v>12</v>
      </c>
      <c r="F148" s="220" t="s">
        <v>181</v>
      </c>
      <c r="G148" s="220">
        <v>960673</v>
      </c>
      <c r="H148" s="317"/>
      <c r="I148" s="220"/>
      <c r="J148" s="234"/>
      <c r="K148" s="317"/>
      <c r="L148" s="318"/>
      <c r="M148" s="220"/>
      <c r="N148" s="220"/>
      <c r="O148" s="220"/>
      <c r="P148" s="220"/>
    </row>
    <row r="149" spans="2:16">
      <c r="B149" s="220" t="s">
        <v>172</v>
      </c>
      <c r="C149" s="221">
        <v>44018</v>
      </c>
      <c r="D149" s="220">
        <v>1540</v>
      </c>
      <c r="E149" s="220" t="s">
        <v>12</v>
      </c>
      <c r="F149" s="220" t="s">
        <v>182</v>
      </c>
      <c r="G149" s="220">
        <v>923266</v>
      </c>
      <c r="H149" s="317"/>
      <c r="I149" s="220"/>
      <c r="J149" s="234"/>
      <c r="K149" s="317"/>
      <c r="L149" s="318"/>
      <c r="M149" s="220"/>
      <c r="N149" s="220"/>
      <c r="O149" s="220"/>
      <c r="P149" s="220"/>
    </row>
    <row r="150" spans="2:16">
      <c r="B150" s="220" t="s">
        <v>172</v>
      </c>
      <c r="C150" s="221">
        <v>44018</v>
      </c>
      <c r="D150" s="220">
        <v>1540</v>
      </c>
      <c r="E150" s="220" t="s">
        <v>12</v>
      </c>
      <c r="F150" s="220" t="s">
        <v>183</v>
      </c>
      <c r="G150" s="220">
        <v>957989</v>
      </c>
      <c r="H150" s="317"/>
      <c r="I150" s="220"/>
      <c r="J150" s="234"/>
      <c r="K150" s="317"/>
      <c r="L150" s="318"/>
      <c r="M150" s="220"/>
      <c r="N150" s="220"/>
      <c r="O150" s="220"/>
      <c r="P150" s="220"/>
    </row>
    <row r="151" spans="2:16">
      <c r="B151" s="220" t="s">
        <v>172</v>
      </c>
      <c r="C151" s="221">
        <v>44018</v>
      </c>
      <c r="D151" s="220">
        <v>1540</v>
      </c>
      <c r="E151" s="220" t="s">
        <v>12</v>
      </c>
      <c r="F151" s="220" t="s">
        <v>188</v>
      </c>
      <c r="G151" s="220">
        <v>966707</v>
      </c>
      <c r="H151" s="317"/>
      <c r="I151" s="220"/>
      <c r="J151" s="234"/>
      <c r="K151" s="317"/>
      <c r="L151" s="318"/>
      <c r="M151" s="220"/>
      <c r="N151" s="220"/>
      <c r="O151" s="220"/>
      <c r="P151" s="143"/>
    </row>
    <row r="152" spans="2:16">
      <c r="B152" s="220" t="s">
        <v>172</v>
      </c>
      <c r="C152" s="221">
        <v>44018</v>
      </c>
      <c r="D152" s="220">
        <v>1540</v>
      </c>
      <c r="E152" s="220" t="s">
        <v>12</v>
      </c>
      <c r="F152" s="220" t="s">
        <v>184</v>
      </c>
      <c r="G152" s="220">
        <v>958708</v>
      </c>
      <c r="H152" s="317"/>
      <c r="I152" s="220"/>
      <c r="J152" s="234"/>
      <c r="K152" s="317"/>
      <c r="L152" s="318"/>
      <c r="M152" s="220"/>
      <c r="N152" s="220"/>
      <c r="O152" s="220"/>
      <c r="P152" s="143"/>
    </row>
    <row r="153" spans="2:16">
      <c r="B153" s="220" t="s">
        <v>172</v>
      </c>
      <c r="C153" s="221">
        <v>44018</v>
      </c>
      <c r="D153" s="220">
        <v>1540</v>
      </c>
      <c r="E153" s="220" t="s">
        <v>12</v>
      </c>
      <c r="F153" s="220" t="s">
        <v>189</v>
      </c>
      <c r="G153" s="220">
        <v>953023</v>
      </c>
      <c r="H153" s="317"/>
      <c r="I153" s="220"/>
      <c r="J153" s="234"/>
      <c r="K153" s="317"/>
      <c r="L153" s="318"/>
      <c r="M153" s="220"/>
      <c r="N153" s="220"/>
      <c r="O153" s="220"/>
      <c r="P153" s="143"/>
    </row>
    <row r="154" spans="2:16">
      <c r="B154" s="220" t="s">
        <v>172</v>
      </c>
      <c r="C154" s="221">
        <v>44018</v>
      </c>
      <c r="D154" s="220">
        <v>1540</v>
      </c>
      <c r="E154" s="220" t="s">
        <v>12</v>
      </c>
      <c r="F154" s="220" t="s">
        <v>185</v>
      </c>
      <c r="G154" s="220">
        <v>923167</v>
      </c>
      <c r="H154" s="317"/>
      <c r="I154" s="220"/>
      <c r="J154" s="234"/>
      <c r="K154" s="317"/>
      <c r="L154" s="318"/>
      <c r="M154" s="220"/>
      <c r="N154" s="220"/>
      <c r="O154" s="220"/>
      <c r="P154" s="143"/>
    </row>
    <row r="155" spans="2:16">
      <c r="B155" s="220" t="s">
        <v>172</v>
      </c>
      <c r="C155" s="221">
        <v>44018</v>
      </c>
      <c r="D155" s="220">
        <v>1540</v>
      </c>
      <c r="E155" s="220" t="s">
        <v>12</v>
      </c>
      <c r="F155" s="220" t="s">
        <v>186</v>
      </c>
      <c r="G155" s="220">
        <v>956427</v>
      </c>
      <c r="H155" s="317"/>
      <c r="I155" s="220"/>
      <c r="J155" s="234"/>
      <c r="K155" s="317"/>
      <c r="L155" s="318"/>
      <c r="M155" s="220"/>
      <c r="N155" s="220"/>
      <c r="O155" s="220"/>
      <c r="P155" s="143"/>
    </row>
    <row r="156" spans="2:16">
      <c r="B156" s="220" t="s">
        <v>172</v>
      </c>
      <c r="C156" s="221">
        <v>44018</v>
      </c>
      <c r="D156" s="220">
        <v>1540</v>
      </c>
      <c r="E156" s="220" t="s">
        <v>12</v>
      </c>
      <c r="F156" s="220" t="s">
        <v>187</v>
      </c>
      <c r="G156" s="220">
        <v>950875</v>
      </c>
      <c r="H156" s="314"/>
      <c r="I156" s="220"/>
      <c r="J156" s="233"/>
      <c r="K156" s="314"/>
      <c r="L156" s="316"/>
      <c r="M156" s="220"/>
      <c r="N156" s="220"/>
      <c r="O156" s="220"/>
      <c r="P156" s="143"/>
    </row>
    <row r="157" spans="2:16">
      <c r="B157" s="220" t="s">
        <v>172</v>
      </c>
      <c r="C157" s="221">
        <v>44018</v>
      </c>
      <c r="D157" s="220">
        <v>1542</v>
      </c>
      <c r="E157" s="220" t="s">
        <v>137</v>
      </c>
      <c r="F157" s="220" t="s">
        <v>254</v>
      </c>
      <c r="G157" s="220">
        <v>968466</v>
      </c>
      <c r="H157" s="220">
        <v>1957.558</v>
      </c>
      <c r="I157" s="219">
        <v>962.46799999999996</v>
      </c>
      <c r="J157" s="219">
        <v>395.34300000000002</v>
      </c>
      <c r="K157" s="220">
        <f>H157-(I157+J157)</f>
        <v>599.74700000000007</v>
      </c>
      <c r="L157" s="143">
        <f>I157/H157</f>
        <v>0.49166767983375204</v>
      </c>
      <c r="M157" s="220"/>
      <c r="N157" s="220"/>
      <c r="O157" s="220"/>
      <c r="P157" s="143"/>
    </row>
    <row r="158" spans="2:16" s="103" customFormat="1">
      <c r="B158" s="215" t="s">
        <v>172</v>
      </c>
      <c r="C158" s="221">
        <v>44027</v>
      </c>
      <c r="D158" s="220">
        <v>1576</v>
      </c>
      <c r="E158" s="215" t="s">
        <v>137</v>
      </c>
      <c r="F158" s="215" t="s">
        <v>174</v>
      </c>
      <c r="G158" s="220">
        <v>967544</v>
      </c>
      <c r="H158" s="220">
        <v>2610.076</v>
      </c>
      <c r="I158" s="219">
        <v>128.316</v>
      </c>
      <c r="J158" s="219">
        <v>82.703000000000003</v>
      </c>
      <c r="K158" s="220">
        <f>H158-(I158+J158)</f>
        <v>2399.0569999999998</v>
      </c>
      <c r="L158" s="143">
        <f>I158/H158</f>
        <v>4.9161786859846228E-2</v>
      </c>
      <c r="M158" s="230"/>
      <c r="N158" s="220"/>
      <c r="O158" s="230"/>
      <c r="P158" s="231"/>
    </row>
    <row r="159" spans="2:16">
      <c r="B159" s="220" t="s">
        <v>172</v>
      </c>
      <c r="C159" s="221">
        <v>44061</v>
      </c>
      <c r="D159" s="220">
        <v>1809</v>
      </c>
      <c r="E159" s="220" t="s">
        <v>11</v>
      </c>
      <c r="F159" s="220" t="s">
        <v>266</v>
      </c>
      <c r="G159" s="220">
        <v>968796</v>
      </c>
      <c r="H159" s="220"/>
      <c r="I159" s="220"/>
      <c r="J159" s="220"/>
      <c r="K159" s="220"/>
      <c r="L159" s="220"/>
      <c r="M159" s="313">
        <v>400</v>
      </c>
      <c r="N159" s="220"/>
      <c r="O159" s="313">
        <f>M159-(I159+I160)</f>
        <v>400</v>
      </c>
      <c r="P159" s="315">
        <f>(I159+I160)/M159</f>
        <v>0</v>
      </c>
    </row>
    <row r="160" spans="2:16">
      <c r="B160" s="220" t="s">
        <v>172</v>
      </c>
      <c r="C160" s="221">
        <v>44061</v>
      </c>
      <c r="D160" s="220">
        <v>1809</v>
      </c>
      <c r="E160" s="220" t="s">
        <v>11</v>
      </c>
      <c r="F160" s="220" t="s">
        <v>286</v>
      </c>
      <c r="G160" s="220">
        <v>967477</v>
      </c>
      <c r="H160" s="220"/>
      <c r="I160" s="220"/>
      <c r="J160" s="220"/>
      <c r="K160" s="220"/>
      <c r="L160" s="220"/>
      <c r="M160" s="314"/>
      <c r="N160" s="220"/>
      <c r="O160" s="314"/>
      <c r="P160" s="316"/>
    </row>
    <row r="161" spans="2:16">
      <c r="B161" s="220" t="s">
        <v>172</v>
      </c>
      <c r="C161" s="221">
        <v>44071</v>
      </c>
      <c r="D161" s="220">
        <v>1926</v>
      </c>
      <c r="E161" s="220" t="s">
        <v>137</v>
      </c>
      <c r="F161" s="220" t="s">
        <v>282</v>
      </c>
      <c r="G161" s="220">
        <v>968369</v>
      </c>
      <c r="H161" s="220">
        <v>0</v>
      </c>
      <c r="I161" s="220"/>
      <c r="J161" s="220"/>
      <c r="K161" s="220">
        <f>H161-I161</f>
        <v>0</v>
      </c>
      <c r="L161" s="143" t="e">
        <f>I161/H161</f>
        <v>#DIV/0!</v>
      </c>
      <c r="M161" s="220"/>
      <c r="N161" s="220"/>
      <c r="O161" s="220"/>
      <c r="P161" s="220"/>
    </row>
    <row r="162" spans="2:16" s="103" customFormat="1">
      <c r="B162" s="220" t="s">
        <v>172</v>
      </c>
      <c r="C162" s="221">
        <v>44071</v>
      </c>
      <c r="D162" s="220">
        <v>1928</v>
      </c>
      <c r="E162" s="220" t="s">
        <v>137</v>
      </c>
      <c r="F162" s="220" t="s">
        <v>224</v>
      </c>
      <c r="G162" s="220">
        <v>961261</v>
      </c>
      <c r="H162" s="313">
        <v>1004.861</v>
      </c>
      <c r="I162" s="220"/>
      <c r="J162" s="232"/>
      <c r="K162" s="313">
        <f>H162-(I162+I163)</f>
        <v>1004.861</v>
      </c>
      <c r="L162" s="315">
        <f>(I162+I163)/H162</f>
        <v>0</v>
      </c>
      <c r="M162" s="220"/>
      <c r="N162" s="220"/>
      <c r="O162" s="220"/>
      <c r="P162" s="143"/>
    </row>
    <row r="163" spans="2:16" s="103" customFormat="1">
      <c r="B163" s="220" t="s">
        <v>172</v>
      </c>
      <c r="C163" s="221">
        <v>44071</v>
      </c>
      <c r="D163" s="220">
        <v>1928</v>
      </c>
      <c r="E163" s="220" t="s">
        <v>137</v>
      </c>
      <c r="F163" s="220" t="s">
        <v>225</v>
      </c>
      <c r="G163" s="220">
        <v>962880</v>
      </c>
      <c r="H163" s="314"/>
      <c r="I163" s="220"/>
      <c r="J163" s="233"/>
      <c r="K163" s="314"/>
      <c r="L163" s="316"/>
      <c r="M163" s="220"/>
      <c r="N163" s="220"/>
      <c r="O163" s="220"/>
      <c r="P163" s="143"/>
    </row>
    <row r="164" spans="2:16">
      <c r="B164" s="220" t="s">
        <v>172</v>
      </c>
      <c r="C164" s="221">
        <v>44105</v>
      </c>
      <c r="D164" s="220">
        <v>2134</v>
      </c>
      <c r="E164" s="220" t="s">
        <v>146</v>
      </c>
      <c r="F164" s="220" t="s">
        <v>289</v>
      </c>
      <c r="G164" s="220">
        <v>969068</v>
      </c>
      <c r="H164" s="220">
        <v>1605.2149999999999</v>
      </c>
      <c r="I164" s="219">
        <v>1090.1759999999999</v>
      </c>
      <c r="J164" s="219"/>
      <c r="K164" s="220">
        <f>H164-I164</f>
        <v>515.03899999999999</v>
      </c>
      <c r="L164" s="143">
        <f>I164/H164</f>
        <v>0.67914640717910058</v>
      </c>
      <c r="M164" s="220"/>
      <c r="N164" s="220"/>
      <c r="O164" s="220"/>
      <c r="P164" s="220"/>
    </row>
    <row r="165" spans="2:16">
      <c r="B165" s="220" t="s">
        <v>172</v>
      </c>
      <c r="C165" s="221">
        <v>44152</v>
      </c>
      <c r="D165" s="220">
        <v>2431</v>
      </c>
      <c r="E165" s="220" t="s">
        <v>137</v>
      </c>
      <c r="F165" s="220" t="s">
        <v>290</v>
      </c>
      <c r="G165" s="220">
        <v>969313</v>
      </c>
      <c r="H165" s="220">
        <v>1500.8140000000001</v>
      </c>
      <c r="I165" s="219">
        <v>147.36500000000001</v>
      </c>
      <c r="J165" s="219"/>
      <c r="K165" s="220">
        <f>H165-I165</f>
        <v>1353.4490000000001</v>
      </c>
      <c r="L165" s="143">
        <f>I165/H165</f>
        <v>9.8190048866814941E-2</v>
      </c>
      <c r="M165" s="220"/>
      <c r="N165" s="220"/>
      <c r="O165" s="220"/>
      <c r="P165" s="220"/>
    </row>
    <row r="166" spans="2:16">
      <c r="B166" s="215" t="s">
        <v>172</v>
      </c>
      <c r="C166" s="221">
        <v>44154</v>
      </c>
      <c r="D166" s="220">
        <v>2492</v>
      </c>
      <c r="E166" s="220" t="s">
        <v>137</v>
      </c>
      <c r="F166" s="215" t="s">
        <v>210</v>
      </c>
      <c r="G166" s="220">
        <v>963544</v>
      </c>
      <c r="H166" s="313">
        <v>1603.9739999999999</v>
      </c>
      <c r="I166" s="220"/>
      <c r="J166" s="232"/>
      <c r="K166" s="313">
        <f>H166-(I166+I167+I168+I169+I170+I171+I172)</f>
        <v>1603.9739999999999</v>
      </c>
      <c r="L166" s="315">
        <f>(I166+I167+I168+I169+I170+I171+I172)/H166</f>
        <v>0</v>
      </c>
      <c r="M166" s="220"/>
      <c r="N166" s="220"/>
      <c r="O166" s="220"/>
      <c r="P166" s="220"/>
    </row>
    <row r="167" spans="2:16">
      <c r="B167" s="215" t="s">
        <v>172</v>
      </c>
      <c r="C167" s="221">
        <v>44154</v>
      </c>
      <c r="D167" s="220">
        <v>2492</v>
      </c>
      <c r="E167" s="220" t="s">
        <v>137</v>
      </c>
      <c r="F167" s="215" t="s">
        <v>211</v>
      </c>
      <c r="G167" s="220">
        <v>963409</v>
      </c>
      <c r="H167" s="317"/>
      <c r="I167" s="220"/>
      <c r="J167" s="234"/>
      <c r="K167" s="317"/>
      <c r="L167" s="318"/>
      <c r="M167" s="220"/>
      <c r="N167" s="220"/>
      <c r="O167" s="220"/>
      <c r="P167" s="220"/>
    </row>
    <row r="168" spans="2:16">
      <c r="B168" s="215" t="s">
        <v>172</v>
      </c>
      <c r="C168" s="221">
        <v>44154</v>
      </c>
      <c r="D168" s="220">
        <v>2492</v>
      </c>
      <c r="E168" s="220" t="s">
        <v>137</v>
      </c>
      <c r="F168" s="215" t="s">
        <v>232</v>
      </c>
      <c r="G168" s="220">
        <v>914147</v>
      </c>
      <c r="H168" s="317"/>
      <c r="I168" s="220"/>
      <c r="J168" s="234"/>
      <c r="K168" s="317"/>
      <c r="L168" s="318"/>
      <c r="M168" s="220"/>
      <c r="N168" s="220"/>
      <c r="O168" s="220"/>
      <c r="P168" s="220"/>
    </row>
    <row r="169" spans="2:16">
      <c r="B169" s="215" t="s">
        <v>172</v>
      </c>
      <c r="C169" s="221">
        <v>44154</v>
      </c>
      <c r="D169" s="220">
        <v>2492</v>
      </c>
      <c r="E169" s="220" t="s">
        <v>137</v>
      </c>
      <c r="F169" s="215" t="s">
        <v>236</v>
      </c>
      <c r="G169" s="220">
        <v>964706</v>
      </c>
      <c r="H169" s="317"/>
      <c r="I169" s="220"/>
      <c r="J169" s="234"/>
      <c r="K169" s="317"/>
      <c r="L169" s="318"/>
      <c r="M169" s="220"/>
      <c r="N169" s="220"/>
      <c r="O169" s="220"/>
      <c r="P169" s="220"/>
    </row>
    <row r="170" spans="2:16">
      <c r="B170" s="215" t="s">
        <v>172</v>
      </c>
      <c r="C170" s="221">
        <v>44154</v>
      </c>
      <c r="D170" s="220">
        <v>2492</v>
      </c>
      <c r="E170" s="220" t="s">
        <v>137</v>
      </c>
      <c r="F170" s="215" t="s">
        <v>237</v>
      </c>
      <c r="G170" s="220">
        <v>914125</v>
      </c>
      <c r="H170" s="317"/>
      <c r="I170" s="220"/>
      <c r="J170" s="234"/>
      <c r="K170" s="317"/>
      <c r="L170" s="318"/>
      <c r="M170" s="220"/>
      <c r="N170" s="220"/>
      <c r="O170" s="220"/>
      <c r="P170" s="220"/>
    </row>
    <row r="171" spans="2:16">
      <c r="B171" s="215" t="s">
        <v>172</v>
      </c>
      <c r="C171" s="221">
        <v>44154</v>
      </c>
      <c r="D171" s="220">
        <v>2492</v>
      </c>
      <c r="E171" s="220" t="s">
        <v>137</v>
      </c>
      <c r="F171" s="215" t="s">
        <v>241</v>
      </c>
      <c r="G171" s="220">
        <v>914124</v>
      </c>
      <c r="H171" s="317"/>
      <c r="I171" s="220"/>
      <c r="J171" s="234"/>
      <c r="K171" s="317"/>
      <c r="L171" s="318"/>
      <c r="M171" s="220"/>
      <c r="N171" s="220"/>
      <c r="O171" s="220"/>
      <c r="P171" s="220"/>
    </row>
    <row r="172" spans="2:16">
      <c r="B172" s="215" t="s">
        <v>172</v>
      </c>
      <c r="C172" s="221">
        <v>44154</v>
      </c>
      <c r="D172" s="220">
        <v>2492</v>
      </c>
      <c r="E172" s="220" t="s">
        <v>137</v>
      </c>
      <c r="F172" s="215" t="s">
        <v>238</v>
      </c>
      <c r="G172" s="220">
        <v>968795</v>
      </c>
      <c r="H172" s="314"/>
      <c r="I172" s="220"/>
      <c r="J172" s="233"/>
      <c r="K172" s="314"/>
      <c r="L172" s="316"/>
      <c r="M172" s="220"/>
      <c r="N172" s="220"/>
      <c r="O172" s="220"/>
      <c r="P172" s="220"/>
    </row>
    <row r="173" spans="2:16">
      <c r="B173" s="215" t="s">
        <v>172</v>
      </c>
      <c r="C173" s="221">
        <v>44154</v>
      </c>
      <c r="D173" s="220">
        <v>2493</v>
      </c>
      <c r="E173" s="215" t="s">
        <v>10</v>
      </c>
      <c r="F173" s="225" t="s">
        <v>195</v>
      </c>
      <c r="G173" s="225">
        <v>967226</v>
      </c>
      <c r="H173" s="220"/>
      <c r="I173" s="220"/>
      <c r="J173" s="220"/>
      <c r="K173" s="220"/>
      <c r="L173" s="143"/>
      <c r="M173" s="313">
        <v>200</v>
      </c>
      <c r="N173" s="220"/>
      <c r="O173" s="313">
        <f>M173-(N173+N174+N175+N176+N177+N178+N179+N180+N181+N182+N183)</f>
        <v>200</v>
      </c>
      <c r="P173" s="315">
        <f>(N173+N174+N175+N176+N177+N178+N179+N180+N181+N182+N183)/M173</f>
        <v>0</v>
      </c>
    </row>
    <row r="174" spans="2:16">
      <c r="B174" s="215" t="s">
        <v>172</v>
      </c>
      <c r="C174" s="221">
        <v>44154</v>
      </c>
      <c r="D174" s="220">
        <v>2493</v>
      </c>
      <c r="E174" s="215" t="s">
        <v>10</v>
      </c>
      <c r="F174" s="225" t="s">
        <v>196</v>
      </c>
      <c r="G174" s="225">
        <v>967476</v>
      </c>
      <c r="H174" s="220"/>
      <c r="I174" s="220"/>
      <c r="J174" s="220"/>
      <c r="K174" s="220"/>
      <c r="L174" s="143"/>
      <c r="M174" s="317"/>
      <c r="N174" s="220"/>
      <c r="O174" s="317"/>
      <c r="P174" s="318"/>
    </row>
    <row r="175" spans="2:16">
      <c r="B175" s="215" t="s">
        <v>172</v>
      </c>
      <c r="C175" s="221">
        <v>44154</v>
      </c>
      <c r="D175" s="220">
        <v>2493</v>
      </c>
      <c r="E175" s="215" t="s">
        <v>10</v>
      </c>
      <c r="F175" s="225" t="s">
        <v>197</v>
      </c>
      <c r="G175" s="225">
        <v>961948</v>
      </c>
      <c r="H175" s="220"/>
      <c r="I175" s="220"/>
      <c r="J175" s="220"/>
      <c r="K175" s="220"/>
      <c r="L175" s="143"/>
      <c r="M175" s="317"/>
      <c r="N175" s="220"/>
      <c r="O175" s="317"/>
      <c r="P175" s="318"/>
    </row>
    <row r="176" spans="2:16">
      <c r="B176" s="215" t="s">
        <v>172</v>
      </c>
      <c r="C176" s="221">
        <v>44154</v>
      </c>
      <c r="D176" s="220">
        <v>2493</v>
      </c>
      <c r="E176" s="215" t="s">
        <v>10</v>
      </c>
      <c r="F176" s="225" t="s">
        <v>198</v>
      </c>
      <c r="G176" s="225">
        <v>961805</v>
      </c>
      <c r="H176" s="220"/>
      <c r="I176" s="220"/>
      <c r="J176" s="220"/>
      <c r="K176" s="220"/>
      <c r="L176" s="143"/>
      <c r="M176" s="317"/>
      <c r="N176" s="220"/>
      <c r="O176" s="317"/>
      <c r="P176" s="318"/>
    </row>
    <row r="177" spans="2:16">
      <c r="B177" s="215" t="s">
        <v>172</v>
      </c>
      <c r="C177" s="221">
        <v>44154</v>
      </c>
      <c r="D177" s="220">
        <v>2493</v>
      </c>
      <c r="E177" s="215" t="s">
        <v>10</v>
      </c>
      <c r="F177" s="225" t="s">
        <v>199</v>
      </c>
      <c r="G177" s="225">
        <v>968122</v>
      </c>
      <c r="H177" s="220"/>
      <c r="I177" s="220"/>
      <c r="J177" s="220"/>
      <c r="K177" s="220"/>
      <c r="L177" s="143"/>
      <c r="M177" s="317"/>
      <c r="N177" s="220"/>
      <c r="O177" s="317"/>
      <c r="P177" s="318"/>
    </row>
    <row r="178" spans="2:16">
      <c r="B178" s="215" t="s">
        <v>172</v>
      </c>
      <c r="C178" s="221">
        <v>44154</v>
      </c>
      <c r="D178" s="220">
        <v>2493</v>
      </c>
      <c r="E178" s="215" t="s">
        <v>10</v>
      </c>
      <c r="F178" s="225" t="s">
        <v>200</v>
      </c>
      <c r="G178" s="225">
        <v>919376</v>
      </c>
      <c r="H178" s="220"/>
      <c r="I178" s="220"/>
      <c r="J178" s="220"/>
      <c r="K178" s="220"/>
      <c r="L178" s="143"/>
      <c r="M178" s="317"/>
      <c r="N178" s="220"/>
      <c r="O178" s="317"/>
      <c r="P178" s="318"/>
    </row>
    <row r="179" spans="2:16">
      <c r="B179" s="215" t="s">
        <v>172</v>
      </c>
      <c r="C179" s="221">
        <v>44154</v>
      </c>
      <c r="D179" s="220">
        <v>2493</v>
      </c>
      <c r="E179" s="215" t="s">
        <v>10</v>
      </c>
      <c r="F179" s="225" t="s">
        <v>201</v>
      </c>
      <c r="G179" s="225">
        <v>958248</v>
      </c>
      <c r="H179" s="220"/>
      <c r="I179" s="220"/>
      <c r="J179" s="220"/>
      <c r="K179" s="220"/>
      <c r="L179" s="143"/>
      <c r="M179" s="317"/>
      <c r="N179" s="220"/>
      <c r="O179" s="317"/>
      <c r="P179" s="318"/>
    </row>
    <row r="180" spans="2:16">
      <c r="B180" s="215" t="s">
        <v>172</v>
      </c>
      <c r="C180" s="221">
        <v>44154</v>
      </c>
      <c r="D180" s="220">
        <v>2493</v>
      </c>
      <c r="E180" s="215" t="s">
        <v>10</v>
      </c>
      <c r="F180" s="225" t="s">
        <v>202</v>
      </c>
      <c r="G180" s="225">
        <v>966135</v>
      </c>
      <c r="H180" s="220"/>
      <c r="I180" s="220"/>
      <c r="J180" s="220"/>
      <c r="K180" s="220"/>
      <c r="L180" s="143"/>
      <c r="M180" s="317"/>
      <c r="N180" s="220"/>
      <c r="O180" s="317"/>
      <c r="P180" s="318"/>
    </row>
    <row r="181" spans="2:16">
      <c r="B181" s="215" t="s">
        <v>172</v>
      </c>
      <c r="C181" s="221">
        <v>44154</v>
      </c>
      <c r="D181" s="220">
        <v>2493</v>
      </c>
      <c r="E181" s="215" t="s">
        <v>10</v>
      </c>
      <c r="F181" s="220" t="s">
        <v>203</v>
      </c>
      <c r="G181" s="220">
        <v>969234</v>
      </c>
      <c r="H181" s="220"/>
      <c r="I181" s="220"/>
      <c r="J181" s="220"/>
      <c r="K181" s="220"/>
      <c r="L181" s="143"/>
      <c r="M181" s="317"/>
      <c r="N181" s="220"/>
      <c r="O181" s="317"/>
      <c r="P181" s="318"/>
    </row>
    <row r="182" spans="2:16">
      <c r="B182" s="215" t="s">
        <v>172</v>
      </c>
      <c r="C182" s="221">
        <v>44154</v>
      </c>
      <c r="D182" s="220">
        <v>2493</v>
      </c>
      <c r="E182" s="215" t="s">
        <v>10</v>
      </c>
      <c r="F182" s="220" t="s">
        <v>287</v>
      </c>
      <c r="G182" s="220">
        <v>968960</v>
      </c>
      <c r="H182" s="220"/>
      <c r="I182" s="220"/>
      <c r="J182" s="220"/>
      <c r="K182" s="220"/>
      <c r="L182" s="143"/>
      <c r="M182" s="317"/>
      <c r="N182" s="220"/>
      <c r="O182" s="317"/>
      <c r="P182" s="318"/>
    </row>
    <row r="183" spans="2:16">
      <c r="B183" s="215" t="s">
        <v>172</v>
      </c>
      <c r="C183" s="221">
        <v>44154</v>
      </c>
      <c r="D183" s="220">
        <v>2493</v>
      </c>
      <c r="E183" s="215" t="s">
        <v>10</v>
      </c>
      <c r="F183" s="220" t="s">
        <v>204</v>
      </c>
      <c r="G183" s="220">
        <v>968156</v>
      </c>
      <c r="H183" s="220"/>
      <c r="I183" s="220"/>
      <c r="J183" s="220"/>
      <c r="K183" s="220"/>
      <c r="L183" s="143"/>
      <c r="M183" s="314"/>
      <c r="N183" s="220"/>
      <c r="O183" s="314"/>
      <c r="P183" s="316"/>
    </row>
    <row r="184" spans="2:16">
      <c r="B184" s="215" t="s">
        <v>172</v>
      </c>
      <c r="C184" s="221">
        <v>44154</v>
      </c>
      <c r="D184" s="220">
        <v>2494</v>
      </c>
      <c r="E184" s="215" t="s">
        <v>10</v>
      </c>
      <c r="F184" s="220" t="s">
        <v>246</v>
      </c>
      <c r="G184" s="220">
        <v>968808</v>
      </c>
      <c r="H184" s="220"/>
      <c r="I184" s="220"/>
      <c r="J184" s="220"/>
      <c r="K184" s="220"/>
      <c r="L184" s="143"/>
      <c r="M184" s="313">
        <v>200</v>
      </c>
      <c r="N184" s="220"/>
      <c r="O184" s="313">
        <f>M184-(N184+N185+N186+N187+N188+N189+N190+N191+N192)</f>
        <v>200</v>
      </c>
      <c r="P184" s="315">
        <f>(N184+N185+N186+N187+N188+N189+N190+N191+N192)/M184</f>
        <v>0</v>
      </c>
    </row>
    <row r="185" spans="2:16">
      <c r="B185" s="215" t="s">
        <v>172</v>
      </c>
      <c r="C185" s="221">
        <v>44154</v>
      </c>
      <c r="D185" s="220">
        <v>2494</v>
      </c>
      <c r="E185" s="215" t="s">
        <v>10</v>
      </c>
      <c r="F185" s="220" t="s">
        <v>247</v>
      </c>
      <c r="G185" s="220">
        <v>967513</v>
      </c>
      <c r="H185" s="220"/>
      <c r="I185" s="220"/>
      <c r="J185" s="220"/>
      <c r="K185" s="220"/>
      <c r="L185" s="143"/>
      <c r="M185" s="317"/>
      <c r="N185" s="220"/>
      <c r="O185" s="317"/>
      <c r="P185" s="318"/>
    </row>
    <row r="186" spans="2:16">
      <c r="B186" s="215" t="s">
        <v>172</v>
      </c>
      <c r="C186" s="221">
        <v>44154</v>
      </c>
      <c r="D186" s="220">
        <v>2494</v>
      </c>
      <c r="E186" s="215" t="s">
        <v>10</v>
      </c>
      <c r="F186" s="220" t="s">
        <v>248</v>
      </c>
      <c r="G186" s="220">
        <v>968789</v>
      </c>
      <c r="H186" s="220"/>
      <c r="I186" s="220"/>
      <c r="J186" s="220"/>
      <c r="K186" s="220"/>
      <c r="L186" s="143"/>
      <c r="M186" s="317"/>
      <c r="N186" s="220"/>
      <c r="O186" s="317"/>
      <c r="P186" s="318"/>
    </row>
    <row r="187" spans="2:16">
      <c r="B187" s="215" t="s">
        <v>172</v>
      </c>
      <c r="C187" s="221">
        <v>44154</v>
      </c>
      <c r="D187" s="220">
        <v>2494</v>
      </c>
      <c r="E187" s="215" t="s">
        <v>10</v>
      </c>
      <c r="F187" s="220" t="s">
        <v>249</v>
      </c>
      <c r="G187" s="220">
        <v>919387</v>
      </c>
      <c r="H187" s="220"/>
      <c r="I187" s="220"/>
      <c r="J187" s="220"/>
      <c r="K187" s="220"/>
      <c r="L187" s="143"/>
      <c r="M187" s="317"/>
      <c r="N187" s="220"/>
      <c r="O187" s="317"/>
      <c r="P187" s="318"/>
    </row>
    <row r="188" spans="2:16">
      <c r="B188" s="215" t="s">
        <v>172</v>
      </c>
      <c r="C188" s="221">
        <v>44154</v>
      </c>
      <c r="D188" s="220">
        <v>2494</v>
      </c>
      <c r="E188" s="215" t="s">
        <v>10</v>
      </c>
      <c r="F188" s="220" t="s">
        <v>250</v>
      </c>
      <c r="G188" s="220">
        <v>964115</v>
      </c>
      <c r="H188" s="220"/>
      <c r="I188" s="220"/>
      <c r="J188" s="220"/>
      <c r="K188" s="220"/>
      <c r="L188" s="143"/>
      <c r="M188" s="317"/>
      <c r="N188" s="220"/>
      <c r="O188" s="317"/>
      <c r="P188" s="318"/>
    </row>
    <row r="189" spans="2:16">
      <c r="B189" s="215" t="s">
        <v>172</v>
      </c>
      <c r="C189" s="221">
        <v>44154</v>
      </c>
      <c r="D189" s="220">
        <v>2494</v>
      </c>
      <c r="E189" s="215" t="s">
        <v>10</v>
      </c>
      <c r="F189" s="220" t="s">
        <v>251</v>
      </c>
      <c r="G189" s="220">
        <v>968831</v>
      </c>
      <c r="H189" s="220"/>
      <c r="I189" s="220"/>
      <c r="J189" s="220"/>
      <c r="K189" s="220"/>
      <c r="L189" s="143"/>
      <c r="M189" s="317"/>
      <c r="N189" s="220"/>
      <c r="O189" s="317"/>
      <c r="P189" s="318"/>
    </row>
    <row r="190" spans="2:16">
      <c r="B190" s="215" t="s">
        <v>172</v>
      </c>
      <c r="C190" s="221">
        <v>44154</v>
      </c>
      <c r="D190" s="220">
        <v>2494</v>
      </c>
      <c r="E190" s="215" t="s">
        <v>10</v>
      </c>
      <c r="F190" s="220" t="s">
        <v>252</v>
      </c>
      <c r="G190" s="220">
        <v>966479</v>
      </c>
      <c r="H190" s="220"/>
      <c r="I190" s="220"/>
      <c r="J190" s="220"/>
      <c r="K190" s="220"/>
      <c r="L190" s="143"/>
      <c r="M190" s="317"/>
      <c r="N190" s="220"/>
      <c r="O190" s="317"/>
      <c r="P190" s="318"/>
    </row>
    <row r="191" spans="2:16">
      <c r="B191" s="215" t="s">
        <v>172</v>
      </c>
      <c r="C191" s="221">
        <v>44154</v>
      </c>
      <c r="D191" s="220">
        <v>2494</v>
      </c>
      <c r="E191" s="215" t="s">
        <v>10</v>
      </c>
      <c r="F191" s="220" t="s">
        <v>253</v>
      </c>
      <c r="G191" s="220">
        <v>966548</v>
      </c>
      <c r="H191" s="220"/>
      <c r="I191" s="220"/>
      <c r="J191" s="220"/>
      <c r="K191" s="220"/>
      <c r="L191" s="143"/>
      <c r="M191" s="317"/>
      <c r="N191" s="220"/>
      <c r="O191" s="317"/>
      <c r="P191" s="318"/>
    </row>
    <row r="192" spans="2:16">
      <c r="B192" s="215" t="s">
        <v>172</v>
      </c>
      <c r="C192" s="221">
        <v>44154</v>
      </c>
      <c r="D192" s="220">
        <v>2494</v>
      </c>
      <c r="E192" s="215" t="s">
        <v>10</v>
      </c>
      <c r="F192" s="220" t="s">
        <v>284</v>
      </c>
      <c r="G192" s="220">
        <v>966516</v>
      </c>
      <c r="H192" s="220"/>
      <c r="I192" s="220"/>
      <c r="J192" s="220"/>
      <c r="K192" s="220"/>
      <c r="L192" s="143"/>
      <c r="M192" s="314"/>
      <c r="N192" s="220"/>
      <c r="O192" s="314"/>
      <c r="P192" s="316"/>
    </row>
    <row r="193" spans="2:16">
      <c r="B193" s="215" t="s">
        <v>172</v>
      </c>
      <c r="C193" s="221">
        <v>44168</v>
      </c>
      <c r="D193" s="220">
        <v>2658</v>
      </c>
      <c r="E193" s="215" t="s">
        <v>137</v>
      </c>
      <c r="F193" s="215" t="s">
        <v>290</v>
      </c>
      <c r="G193" s="220">
        <v>969313</v>
      </c>
      <c r="H193" s="313">
        <v>2000</v>
      </c>
      <c r="I193" s="220"/>
      <c r="J193" s="232"/>
      <c r="K193" s="313">
        <f>H193-(I193+I194)</f>
        <v>2000</v>
      </c>
      <c r="L193" s="315">
        <f>(I193+I194)/H193</f>
        <v>0</v>
      </c>
      <c r="M193" s="220"/>
      <c r="N193" s="220"/>
      <c r="O193" s="220"/>
      <c r="P193" s="220"/>
    </row>
    <row r="194" spans="2:16">
      <c r="B194" s="215" t="s">
        <v>172</v>
      </c>
      <c r="C194" s="221">
        <v>44168</v>
      </c>
      <c r="D194" s="220">
        <v>2658</v>
      </c>
      <c r="E194" s="215" t="s">
        <v>137</v>
      </c>
      <c r="F194" s="215" t="s">
        <v>291</v>
      </c>
      <c r="G194" s="220">
        <v>969314</v>
      </c>
      <c r="H194" s="314"/>
      <c r="I194" s="220"/>
      <c r="J194" s="233"/>
      <c r="K194" s="314"/>
      <c r="L194" s="316"/>
      <c r="M194" s="220"/>
      <c r="N194" s="220"/>
      <c r="O194" s="220"/>
      <c r="P194" s="220"/>
    </row>
    <row r="195" spans="2:16">
      <c r="B195" s="220" t="s">
        <v>172</v>
      </c>
      <c r="C195" s="221">
        <v>44182</v>
      </c>
      <c r="D195" s="220">
        <v>2738</v>
      </c>
      <c r="E195" s="220" t="s">
        <v>137</v>
      </c>
      <c r="F195" s="220" t="s">
        <v>292</v>
      </c>
      <c r="G195" s="220">
        <v>969441</v>
      </c>
      <c r="H195" s="220">
        <v>1181.04</v>
      </c>
      <c r="I195" s="220"/>
      <c r="J195" s="220"/>
      <c r="K195" s="220">
        <f>H195-I195</f>
        <v>1181.04</v>
      </c>
      <c r="L195" s="143">
        <f>I195/H195</f>
        <v>0</v>
      </c>
      <c r="M195" s="220"/>
      <c r="N195" s="220"/>
      <c r="O195" s="220"/>
      <c r="P195" s="220"/>
    </row>
    <row r="196" spans="2:16">
      <c r="B196" s="220"/>
      <c r="C196" s="221"/>
      <c r="D196" s="220"/>
      <c r="E196" s="220"/>
      <c r="F196" s="220"/>
      <c r="G196" s="220"/>
      <c r="H196" s="220"/>
      <c r="I196" s="220"/>
      <c r="J196" s="220"/>
      <c r="K196" s="220"/>
      <c r="L196" s="143"/>
      <c r="M196" s="220"/>
      <c r="N196" s="220"/>
      <c r="O196" s="220"/>
      <c r="P196" s="220"/>
    </row>
    <row r="197" spans="2:16">
      <c r="B197" s="220"/>
      <c r="C197" s="221"/>
      <c r="D197" s="220"/>
      <c r="E197" s="220"/>
      <c r="F197" s="220"/>
      <c r="G197" s="220"/>
      <c r="H197" s="220"/>
      <c r="I197" s="220"/>
      <c r="J197" s="220"/>
      <c r="K197" s="220"/>
      <c r="L197" s="143"/>
      <c r="M197" s="220"/>
      <c r="N197" s="220"/>
      <c r="O197" s="220"/>
      <c r="P197" s="220"/>
    </row>
    <row r="198" spans="2:16">
      <c r="B198" s="220"/>
      <c r="C198" s="221"/>
      <c r="D198" s="220"/>
      <c r="E198" s="220"/>
      <c r="F198" s="220"/>
      <c r="G198" s="220"/>
      <c r="H198" s="220"/>
      <c r="I198" s="220"/>
      <c r="J198" s="220"/>
      <c r="K198" s="220"/>
      <c r="L198" s="143"/>
      <c r="M198" s="220"/>
      <c r="N198" s="220"/>
      <c r="O198" s="220"/>
      <c r="P198" s="220"/>
    </row>
    <row r="199" spans="2:16">
      <c r="B199" s="220"/>
      <c r="C199" s="221"/>
      <c r="D199" s="220"/>
      <c r="E199" s="220"/>
      <c r="F199" s="220"/>
      <c r="G199" s="220"/>
      <c r="H199" s="220"/>
      <c r="I199" s="220"/>
      <c r="J199" s="220"/>
      <c r="K199" s="220"/>
      <c r="L199" s="143"/>
      <c r="M199" s="220"/>
      <c r="N199" s="220"/>
      <c r="O199" s="220"/>
      <c r="P199" s="220"/>
    </row>
    <row r="200" spans="2:16">
      <c r="B200" s="220"/>
      <c r="C200" s="221"/>
      <c r="D200" s="220"/>
      <c r="E200" s="220"/>
      <c r="F200" s="220"/>
      <c r="G200" s="220"/>
      <c r="H200" s="220"/>
      <c r="I200" s="220"/>
      <c r="J200" s="220"/>
      <c r="K200" s="220"/>
      <c r="L200" s="143"/>
      <c r="M200" s="220"/>
      <c r="N200" s="220"/>
      <c r="O200" s="220"/>
      <c r="P200" s="220"/>
    </row>
    <row r="201" spans="2:16">
      <c r="B201" s="220"/>
      <c r="C201" s="221"/>
      <c r="D201" s="220"/>
      <c r="E201" s="220"/>
      <c r="F201" s="220"/>
      <c r="G201" s="220"/>
      <c r="H201" s="220"/>
      <c r="I201" s="220"/>
      <c r="J201" s="220"/>
      <c r="K201" s="220"/>
      <c r="L201" s="143"/>
      <c r="M201" s="220"/>
      <c r="N201" s="220"/>
      <c r="O201" s="220"/>
      <c r="P201" s="220"/>
    </row>
    <row r="202" spans="2:16">
      <c r="C202" s="173"/>
      <c r="H202" s="174"/>
      <c r="I202" s="174"/>
      <c r="J202" s="174"/>
      <c r="K202" s="174"/>
      <c r="L202" s="175"/>
    </row>
    <row r="203" spans="2:16">
      <c r="C203" s="173"/>
      <c r="H203" s="174"/>
      <c r="I203" s="174"/>
      <c r="J203" s="174"/>
      <c r="K203" s="174"/>
      <c r="L203" s="175"/>
    </row>
    <row r="204" spans="2:16">
      <c r="C204" s="173"/>
      <c r="H204" s="174"/>
      <c r="I204" s="174"/>
      <c r="J204" s="174"/>
      <c r="K204" s="174"/>
      <c r="L204" s="175"/>
    </row>
    <row r="205" spans="2:16">
      <c r="C205" s="173"/>
      <c r="H205" s="174"/>
      <c r="I205" s="174"/>
      <c r="J205" s="174"/>
      <c r="K205" s="174"/>
      <c r="L205" s="175"/>
    </row>
    <row r="206" spans="2:16">
      <c r="C206" s="173"/>
      <c r="H206" s="174"/>
      <c r="I206" s="174"/>
      <c r="J206" s="174"/>
      <c r="K206" s="174"/>
      <c r="L206" s="175"/>
    </row>
    <row r="207" spans="2:16">
      <c r="C207" s="173"/>
      <c r="H207" s="174"/>
      <c r="I207" s="174"/>
      <c r="J207" s="174"/>
      <c r="K207" s="174"/>
      <c r="L207" s="175"/>
    </row>
    <row r="208" spans="2:16">
      <c r="C208" s="173"/>
      <c r="H208" s="174"/>
      <c r="I208" s="174"/>
      <c r="J208" s="174"/>
      <c r="K208" s="174"/>
      <c r="L208" s="175"/>
    </row>
    <row r="209" spans="3:12">
      <c r="C209" s="173"/>
      <c r="H209" s="174"/>
      <c r="I209" s="174"/>
      <c r="J209" s="174"/>
      <c r="K209" s="174"/>
      <c r="L209" s="175"/>
    </row>
    <row r="210" spans="3:12">
      <c r="C210" s="173"/>
      <c r="H210" s="174"/>
      <c r="I210" s="174"/>
      <c r="J210" s="174"/>
      <c r="K210" s="174"/>
      <c r="L210" s="175"/>
    </row>
    <row r="211" spans="3:12">
      <c r="C211" s="173"/>
      <c r="H211" s="174"/>
      <c r="I211" s="174"/>
      <c r="J211" s="174"/>
      <c r="K211" s="174"/>
      <c r="L211" s="175"/>
    </row>
    <row r="212" spans="3:12">
      <c r="C212" s="173"/>
      <c r="H212" s="174"/>
      <c r="I212" s="174"/>
      <c r="J212" s="174"/>
      <c r="K212" s="174"/>
      <c r="L212" s="175"/>
    </row>
    <row r="213" spans="3:12">
      <c r="C213" s="173"/>
      <c r="H213" s="174"/>
      <c r="I213" s="174"/>
      <c r="J213" s="174"/>
      <c r="K213" s="174"/>
      <c r="L213" s="175"/>
    </row>
    <row r="214" spans="3:12">
      <c r="C214" s="173"/>
      <c r="L214" s="176"/>
    </row>
    <row r="215" spans="3:12">
      <c r="C215" s="173"/>
      <c r="H215" s="174"/>
      <c r="I215" s="174"/>
      <c r="J215" s="174"/>
      <c r="K215" s="174"/>
      <c r="L215" s="175"/>
    </row>
    <row r="216" spans="3:12">
      <c r="C216" s="173"/>
      <c r="H216" s="174"/>
      <c r="I216" s="174"/>
      <c r="J216" s="174"/>
      <c r="K216" s="174"/>
      <c r="L216" s="175"/>
    </row>
    <row r="217" spans="3:12">
      <c r="C217" s="173"/>
      <c r="H217" s="174"/>
      <c r="I217" s="174"/>
      <c r="J217" s="174"/>
      <c r="K217" s="174"/>
      <c r="L217" s="175"/>
    </row>
    <row r="218" spans="3:12">
      <c r="C218" s="173"/>
      <c r="H218" s="174"/>
      <c r="I218" s="174"/>
      <c r="J218" s="174"/>
      <c r="K218" s="174"/>
      <c r="L218" s="175"/>
    </row>
    <row r="219" spans="3:12">
      <c r="C219" s="173"/>
      <c r="H219" s="174"/>
      <c r="I219" s="174"/>
      <c r="J219" s="174"/>
      <c r="K219" s="174"/>
      <c r="L219" s="175"/>
    </row>
    <row r="220" spans="3:12">
      <c r="C220" s="173"/>
      <c r="H220" s="174"/>
      <c r="I220" s="174"/>
      <c r="J220" s="174"/>
      <c r="K220" s="174"/>
      <c r="L220" s="175"/>
    </row>
    <row r="221" spans="3:12">
      <c r="C221" s="173"/>
      <c r="H221" s="174"/>
      <c r="I221" s="174"/>
      <c r="J221" s="174"/>
      <c r="K221" s="174"/>
      <c r="L221" s="175"/>
    </row>
    <row r="222" spans="3:12">
      <c r="C222" s="173"/>
      <c r="H222" s="174"/>
      <c r="I222" s="174"/>
      <c r="J222" s="174"/>
      <c r="K222" s="174"/>
      <c r="L222" s="175"/>
    </row>
    <row r="223" spans="3:12">
      <c r="C223" s="173"/>
      <c r="H223" s="174"/>
      <c r="I223" s="174"/>
      <c r="J223" s="174"/>
      <c r="K223" s="174"/>
      <c r="L223" s="175"/>
    </row>
    <row r="224" spans="3:12">
      <c r="C224" s="173"/>
      <c r="H224" s="174"/>
      <c r="I224" s="174"/>
      <c r="J224" s="174"/>
      <c r="K224" s="174"/>
      <c r="L224" s="175"/>
    </row>
    <row r="225" spans="3:12">
      <c r="C225" s="173"/>
      <c r="H225" s="174"/>
      <c r="I225" s="174"/>
      <c r="J225" s="174"/>
      <c r="K225" s="174"/>
      <c r="L225" s="175"/>
    </row>
    <row r="226" spans="3:12">
      <c r="C226" s="173"/>
      <c r="H226" s="174"/>
      <c r="I226" s="174"/>
      <c r="J226" s="174"/>
      <c r="K226" s="174"/>
      <c r="L226" s="175"/>
    </row>
    <row r="227" spans="3:12">
      <c r="C227" s="173"/>
      <c r="H227" s="174"/>
      <c r="I227" s="174"/>
      <c r="J227" s="174"/>
      <c r="K227" s="174"/>
      <c r="L227" s="175"/>
    </row>
    <row r="228" spans="3:12">
      <c r="C228" s="173"/>
      <c r="H228" s="174"/>
      <c r="I228" s="174"/>
      <c r="J228" s="174"/>
      <c r="K228" s="174"/>
      <c r="L228" s="175"/>
    </row>
    <row r="229" spans="3:12">
      <c r="C229" s="173"/>
      <c r="H229" s="174"/>
      <c r="I229" s="174"/>
      <c r="J229" s="174"/>
      <c r="K229" s="174"/>
      <c r="L229" s="175"/>
    </row>
    <row r="230" spans="3:12">
      <c r="C230" s="173"/>
      <c r="H230" s="174"/>
      <c r="I230" s="174"/>
      <c r="J230" s="174"/>
      <c r="K230" s="174"/>
      <c r="L230" s="175"/>
    </row>
    <row r="231" spans="3:12">
      <c r="C231" s="173"/>
      <c r="H231" s="174"/>
      <c r="I231" s="174"/>
      <c r="J231" s="174"/>
      <c r="K231" s="174"/>
      <c r="L231" s="175"/>
    </row>
    <row r="232" spans="3:12">
      <c r="C232" s="173"/>
      <c r="L232" s="176"/>
    </row>
    <row r="233" spans="3:12">
      <c r="C233" s="173"/>
      <c r="H233" s="174"/>
      <c r="I233" s="174"/>
      <c r="J233" s="174"/>
      <c r="K233" s="174"/>
      <c r="L233" s="175"/>
    </row>
    <row r="234" spans="3:12">
      <c r="C234" s="173"/>
      <c r="H234" s="174"/>
      <c r="I234" s="174"/>
      <c r="J234" s="174"/>
      <c r="K234" s="174"/>
      <c r="L234" s="175"/>
    </row>
    <row r="235" spans="3:12">
      <c r="C235" s="173"/>
      <c r="H235" s="174"/>
      <c r="I235" s="174"/>
      <c r="J235" s="174"/>
      <c r="K235" s="174"/>
      <c r="L235" s="175"/>
    </row>
    <row r="236" spans="3:12">
      <c r="C236" s="173"/>
      <c r="H236" s="174"/>
      <c r="I236" s="174"/>
      <c r="J236" s="174"/>
      <c r="K236" s="174"/>
      <c r="L236" s="175"/>
    </row>
    <row r="237" spans="3:12">
      <c r="C237" s="173"/>
      <c r="H237" s="174"/>
      <c r="I237" s="174"/>
      <c r="J237" s="174"/>
      <c r="K237" s="174"/>
      <c r="L237" s="175"/>
    </row>
    <row r="238" spans="3:12">
      <c r="C238" s="173"/>
      <c r="H238" s="174"/>
      <c r="I238" s="174"/>
      <c r="J238" s="174"/>
      <c r="K238" s="174"/>
      <c r="L238" s="175"/>
    </row>
    <row r="239" spans="3:12">
      <c r="C239" s="173"/>
      <c r="H239" s="174"/>
      <c r="I239" s="174"/>
      <c r="J239" s="174"/>
      <c r="K239" s="174"/>
      <c r="L239" s="175"/>
    </row>
    <row r="240" spans="3:12">
      <c r="C240" s="173"/>
      <c r="H240" s="174"/>
      <c r="I240" s="174"/>
      <c r="J240" s="174"/>
      <c r="K240" s="174"/>
      <c r="L240" s="175"/>
    </row>
    <row r="241" spans="3:12">
      <c r="C241" s="173"/>
      <c r="H241" s="174"/>
      <c r="I241" s="174"/>
      <c r="J241" s="174"/>
      <c r="K241" s="174"/>
      <c r="L241" s="175"/>
    </row>
    <row r="242" spans="3:12">
      <c r="C242" s="173"/>
      <c r="H242" s="174"/>
      <c r="I242" s="174"/>
      <c r="J242" s="174"/>
      <c r="K242" s="174"/>
      <c r="L242" s="175"/>
    </row>
    <row r="243" spans="3:12">
      <c r="C243" s="173"/>
      <c r="H243" s="174"/>
      <c r="I243" s="174"/>
      <c r="J243" s="174"/>
      <c r="K243" s="174"/>
      <c r="L243" s="175"/>
    </row>
    <row r="244" spans="3:12">
      <c r="C244" s="173"/>
      <c r="H244" s="174"/>
      <c r="I244" s="174"/>
      <c r="J244" s="174"/>
      <c r="K244" s="174"/>
      <c r="L244" s="175"/>
    </row>
    <row r="245" spans="3:12">
      <c r="C245" s="173"/>
      <c r="H245" s="174"/>
      <c r="I245" s="174"/>
      <c r="J245" s="174"/>
      <c r="K245" s="174"/>
      <c r="L245" s="175"/>
    </row>
    <row r="246" spans="3:12">
      <c r="C246" s="173"/>
      <c r="H246" s="174"/>
      <c r="I246" s="174"/>
      <c r="J246" s="174"/>
      <c r="K246" s="174"/>
      <c r="L246" s="175"/>
    </row>
    <row r="247" spans="3:12">
      <c r="C247" s="173"/>
      <c r="H247" s="174"/>
      <c r="I247" s="174"/>
      <c r="J247" s="174"/>
      <c r="K247" s="174"/>
      <c r="L247" s="175"/>
    </row>
    <row r="248" spans="3:12">
      <c r="C248" s="173"/>
      <c r="H248" s="174"/>
      <c r="I248" s="174"/>
      <c r="J248" s="174"/>
      <c r="K248" s="174"/>
      <c r="L248" s="175"/>
    </row>
    <row r="249" spans="3:12">
      <c r="C249" s="173"/>
      <c r="H249" s="174"/>
      <c r="I249" s="174"/>
      <c r="J249" s="174"/>
      <c r="K249" s="174"/>
      <c r="L249" s="175"/>
    </row>
    <row r="250" spans="3:12">
      <c r="C250" s="173"/>
      <c r="H250" s="174"/>
      <c r="I250" s="174"/>
      <c r="J250" s="174"/>
      <c r="K250" s="174"/>
      <c r="L250" s="175"/>
    </row>
    <row r="251" spans="3:12">
      <c r="C251" s="173"/>
      <c r="H251" s="174"/>
      <c r="I251" s="174"/>
      <c r="J251" s="174"/>
      <c r="K251" s="174"/>
      <c r="L251" s="175"/>
    </row>
    <row r="252" spans="3:12">
      <c r="C252" s="173"/>
      <c r="H252" s="174"/>
      <c r="I252" s="174"/>
      <c r="J252" s="174"/>
      <c r="K252" s="174"/>
      <c r="L252" s="175"/>
    </row>
    <row r="253" spans="3:12">
      <c r="C253" s="173"/>
      <c r="H253" s="174"/>
      <c r="I253" s="174"/>
      <c r="J253" s="174"/>
      <c r="K253" s="174"/>
      <c r="L253" s="175"/>
    </row>
    <row r="254" spans="3:12">
      <c r="C254" s="173"/>
      <c r="H254" s="174"/>
      <c r="I254" s="174"/>
      <c r="J254" s="174"/>
      <c r="K254" s="174"/>
      <c r="L254" s="175"/>
    </row>
    <row r="255" spans="3:12">
      <c r="C255" s="173"/>
      <c r="H255" s="174"/>
      <c r="I255" s="174"/>
      <c r="J255" s="174"/>
      <c r="K255" s="174"/>
      <c r="L255" s="175"/>
    </row>
    <row r="256" spans="3:12">
      <c r="C256" s="173"/>
      <c r="H256" s="174"/>
      <c r="I256" s="174"/>
      <c r="J256" s="174"/>
      <c r="K256" s="174"/>
      <c r="L256" s="175"/>
    </row>
    <row r="257" spans="3:12">
      <c r="C257" s="173"/>
      <c r="H257" s="174"/>
      <c r="I257" s="174"/>
      <c r="J257" s="174"/>
      <c r="K257" s="174"/>
      <c r="L257" s="175"/>
    </row>
    <row r="258" spans="3:12">
      <c r="C258" s="173"/>
      <c r="H258" s="174"/>
      <c r="I258" s="174"/>
      <c r="J258" s="174"/>
      <c r="K258" s="174"/>
      <c r="L258" s="175"/>
    </row>
    <row r="259" spans="3:12">
      <c r="C259" s="173"/>
      <c r="H259" s="174"/>
      <c r="I259" s="174"/>
      <c r="J259" s="174"/>
      <c r="K259" s="174"/>
      <c r="L259" s="175"/>
    </row>
    <row r="260" spans="3:12">
      <c r="C260" s="173"/>
      <c r="H260" s="174"/>
      <c r="I260" s="174"/>
      <c r="J260" s="174"/>
      <c r="K260" s="174"/>
      <c r="L260" s="175"/>
    </row>
    <row r="261" spans="3:12">
      <c r="C261" s="173"/>
      <c r="H261" s="174"/>
      <c r="I261" s="174"/>
      <c r="J261" s="174"/>
      <c r="K261" s="174"/>
      <c r="L261" s="175"/>
    </row>
    <row r="262" spans="3:12">
      <c r="C262" s="173"/>
      <c r="H262" s="174"/>
      <c r="I262" s="174"/>
      <c r="J262" s="174"/>
      <c r="K262" s="174"/>
      <c r="L262" s="175"/>
    </row>
    <row r="263" spans="3:12">
      <c r="C263" s="173"/>
      <c r="H263" s="174"/>
      <c r="I263" s="174"/>
      <c r="J263" s="174"/>
      <c r="K263" s="174"/>
      <c r="L263" s="175"/>
    </row>
    <row r="264" spans="3:12">
      <c r="C264" s="173"/>
      <c r="H264" s="174"/>
      <c r="I264" s="174"/>
      <c r="J264" s="174"/>
      <c r="K264" s="174"/>
      <c r="L264" s="175"/>
    </row>
    <row r="265" spans="3:12">
      <c r="C265" s="173"/>
      <c r="H265" s="174"/>
      <c r="I265" s="174"/>
      <c r="J265" s="174"/>
      <c r="K265" s="174"/>
      <c r="L265" s="175"/>
    </row>
    <row r="266" spans="3:12">
      <c r="C266" s="173"/>
      <c r="H266" s="174"/>
      <c r="I266" s="174"/>
      <c r="J266" s="174"/>
      <c r="K266" s="174"/>
      <c r="L266" s="175"/>
    </row>
    <row r="267" spans="3:12">
      <c r="C267" s="173"/>
      <c r="H267" s="174"/>
      <c r="I267" s="174"/>
      <c r="J267" s="174"/>
      <c r="K267" s="174"/>
      <c r="L267" s="175"/>
    </row>
    <row r="268" spans="3:12">
      <c r="C268" s="173"/>
      <c r="H268" s="174"/>
      <c r="I268" s="174"/>
      <c r="J268" s="174"/>
      <c r="K268" s="174"/>
      <c r="L268" s="175"/>
    </row>
    <row r="269" spans="3:12">
      <c r="C269" s="173"/>
      <c r="H269" s="174"/>
      <c r="I269" s="174"/>
      <c r="J269" s="174"/>
      <c r="K269" s="174"/>
      <c r="L269" s="175"/>
    </row>
    <row r="270" spans="3:12">
      <c r="C270" s="173"/>
      <c r="H270" s="174"/>
      <c r="I270" s="174"/>
      <c r="J270" s="174"/>
      <c r="K270" s="174"/>
      <c r="L270" s="175"/>
    </row>
    <row r="271" spans="3:12">
      <c r="C271" s="173"/>
      <c r="H271" s="174"/>
      <c r="I271" s="174"/>
      <c r="J271" s="174"/>
      <c r="K271" s="174"/>
      <c r="L271" s="175"/>
    </row>
    <row r="272" spans="3:12">
      <c r="C272" s="173"/>
      <c r="H272" s="174"/>
      <c r="I272" s="174"/>
      <c r="J272" s="174"/>
      <c r="K272" s="174"/>
      <c r="L272" s="175"/>
    </row>
    <row r="273" spans="3:12">
      <c r="C273" s="173"/>
      <c r="H273" s="174"/>
      <c r="I273" s="174"/>
      <c r="J273" s="174"/>
      <c r="K273" s="174"/>
      <c r="L273" s="175"/>
    </row>
    <row r="274" spans="3:12">
      <c r="C274" s="173"/>
      <c r="H274" s="174"/>
      <c r="I274" s="174"/>
      <c r="J274" s="174"/>
      <c r="K274" s="174"/>
      <c r="L274" s="175"/>
    </row>
    <row r="275" spans="3:12">
      <c r="C275" s="173"/>
      <c r="H275" s="174"/>
      <c r="I275" s="174"/>
      <c r="J275" s="174"/>
      <c r="K275" s="174"/>
      <c r="L275" s="175"/>
    </row>
  </sheetData>
  <autoFilter ref="B4:P195"/>
  <mergeCells count="48">
    <mergeCell ref="H162:H163"/>
    <mergeCell ref="K162:K163"/>
    <mergeCell ref="L162:L163"/>
    <mergeCell ref="M159:M160"/>
    <mergeCell ref="O159:O160"/>
    <mergeCell ref="P159:P160"/>
    <mergeCell ref="H142:H156"/>
    <mergeCell ref="K142:K156"/>
    <mergeCell ref="L142:L156"/>
    <mergeCell ref="H135:H141"/>
    <mergeCell ref="L135:L141"/>
    <mergeCell ref="K135:K141"/>
    <mergeCell ref="H103:H131"/>
    <mergeCell ref="K103:K131"/>
    <mergeCell ref="L103:L131"/>
    <mergeCell ref="H92:H101"/>
    <mergeCell ref="K92:K101"/>
    <mergeCell ref="L92:L101"/>
    <mergeCell ref="H48:H91"/>
    <mergeCell ref="K48:K91"/>
    <mergeCell ref="L48:L91"/>
    <mergeCell ref="O23:O31"/>
    <mergeCell ref="P23:P31"/>
    <mergeCell ref="H33:H35"/>
    <mergeCell ref="K33:K35"/>
    <mergeCell ref="L33:L35"/>
    <mergeCell ref="H36:H47"/>
    <mergeCell ref="K36:K47"/>
    <mergeCell ref="L36:L47"/>
    <mergeCell ref="M2:P2"/>
    <mergeCell ref="T3:W3"/>
    <mergeCell ref="H2:L2"/>
    <mergeCell ref="M23:M31"/>
    <mergeCell ref="H8:H22"/>
    <mergeCell ref="K8:K22"/>
    <mergeCell ref="L8:L22"/>
    <mergeCell ref="P173:P183"/>
    <mergeCell ref="M184:M192"/>
    <mergeCell ref="O184:O192"/>
    <mergeCell ref="P184:P192"/>
    <mergeCell ref="H166:H172"/>
    <mergeCell ref="K166:K172"/>
    <mergeCell ref="L166:L172"/>
    <mergeCell ref="H193:H194"/>
    <mergeCell ref="K193:K194"/>
    <mergeCell ref="L193:L194"/>
    <mergeCell ref="M173:M183"/>
    <mergeCell ref="O173:O183"/>
  </mergeCells>
  <conditionalFormatting sqref="P5:P23 P164:P214 L5:L8 L23:L33 L36 L48 L92 L103 L132:L135 L142 L161 P161 L157:L158 P32:P159 L164:L192 L195:L214">
    <cfRule type="cellIs" dxfId="1" priority="3" operator="greaterThan">
      <formula>0.9</formula>
    </cfRule>
  </conditionalFormatting>
  <conditionalFormatting sqref="L102">
    <cfRule type="cellIs" dxfId="0" priority="1" operator="greaterThan">
      <formula>0.9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2"/>
  <sheetViews>
    <sheetView workbookViewId="0">
      <selection activeCell="P6" sqref="P6"/>
    </sheetView>
  </sheetViews>
  <sheetFormatPr baseColWidth="10" defaultRowHeight="15"/>
  <cols>
    <col min="1" max="1" width="11.42578125" style="117"/>
    <col min="2" max="2" width="20.7109375" style="117" customWidth="1"/>
    <col min="3" max="3" width="15.5703125" style="117" customWidth="1"/>
    <col min="4" max="5" width="18.42578125" style="117" customWidth="1"/>
    <col min="6" max="7" width="11.42578125" style="117"/>
    <col min="8" max="8" width="14.42578125" style="117" customWidth="1"/>
    <col min="9" max="16384" width="11.42578125" style="117"/>
  </cols>
  <sheetData>
    <row r="3" spans="2:16">
      <c r="C3" s="324" t="s">
        <v>165</v>
      </c>
      <c r="D3" s="324"/>
      <c r="E3" s="324"/>
      <c r="F3" s="324"/>
      <c r="G3" s="324"/>
      <c r="H3" s="324"/>
    </row>
    <row r="4" spans="2:16">
      <c r="B4" s="211"/>
      <c r="C4" s="325">
        <f>Resumen!C4</f>
        <v>44214</v>
      </c>
      <c r="D4" s="325"/>
      <c r="E4" s="325"/>
      <c r="F4" s="325"/>
      <c r="G4" s="325"/>
      <c r="H4" s="325"/>
      <c r="I4" s="211"/>
      <c r="J4" s="211"/>
      <c r="O4" s="324" t="s">
        <v>147</v>
      </c>
      <c r="P4" s="324"/>
    </row>
    <row r="5" spans="2:16">
      <c r="B5" s="212" t="s">
        <v>166</v>
      </c>
      <c r="C5" s="212" t="s">
        <v>128</v>
      </c>
      <c r="D5" s="212" t="s">
        <v>129</v>
      </c>
      <c r="E5" s="212" t="s">
        <v>24</v>
      </c>
      <c r="F5" s="212" t="s">
        <v>119</v>
      </c>
      <c r="G5" s="212" t="s">
        <v>167</v>
      </c>
      <c r="H5" s="212" t="s">
        <v>6</v>
      </c>
      <c r="I5" s="212" t="s">
        <v>7</v>
      </c>
      <c r="J5" s="210"/>
      <c r="O5" s="214" t="s">
        <v>117</v>
      </c>
      <c r="P5" s="215">
        <f>+H9+H19+H26+H33+H42</f>
        <v>0.01</v>
      </c>
    </row>
    <row r="6" spans="2:16">
      <c r="B6" s="217">
        <v>13</v>
      </c>
      <c r="C6" s="218" t="s">
        <v>168</v>
      </c>
      <c r="D6" s="215">
        <v>961267</v>
      </c>
      <c r="E6" s="215" t="s">
        <v>11</v>
      </c>
      <c r="F6" s="215" t="s">
        <v>117</v>
      </c>
      <c r="G6" s="215">
        <v>8</v>
      </c>
      <c r="H6" s="219">
        <v>2.1999999999999999E-2</v>
      </c>
      <c r="I6" s="215">
        <f>G6-H6</f>
        <v>7.9779999999999998</v>
      </c>
      <c r="J6" s="213"/>
      <c r="O6" s="214" t="s">
        <v>140</v>
      </c>
      <c r="P6" s="209"/>
    </row>
    <row r="7" spans="2:16">
      <c r="B7" s="217">
        <v>13</v>
      </c>
      <c r="C7" s="218" t="s">
        <v>169</v>
      </c>
      <c r="D7" s="215">
        <v>964933</v>
      </c>
      <c r="E7" s="215" t="s">
        <v>12</v>
      </c>
      <c r="F7" s="215" t="s">
        <v>117</v>
      </c>
      <c r="G7" s="215">
        <v>8</v>
      </c>
      <c r="H7" s="219">
        <v>5.0999999999999997E-2</v>
      </c>
      <c r="I7" s="215">
        <f>G7-H7</f>
        <v>7.9489999999999998</v>
      </c>
      <c r="J7" s="213"/>
    </row>
    <row r="8" spans="2:16">
      <c r="B8" s="217">
        <v>189</v>
      </c>
      <c r="C8" s="218" t="s">
        <v>168</v>
      </c>
      <c r="D8" s="215">
        <v>961267</v>
      </c>
      <c r="E8" s="215" t="s">
        <v>11</v>
      </c>
      <c r="F8" s="215" t="s">
        <v>117</v>
      </c>
      <c r="G8" s="215">
        <v>2.5</v>
      </c>
      <c r="H8" s="219">
        <v>6.0000000000000001E-3</v>
      </c>
      <c r="I8" s="215">
        <f>G8-H8</f>
        <v>2.4940000000000002</v>
      </c>
      <c r="J8" s="213"/>
    </row>
    <row r="9" spans="2:16">
      <c r="B9" s="217">
        <v>189</v>
      </c>
      <c r="C9" s="215" t="s">
        <v>188</v>
      </c>
      <c r="D9" s="215">
        <v>966707</v>
      </c>
      <c r="E9" s="215" t="s">
        <v>12</v>
      </c>
      <c r="F9" s="215" t="s">
        <v>117</v>
      </c>
      <c r="G9" s="215">
        <v>2.5</v>
      </c>
      <c r="H9" s="219">
        <v>0.01</v>
      </c>
      <c r="I9" s="215">
        <f>G9-H9</f>
        <v>2.4900000000000002</v>
      </c>
      <c r="J9" s="211"/>
    </row>
    <row r="10" spans="2:16">
      <c r="B10" s="215">
        <v>430</v>
      </c>
      <c r="C10" s="218" t="s">
        <v>168</v>
      </c>
      <c r="D10" s="215">
        <v>961267</v>
      </c>
      <c r="E10" s="215" t="s">
        <v>11</v>
      </c>
      <c r="F10" s="215" t="s">
        <v>117</v>
      </c>
      <c r="G10" s="215">
        <v>2.5</v>
      </c>
      <c r="H10" s="219">
        <v>2.5999999999999999E-2</v>
      </c>
      <c r="I10" s="215">
        <f>G10-H10</f>
        <v>2.4740000000000002</v>
      </c>
      <c r="J10" s="211"/>
    </row>
    <row r="11" spans="2:16">
      <c r="B11" s="215">
        <v>430</v>
      </c>
      <c r="C11" s="215" t="s">
        <v>176</v>
      </c>
      <c r="D11" s="215">
        <v>965236</v>
      </c>
      <c r="E11" s="215" t="s">
        <v>12</v>
      </c>
      <c r="F11" s="215" t="s">
        <v>117</v>
      </c>
      <c r="G11" s="215">
        <v>2.5</v>
      </c>
      <c r="H11" s="219"/>
      <c r="I11" s="215">
        <f t="shared" ref="I11:I14" si="0">G11-H11</f>
        <v>2.5</v>
      </c>
      <c r="J11" s="211"/>
    </row>
    <row r="12" spans="2:16">
      <c r="B12" s="215">
        <v>442</v>
      </c>
      <c r="C12" s="215" t="s">
        <v>255</v>
      </c>
      <c r="D12" s="215">
        <v>968468</v>
      </c>
      <c r="E12" s="215" t="s">
        <v>11</v>
      </c>
      <c r="F12" s="215" t="s">
        <v>117</v>
      </c>
      <c r="G12" s="215">
        <v>2.5</v>
      </c>
      <c r="H12" s="219">
        <v>4.3999999999999997E-2</v>
      </c>
      <c r="I12" s="215">
        <f t="shared" si="0"/>
        <v>2.456</v>
      </c>
      <c r="J12" s="211"/>
    </row>
    <row r="13" spans="2:16">
      <c r="B13" s="215">
        <v>442</v>
      </c>
      <c r="C13" s="215" t="s">
        <v>188</v>
      </c>
      <c r="D13" s="215">
        <v>966707</v>
      </c>
      <c r="E13" s="215" t="s">
        <v>12</v>
      </c>
      <c r="F13" s="215" t="s">
        <v>117</v>
      </c>
      <c r="G13" s="215">
        <v>2.5</v>
      </c>
      <c r="H13" s="219">
        <v>0.2</v>
      </c>
      <c r="I13" s="215">
        <f t="shared" si="0"/>
        <v>2.2999999999999998</v>
      </c>
      <c r="J13" s="211"/>
    </row>
    <row r="14" spans="2:16">
      <c r="B14" s="215">
        <v>442</v>
      </c>
      <c r="C14" s="218" t="s">
        <v>179</v>
      </c>
      <c r="D14" s="215">
        <v>966397</v>
      </c>
      <c r="E14" s="215" t="s">
        <v>12</v>
      </c>
      <c r="F14" s="215" t="s">
        <v>117</v>
      </c>
      <c r="G14" s="215">
        <v>1</v>
      </c>
      <c r="H14" s="219">
        <v>0.15</v>
      </c>
      <c r="I14" s="215">
        <f t="shared" si="0"/>
        <v>0.85</v>
      </c>
      <c r="J14" s="176"/>
    </row>
    <row r="15" spans="2:16">
      <c r="B15" s="180"/>
      <c r="C15" s="180"/>
      <c r="D15" s="211"/>
      <c r="E15" s="211"/>
      <c r="F15" s="211"/>
      <c r="G15" s="211"/>
      <c r="H15" s="211">
        <f>SUM(H6:H14)</f>
        <v>0.50900000000000001</v>
      </c>
      <c r="I15" s="211"/>
      <c r="J15" s="176"/>
    </row>
    <row r="16" spans="2:16">
      <c r="B16" s="180"/>
      <c r="C16" s="180"/>
      <c r="D16" s="211"/>
      <c r="E16" s="211"/>
      <c r="F16" s="211"/>
      <c r="G16" s="211"/>
      <c r="H16" s="211"/>
      <c r="I16" s="211"/>
      <c r="J16" s="176"/>
    </row>
    <row r="17" spans="2:10">
      <c r="B17" s="180"/>
      <c r="C17" s="180"/>
      <c r="D17" s="211"/>
      <c r="E17" s="211"/>
      <c r="F17" s="211"/>
      <c r="G17" s="211"/>
      <c r="H17" s="211"/>
      <c r="I17" s="211"/>
      <c r="J17" s="176"/>
    </row>
    <row r="18" spans="2:10">
      <c r="B18" s="180"/>
      <c r="C18" s="180"/>
      <c r="D18" s="211"/>
      <c r="E18" s="211"/>
      <c r="F18" s="211"/>
      <c r="G18" s="211"/>
      <c r="H18" s="211"/>
      <c r="I18" s="211"/>
      <c r="J18" s="176"/>
    </row>
    <row r="19" spans="2:10">
      <c r="B19" s="180"/>
      <c r="C19" s="180"/>
      <c r="D19" s="211"/>
      <c r="E19" s="211"/>
      <c r="F19" s="211"/>
      <c r="G19" s="211"/>
      <c r="H19" s="211"/>
      <c r="I19" s="211"/>
      <c r="J19" s="211"/>
    </row>
    <row r="20" spans="2:10">
      <c r="B20" s="211"/>
      <c r="C20" s="211"/>
      <c r="D20" s="211"/>
      <c r="E20" s="211"/>
      <c r="F20" s="211"/>
      <c r="G20" s="211"/>
      <c r="H20" s="211"/>
      <c r="I20" s="211"/>
      <c r="J20" s="211"/>
    </row>
    <row r="21" spans="2:10">
      <c r="B21" s="211"/>
      <c r="C21" s="211"/>
      <c r="D21" s="211"/>
      <c r="E21" s="211"/>
      <c r="F21" s="211"/>
      <c r="G21" s="211"/>
      <c r="H21" s="211"/>
      <c r="I21" s="211"/>
      <c r="J21" s="211"/>
    </row>
    <row r="22" spans="2:10">
      <c r="B22" s="211"/>
      <c r="C22" s="211"/>
      <c r="D22" s="211"/>
      <c r="E22" s="211"/>
      <c r="F22" s="211"/>
      <c r="G22" s="211"/>
      <c r="H22" s="211"/>
      <c r="I22" s="211"/>
      <c r="J22" s="211"/>
    </row>
    <row r="23" spans="2:10">
      <c r="B23" s="210"/>
      <c r="C23" s="210"/>
      <c r="D23" s="210"/>
      <c r="E23" s="210"/>
      <c r="F23" s="210"/>
      <c r="G23" s="210"/>
      <c r="H23" s="210"/>
      <c r="I23" s="210"/>
      <c r="J23" s="210"/>
    </row>
    <row r="24" spans="2:10">
      <c r="B24" s="216"/>
      <c r="C24" s="180"/>
      <c r="D24" s="211"/>
      <c r="E24" s="211"/>
      <c r="F24" s="211"/>
      <c r="G24" s="211"/>
      <c r="H24" s="211"/>
      <c r="I24" s="211"/>
      <c r="J24" s="213"/>
    </row>
    <row r="25" spans="2:10">
      <c r="B25" s="216"/>
      <c r="C25" s="180"/>
      <c r="D25" s="211"/>
      <c r="E25" s="211"/>
      <c r="F25" s="211"/>
      <c r="G25" s="211"/>
      <c r="H25" s="211"/>
      <c r="I25" s="211"/>
      <c r="J25" s="213"/>
    </row>
    <row r="26" spans="2:10">
      <c r="B26" s="211"/>
      <c r="C26" s="211"/>
      <c r="D26" s="211"/>
      <c r="E26" s="211"/>
      <c r="F26" s="211"/>
      <c r="G26" s="211"/>
      <c r="H26" s="211"/>
      <c r="I26" s="211"/>
      <c r="J26" s="211"/>
    </row>
    <row r="27" spans="2:10">
      <c r="B27" s="211"/>
      <c r="C27" s="211"/>
      <c r="D27" s="211"/>
      <c r="E27" s="211"/>
      <c r="F27" s="211"/>
      <c r="G27" s="211"/>
      <c r="H27" s="211"/>
      <c r="I27" s="211"/>
      <c r="J27" s="211"/>
    </row>
    <row r="28" spans="2:10">
      <c r="B28" s="211"/>
      <c r="C28" s="211"/>
      <c r="D28" s="211"/>
      <c r="E28" s="211"/>
      <c r="F28" s="211"/>
      <c r="G28" s="211"/>
      <c r="H28" s="211"/>
      <c r="I28" s="211"/>
      <c r="J28" s="211"/>
    </row>
    <row r="29" spans="2:10">
      <c r="B29" s="211"/>
      <c r="C29" s="211"/>
      <c r="D29" s="211"/>
      <c r="E29" s="211"/>
      <c r="F29" s="211"/>
      <c r="G29" s="211"/>
      <c r="H29" s="211"/>
      <c r="I29" s="211"/>
      <c r="J29" s="211"/>
    </row>
    <row r="30" spans="2:10">
      <c r="B30" s="210"/>
      <c r="C30" s="210"/>
      <c r="D30" s="210"/>
      <c r="E30" s="210"/>
      <c r="F30" s="210"/>
      <c r="G30" s="210"/>
      <c r="H30" s="210"/>
      <c r="I30" s="210"/>
      <c r="J30" s="210"/>
    </row>
    <row r="31" spans="2:10">
      <c r="B31" s="216"/>
      <c r="C31" s="180"/>
      <c r="D31" s="211"/>
      <c r="E31" s="211"/>
      <c r="F31" s="211"/>
      <c r="G31" s="211"/>
      <c r="H31" s="211"/>
      <c r="I31" s="211"/>
      <c r="J31" s="213"/>
    </row>
    <row r="32" spans="2:10">
      <c r="B32" s="216"/>
      <c r="C32" s="180"/>
      <c r="D32" s="211"/>
      <c r="E32" s="211"/>
      <c r="F32" s="211"/>
      <c r="G32" s="211"/>
      <c r="H32" s="211"/>
      <c r="I32" s="211"/>
      <c r="J32" s="213"/>
    </row>
    <row r="33" spans="2:10">
      <c r="B33" s="211"/>
      <c r="C33" s="211"/>
      <c r="D33" s="211"/>
      <c r="E33" s="211"/>
      <c r="F33" s="211"/>
      <c r="G33" s="211"/>
      <c r="H33" s="211"/>
      <c r="I33" s="211"/>
      <c r="J33" s="211"/>
    </row>
    <row r="34" spans="2:10">
      <c r="B34" s="211"/>
      <c r="C34" s="211"/>
      <c r="D34" s="211"/>
      <c r="E34" s="211"/>
      <c r="F34" s="211"/>
      <c r="G34" s="211"/>
      <c r="H34" s="211"/>
      <c r="I34" s="211"/>
      <c r="J34" s="211"/>
    </row>
    <row r="35" spans="2:10">
      <c r="B35" s="211"/>
      <c r="C35" s="211"/>
      <c r="D35" s="211"/>
      <c r="E35" s="211"/>
      <c r="F35" s="211"/>
      <c r="G35" s="211"/>
      <c r="H35" s="211"/>
      <c r="I35" s="211"/>
      <c r="J35" s="211"/>
    </row>
    <row r="36" spans="2:10">
      <c r="B36" s="211"/>
      <c r="C36" s="211"/>
      <c r="D36" s="211"/>
      <c r="E36" s="211"/>
      <c r="F36" s="211"/>
      <c r="G36" s="211"/>
      <c r="H36" s="211"/>
      <c r="I36" s="211"/>
      <c r="J36" s="211"/>
    </row>
    <row r="37" spans="2:10">
      <c r="B37" s="210"/>
      <c r="C37" s="210"/>
      <c r="D37" s="210"/>
      <c r="E37" s="210"/>
      <c r="F37" s="210"/>
      <c r="G37" s="210"/>
      <c r="H37" s="210"/>
      <c r="I37" s="210"/>
      <c r="J37" s="210"/>
    </row>
    <row r="38" spans="2:10">
      <c r="B38" s="180"/>
      <c r="C38" s="180"/>
      <c r="D38" s="211"/>
      <c r="E38" s="211"/>
      <c r="F38" s="211"/>
      <c r="G38" s="211"/>
      <c r="H38" s="211"/>
      <c r="I38" s="211"/>
      <c r="J38" s="176"/>
    </row>
    <row r="39" spans="2:10">
      <c r="B39" s="180"/>
      <c r="C39" s="180"/>
      <c r="D39" s="211"/>
      <c r="E39" s="211"/>
      <c r="F39" s="211"/>
      <c r="G39" s="211"/>
      <c r="H39" s="211"/>
      <c r="I39" s="211"/>
      <c r="J39" s="176"/>
    </row>
    <row r="40" spans="2:10">
      <c r="B40" s="180"/>
      <c r="C40" s="180"/>
      <c r="D40" s="211"/>
      <c r="E40" s="211"/>
      <c r="F40" s="211"/>
      <c r="G40" s="211"/>
      <c r="H40" s="211"/>
      <c r="I40" s="211"/>
      <c r="J40" s="176"/>
    </row>
    <row r="41" spans="2:10">
      <c r="B41" s="180"/>
      <c r="C41" s="180"/>
      <c r="D41" s="211"/>
      <c r="E41" s="211"/>
      <c r="F41" s="211"/>
      <c r="G41" s="211"/>
      <c r="H41" s="211"/>
      <c r="I41" s="211"/>
      <c r="J41" s="176"/>
    </row>
    <row r="42" spans="2:10">
      <c r="B42" s="211"/>
      <c r="C42" s="211"/>
      <c r="D42" s="211"/>
      <c r="E42" s="211"/>
      <c r="F42" s="211"/>
      <c r="G42" s="211"/>
      <c r="H42" s="211"/>
      <c r="I42" s="211"/>
      <c r="J42" s="211"/>
    </row>
  </sheetData>
  <mergeCells count="3">
    <mergeCell ref="C3:H3"/>
    <mergeCell ref="C4:H4"/>
    <mergeCell ref="O4:P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13"/>
  <sheetViews>
    <sheetView workbookViewId="0">
      <selection activeCell="D4" sqref="D4:H4"/>
    </sheetView>
  </sheetViews>
  <sheetFormatPr baseColWidth="10" defaultRowHeight="15"/>
  <cols>
    <col min="4" max="4" width="13.7109375" customWidth="1"/>
    <col min="6" max="6" width="12.7109375" customWidth="1"/>
    <col min="7" max="7" width="12.42578125" customWidth="1"/>
  </cols>
  <sheetData>
    <row r="3" spans="4:8">
      <c r="D3" s="326" t="s">
        <v>160</v>
      </c>
      <c r="E3" s="326"/>
      <c r="F3" s="326"/>
      <c r="G3" s="326"/>
      <c r="H3" s="326"/>
    </row>
    <row r="4" spans="4:8">
      <c r="D4" s="327">
        <f>Resumen!C4</f>
        <v>44214</v>
      </c>
      <c r="E4" s="327"/>
      <c r="F4" s="327"/>
      <c r="G4" s="327"/>
      <c r="H4" s="327"/>
    </row>
    <row r="6" spans="4:8" ht="30">
      <c r="D6" s="208" t="s">
        <v>161</v>
      </c>
      <c r="E6" s="208" t="s">
        <v>119</v>
      </c>
      <c r="F6" s="208" t="s">
        <v>162</v>
      </c>
      <c r="G6" s="208" t="s">
        <v>163</v>
      </c>
      <c r="H6" s="208" t="s">
        <v>164</v>
      </c>
    </row>
    <row r="7" spans="4:8">
      <c r="D7" s="104"/>
      <c r="E7" s="104"/>
      <c r="F7" s="104"/>
      <c r="G7" s="104"/>
      <c r="H7" s="104"/>
    </row>
    <row r="8" spans="4:8">
      <c r="D8" s="104"/>
      <c r="E8" s="104"/>
      <c r="F8" s="104"/>
      <c r="G8" s="104"/>
      <c r="H8" s="104"/>
    </row>
    <row r="9" spans="4:8">
      <c r="D9" s="104"/>
      <c r="E9" s="104"/>
      <c r="F9" s="104"/>
      <c r="G9" s="104"/>
      <c r="H9" s="104"/>
    </row>
    <row r="10" spans="4:8">
      <c r="D10" s="104"/>
      <c r="E10" s="104"/>
      <c r="F10" s="104"/>
      <c r="G10" s="104"/>
      <c r="H10" s="104"/>
    </row>
    <row r="11" spans="4:8">
      <c r="D11" s="104"/>
      <c r="E11" s="104"/>
      <c r="F11" s="104"/>
      <c r="G11" s="104"/>
      <c r="H11" s="104"/>
    </row>
    <row r="12" spans="4:8">
      <c r="D12" s="104"/>
      <c r="E12" s="104"/>
      <c r="F12" s="104"/>
      <c r="G12" s="104"/>
      <c r="H12" s="104"/>
    </row>
    <row r="13" spans="4:8">
      <c r="D13" s="104"/>
      <c r="E13" s="104"/>
      <c r="F13" s="104"/>
      <c r="G13" s="104"/>
      <c r="H13" s="104"/>
    </row>
  </sheetData>
  <mergeCells count="2">
    <mergeCell ref="D3:H3"/>
    <mergeCell ref="D4:H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zoomScale="90" zoomScaleNormal="90" workbookViewId="0">
      <selection activeCell="N71" sqref="N71"/>
    </sheetView>
  </sheetViews>
  <sheetFormatPr baseColWidth="10" defaultRowHeight="15"/>
  <cols>
    <col min="1" max="2" width="12.42578125" bestFit="1" customWidth="1"/>
    <col min="4" max="4" width="17.85546875" bestFit="1" customWidth="1"/>
    <col min="5" max="5" width="29.5703125" bestFit="1" customWidth="1"/>
    <col min="14" max="14" width="11.42578125" style="94"/>
  </cols>
  <sheetData>
    <row r="1" spans="1:17">
      <c r="A1" s="98" t="s">
        <v>77</v>
      </c>
      <c r="B1" s="98" t="s">
        <v>78</v>
      </c>
      <c r="C1" s="98" t="s">
        <v>79</v>
      </c>
      <c r="D1" s="98" t="s">
        <v>80</v>
      </c>
      <c r="E1" s="96" t="s">
        <v>81</v>
      </c>
      <c r="F1" s="98" t="s">
        <v>82</v>
      </c>
      <c r="G1" s="98" t="s">
        <v>83</v>
      </c>
      <c r="H1" s="98" t="s">
        <v>84</v>
      </c>
      <c r="I1" s="98" t="s">
        <v>85</v>
      </c>
      <c r="J1" s="98" t="s">
        <v>86</v>
      </c>
      <c r="K1" s="98" t="s">
        <v>171</v>
      </c>
      <c r="L1" s="99" t="s">
        <v>87</v>
      </c>
      <c r="M1" s="100" t="s">
        <v>88</v>
      </c>
      <c r="N1" s="141" t="s">
        <v>89</v>
      </c>
      <c r="O1" s="101" t="s">
        <v>90</v>
      </c>
      <c r="P1" s="2" t="s">
        <v>91</v>
      </c>
      <c r="Q1" s="2" t="s">
        <v>92</v>
      </c>
    </row>
    <row r="2" spans="1:17">
      <c r="A2" s="97" t="s">
        <v>93</v>
      </c>
      <c r="B2" s="97" t="s">
        <v>93</v>
      </c>
      <c r="C2" s="97" t="s">
        <v>94</v>
      </c>
      <c r="D2" s="97" t="s">
        <v>95</v>
      </c>
      <c r="E2" t="str">
        <f>+Industrial!C11</f>
        <v>ARICA SEAFOOD PRODUCER S.A.</v>
      </c>
      <c r="F2" s="97" t="s">
        <v>96</v>
      </c>
      <c r="G2" s="97" t="s">
        <v>97</v>
      </c>
      <c r="H2">
        <f>+Industrial!E11</f>
        <v>3133.2640000000001</v>
      </c>
      <c r="I2" s="103">
        <f>+Industrial!F11</f>
        <v>0</v>
      </c>
      <c r="J2" s="103">
        <f>+Industrial!G11</f>
        <v>3133.2640000000001</v>
      </c>
      <c r="K2" s="103">
        <f>+Industrial!H11</f>
        <v>0</v>
      </c>
      <c r="L2" s="103">
        <f>+Industrial!I11</f>
        <v>3133.2640000000001</v>
      </c>
      <c r="M2" s="27">
        <f>+Industrial!J11</f>
        <v>0</v>
      </c>
      <c r="N2" s="142" t="s">
        <v>76</v>
      </c>
      <c r="O2" s="94">
        <f>+Resumen!C$4</f>
        <v>44214</v>
      </c>
      <c r="P2">
        <v>2020</v>
      </c>
    </row>
    <row r="3" spans="1:17">
      <c r="A3" s="97" t="s">
        <v>93</v>
      </c>
      <c r="B3" s="97" t="s">
        <v>93</v>
      </c>
      <c r="C3" s="97" t="s">
        <v>94</v>
      </c>
      <c r="D3" s="97" t="s">
        <v>95</v>
      </c>
      <c r="E3" t="str">
        <f>+Industrial!C11</f>
        <v>ARICA SEAFOOD PRODUCER S.A.</v>
      </c>
      <c r="F3" s="97" t="s">
        <v>98</v>
      </c>
      <c r="G3" s="97" t="s">
        <v>99</v>
      </c>
      <c r="H3" s="103">
        <f>+Industrial!E12</f>
        <v>2649.6210000000001</v>
      </c>
      <c r="I3" s="103">
        <f>+Industrial!F12</f>
        <v>-5781.6620000000003</v>
      </c>
      <c r="J3" s="103">
        <f>+Industrial!G12</f>
        <v>1.2229999999999563</v>
      </c>
      <c r="K3" s="103">
        <f>+Industrial!H12</f>
        <v>0</v>
      </c>
      <c r="L3" s="103">
        <f>+Industrial!I12</f>
        <v>1.2229999999999563</v>
      </c>
      <c r="M3" s="27">
        <f>+Industrial!J12</f>
        <v>0</v>
      </c>
      <c r="N3" s="142" t="s">
        <v>76</v>
      </c>
      <c r="O3" s="94">
        <f>+Resumen!C$4</f>
        <v>44214</v>
      </c>
      <c r="P3" s="97">
        <v>2020</v>
      </c>
    </row>
    <row r="4" spans="1:17">
      <c r="A4" s="97" t="s">
        <v>93</v>
      </c>
      <c r="B4" s="97" t="s">
        <v>93</v>
      </c>
      <c r="C4" s="97" t="s">
        <v>94</v>
      </c>
      <c r="D4" s="97" t="s">
        <v>95</v>
      </c>
      <c r="E4" t="str">
        <f>+Industrial!C11</f>
        <v>ARICA SEAFOOD PRODUCER S.A.</v>
      </c>
      <c r="F4" s="97" t="s">
        <v>100</v>
      </c>
      <c r="G4" s="97" t="s">
        <v>99</v>
      </c>
      <c r="H4">
        <f>+Industrial!K11</f>
        <v>5782.8850000000002</v>
      </c>
      <c r="I4" s="103">
        <f>+Industrial!L11</f>
        <v>-5781.6620000000003</v>
      </c>
      <c r="J4" s="103">
        <f>+Industrial!M11</f>
        <v>1.2229999999999563</v>
      </c>
      <c r="K4" s="103">
        <f>+Industrial!N11</f>
        <v>0</v>
      </c>
      <c r="L4" s="103">
        <f>+Industrial!O11</f>
        <v>1.2229999999999563</v>
      </c>
      <c r="M4" s="27">
        <f>+Industrial!P11</f>
        <v>0</v>
      </c>
      <c r="N4" s="142" t="s">
        <v>76</v>
      </c>
      <c r="O4" s="94">
        <f>+Resumen!C$4</f>
        <v>44214</v>
      </c>
      <c r="P4" s="103">
        <v>2020</v>
      </c>
    </row>
    <row r="5" spans="1:17">
      <c r="A5" s="97" t="s">
        <v>93</v>
      </c>
      <c r="B5" s="97" t="s">
        <v>93</v>
      </c>
      <c r="C5" s="97" t="s">
        <v>94</v>
      </c>
      <c r="D5" s="97" t="s">
        <v>95</v>
      </c>
      <c r="E5" t="str">
        <f>+Industrial!C13</f>
        <v>CAMANCHACA S.A</v>
      </c>
      <c r="F5" s="97" t="s">
        <v>96</v>
      </c>
      <c r="G5" s="97" t="s">
        <v>97</v>
      </c>
      <c r="H5">
        <f>+Industrial!E13</f>
        <v>102596.97799999997</v>
      </c>
      <c r="I5" s="103">
        <f>+Industrial!F13</f>
        <v>0</v>
      </c>
      <c r="J5" s="103">
        <f>+Industrial!G13</f>
        <v>102596.97799999997</v>
      </c>
      <c r="K5" s="103">
        <f>+Industrial!H13</f>
        <v>4385.9139999999998</v>
      </c>
      <c r="L5" s="103">
        <f>+Industrial!I13</f>
        <v>98211.063999999969</v>
      </c>
      <c r="M5" s="27">
        <f>+Industrial!J13</f>
        <v>4.2748958941071349E-2</v>
      </c>
      <c r="N5" s="142" t="s">
        <v>76</v>
      </c>
      <c r="O5" s="94">
        <f>+Resumen!C$4</f>
        <v>44214</v>
      </c>
      <c r="P5" s="103">
        <v>2020</v>
      </c>
    </row>
    <row r="6" spans="1:17">
      <c r="A6" s="97" t="s">
        <v>93</v>
      </c>
      <c r="B6" s="97" t="s">
        <v>93</v>
      </c>
      <c r="C6" s="97" t="s">
        <v>94</v>
      </c>
      <c r="D6" s="97" t="s">
        <v>95</v>
      </c>
      <c r="E6" s="97" t="str">
        <f>+Industrial!C13</f>
        <v>CAMANCHACA S.A</v>
      </c>
      <c r="F6" s="97" t="s">
        <v>98</v>
      </c>
      <c r="G6" s="97" t="s">
        <v>99</v>
      </c>
      <c r="H6" s="103">
        <f>+Industrial!E14</f>
        <v>34199.062999999995</v>
      </c>
      <c r="I6" s="103">
        <f>+Industrial!F14</f>
        <v>0</v>
      </c>
      <c r="J6" s="103">
        <f>+Industrial!G14</f>
        <v>132410.12699999998</v>
      </c>
      <c r="K6" s="103">
        <f>+Industrial!H14</f>
        <v>7101.7889999999998</v>
      </c>
      <c r="L6" s="103">
        <f>+Industrial!I14</f>
        <v>125308.33799999997</v>
      </c>
      <c r="M6" s="27">
        <f>+Industrial!J14</f>
        <v>5.3634787315021616E-2</v>
      </c>
      <c r="N6" s="142" t="s">
        <v>76</v>
      </c>
      <c r="O6" s="94">
        <f>+Resumen!C$4</f>
        <v>44214</v>
      </c>
      <c r="P6" s="103">
        <v>2020</v>
      </c>
    </row>
    <row r="7" spans="1:17">
      <c r="A7" s="97" t="s">
        <v>93</v>
      </c>
      <c r="B7" s="97" t="s">
        <v>93</v>
      </c>
      <c r="C7" s="97" t="s">
        <v>94</v>
      </c>
      <c r="D7" s="97" t="s">
        <v>95</v>
      </c>
      <c r="E7" s="97" t="str">
        <f>+Industrial!C13</f>
        <v>CAMANCHACA S.A</v>
      </c>
      <c r="F7" s="97" t="s">
        <v>100</v>
      </c>
      <c r="G7" s="97" t="s">
        <v>99</v>
      </c>
      <c r="H7">
        <f>+Industrial!K13</f>
        <v>136796.04099999997</v>
      </c>
      <c r="I7" s="103">
        <f>+Industrial!L13</f>
        <v>0</v>
      </c>
      <c r="J7" s="103">
        <f>+Industrial!M13</f>
        <v>136796.04099999997</v>
      </c>
      <c r="K7" s="103">
        <f>+Industrial!N13</f>
        <v>11487.703</v>
      </c>
      <c r="L7" s="103">
        <f>+Industrial!O13</f>
        <v>125308.33799999997</v>
      </c>
      <c r="M7" s="27">
        <f>+Industrial!P13</f>
        <v>8.3976867429957289E-2</v>
      </c>
      <c r="N7" s="142" t="s">
        <v>76</v>
      </c>
      <c r="O7" s="94">
        <f>+Resumen!C$4</f>
        <v>44214</v>
      </c>
      <c r="P7" s="103">
        <v>2020</v>
      </c>
    </row>
    <row r="8" spans="1:17" s="103" customFormat="1">
      <c r="A8" s="103" t="s">
        <v>93</v>
      </c>
      <c r="B8" s="103" t="s">
        <v>93</v>
      </c>
      <c r="C8" s="103" t="s">
        <v>94</v>
      </c>
      <c r="D8" s="103" t="s">
        <v>95</v>
      </c>
      <c r="E8" s="103" t="s">
        <v>157</v>
      </c>
      <c r="F8" s="103" t="s">
        <v>96</v>
      </c>
      <c r="G8" s="103" t="s">
        <v>97</v>
      </c>
      <c r="H8" s="103">
        <f>+Industrial!E15</f>
        <v>7096.1440000000002</v>
      </c>
      <c r="I8" s="103">
        <f>+Industrial!F15</f>
        <v>-3588.8559999999998</v>
      </c>
      <c r="J8" s="103">
        <f>+Industrial!G15</f>
        <v>3507.2880000000005</v>
      </c>
      <c r="K8" s="103">
        <f>+Industrial!H15</f>
        <v>0</v>
      </c>
      <c r="L8" s="103">
        <f>+Industrial!I15</f>
        <v>3507.2880000000005</v>
      </c>
      <c r="M8" s="27">
        <f>+Industrial!J15</f>
        <v>0</v>
      </c>
      <c r="N8" s="142" t="s">
        <v>76</v>
      </c>
      <c r="O8" s="94">
        <f>+Resumen!C$4</f>
        <v>44214</v>
      </c>
      <c r="P8" s="103">
        <v>2020</v>
      </c>
    </row>
    <row r="9" spans="1:17" s="103" customFormat="1">
      <c r="A9" s="103" t="s">
        <v>93</v>
      </c>
      <c r="B9" s="103" t="s">
        <v>93</v>
      </c>
      <c r="C9" s="103" t="s">
        <v>94</v>
      </c>
      <c r="D9" s="103" t="s">
        <v>95</v>
      </c>
      <c r="E9" s="103" t="s">
        <v>157</v>
      </c>
      <c r="F9" s="103" t="s">
        <v>98</v>
      </c>
      <c r="G9" s="103" t="s">
        <v>99</v>
      </c>
      <c r="H9" s="103">
        <f>+Industrial!E16</f>
        <v>2365.3849999999998</v>
      </c>
      <c r="I9" s="103">
        <f>+Industrial!F16</f>
        <v>-4567.634</v>
      </c>
      <c r="J9" s="103">
        <f>+Industrial!G16</f>
        <v>1305.0390000000007</v>
      </c>
      <c r="K9" s="103">
        <f>+Industrial!H16</f>
        <v>0</v>
      </c>
      <c r="L9" s="103">
        <f>+Industrial!I16</f>
        <v>1305.0390000000007</v>
      </c>
      <c r="M9" s="27">
        <f>+Industrial!J16</f>
        <v>0</v>
      </c>
      <c r="N9" s="142" t="s">
        <v>76</v>
      </c>
      <c r="O9" s="94">
        <f>+Resumen!C$4</f>
        <v>44214</v>
      </c>
      <c r="P9" s="103">
        <v>2020</v>
      </c>
    </row>
    <row r="10" spans="1:17" s="103" customFormat="1">
      <c r="A10" s="103" t="s">
        <v>93</v>
      </c>
      <c r="B10" s="103" t="s">
        <v>93</v>
      </c>
      <c r="C10" s="103" t="s">
        <v>94</v>
      </c>
      <c r="D10" s="103" t="s">
        <v>95</v>
      </c>
      <c r="E10" s="103" t="s">
        <v>157</v>
      </c>
      <c r="F10" s="103" t="s">
        <v>100</v>
      </c>
      <c r="G10" s="103" t="s">
        <v>99</v>
      </c>
      <c r="H10" s="103">
        <f>+Industrial!K15</f>
        <v>9461.5290000000005</v>
      </c>
      <c r="I10" s="103">
        <f>+Industrial!L15</f>
        <v>-8156.49</v>
      </c>
      <c r="J10" s="103">
        <f>+Industrial!M15</f>
        <v>1305.0390000000007</v>
      </c>
      <c r="K10" s="103">
        <f>+Industrial!N15</f>
        <v>0</v>
      </c>
      <c r="L10" s="103">
        <f>+Industrial!O15</f>
        <v>1305.0390000000007</v>
      </c>
      <c r="M10" s="27">
        <f>+Industrial!P15</f>
        <v>0</v>
      </c>
      <c r="N10" s="142" t="s">
        <v>76</v>
      </c>
      <c r="O10" s="94">
        <f>+Resumen!C$4</f>
        <v>44214</v>
      </c>
      <c r="P10" s="103">
        <v>2020</v>
      </c>
    </row>
    <row r="11" spans="1:17" s="103" customFormat="1">
      <c r="A11" s="103" t="s">
        <v>93</v>
      </c>
      <c r="B11" s="103" t="s">
        <v>93</v>
      </c>
      <c r="C11" s="103" t="s">
        <v>94</v>
      </c>
      <c r="D11" s="103" t="s">
        <v>95</v>
      </c>
      <c r="E11" s="103" t="s">
        <v>158</v>
      </c>
      <c r="F11" s="103" t="s">
        <v>96</v>
      </c>
      <c r="G11" s="103" t="s">
        <v>97</v>
      </c>
      <c r="H11" s="103">
        <f>+Industrial!E17</f>
        <v>2691.64</v>
      </c>
      <c r="I11" s="103">
        <f>+Industrial!F17</f>
        <v>0</v>
      </c>
      <c r="J11" s="103">
        <f>+Industrial!G17</f>
        <v>2691.64</v>
      </c>
      <c r="K11" s="103">
        <f>+Industrial!H17</f>
        <v>0</v>
      </c>
      <c r="L11" s="103">
        <f>+Industrial!I17</f>
        <v>2691.64</v>
      </c>
      <c r="M11" s="27">
        <f>+Industrial!J17</f>
        <v>0</v>
      </c>
      <c r="N11" s="142" t="s">
        <v>76</v>
      </c>
      <c r="O11" s="94">
        <f>+Resumen!C$4</f>
        <v>44214</v>
      </c>
      <c r="P11" s="103">
        <v>2020</v>
      </c>
    </row>
    <row r="12" spans="1:17" s="103" customFormat="1">
      <c r="A12" s="103" t="s">
        <v>93</v>
      </c>
      <c r="B12" s="103" t="s">
        <v>93</v>
      </c>
      <c r="C12" s="103" t="s">
        <v>94</v>
      </c>
      <c r="D12" s="103" t="s">
        <v>95</v>
      </c>
      <c r="E12" s="103" t="s">
        <v>158</v>
      </c>
      <c r="F12" s="103" t="s">
        <v>98</v>
      </c>
      <c r="G12" s="103" t="s">
        <v>99</v>
      </c>
      <c r="H12" s="103">
        <f>+Industrial!E18</f>
        <v>897.21499999999992</v>
      </c>
      <c r="I12" s="103">
        <f>+Industrial!F18</f>
        <v>-2610.076</v>
      </c>
      <c r="J12" s="103">
        <f>+Industrial!G18</f>
        <v>978.77899999999954</v>
      </c>
      <c r="K12" s="103">
        <f>+Industrial!H18</f>
        <v>0</v>
      </c>
      <c r="L12" s="103">
        <f>+Industrial!I18</f>
        <v>978.77899999999954</v>
      </c>
      <c r="M12" s="27">
        <f>+Industrial!J18</f>
        <v>0</v>
      </c>
      <c r="N12" s="142" t="s">
        <v>76</v>
      </c>
      <c r="O12" s="94">
        <f>+Resumen!C$4</f>
        <v>44214</v>
      </c>
      <c r="P12" s="103">
        <v>2020</v>
      </c>
    </row>
    <row r="13" spans="1:17" s="103" customFormat="1">
      <c r="A13" s="103" t="s">
        <v>93</v>
      </c>
      <c r="B13" s="103" t="s">
        <v>93</v>
      </c>
      <c r="C13" s="103" t="s">
        <v>94</v>
      </c>
      <c r="D13" s="103" t="s">
        <v>95</v>
      </c>
      <c r="E13" s="103" t="s">
        <v>158</v>
      </c>
      <c r="F13" s="103" t="s">
        <v>100</v>
      </c>
      <c r="G13" s="103" t="s">
        <v>99</v>
      </c>
      <c r="H13" s="103">
        <f>+Industrial!K17</f>
        <v>3588.8549999999996</v>
      </c>
      <c r="I13" s="103">
        <f>+Industrial!L17</f>
        <v>-2610.076</v>
      </c>
      <c r="J13" s="103">
        <f>+Industrial!M17</f>
        <v>978.77899999999954</v>
      </c>
      <c r="K13" s="103">
        <f>+Industrial!N17</f>
        <v>0</v>
      </c>
      <c r="L13" s="103">
        <f>+Industrial!O17</f>
        <v>978.77899999999954</v>
      </c>
      <c r="M13" s="27">
        <f>+Industrial!P17</f>
        <v>0</v>
      </c>
      <c r="N13" s="142" t="s">
        <v>76</v>
      </c>
      <c r="O13" s="94">
        <f>+Resumen!C$4</f>
        <v>44214</v>
      </c>
      <c r="P13" s="103">
        <v>2020</v>
      </c>
    </row>
    <row r="14" spans="1:17">
      <c r="A14" s="97" t="s">
        <v>93</v>
      </c>
      <c r="B14" s="97" t="s">
        <v>93</v>
      </c>
      <c r="C14" s="97" t="s">
        <v>94</v>
      </c>
      <c r="D14" s="97" t="s">
        <v>95</v>
      </c>
      <c r="E14" t="str">
        <f>+Industrial!C19</f>
        <v>SERVICIOS INDUSTRIALES LO ROJAS LTDA</v>
      </c>
      <c r="F14" s="97" t="s">
        <v>96</v>
      </c>
      <c r="G14" s="97" t="s">
        <v>97</v>
      </c>
      <c r="H14">
        <f>+Industrial!E19</f>
        <v>0</v>
      </c>
      <c r="I14" s="103">
        <f>+Industrial!F19</f>
        <v>0</v>
      </c>
      <c r="J14" s="103">
        <f>+Industrial!G19</f>
        <v>0</v>
      </c>
      <c r="K14" s="103">
        <f>+Industrial!H19</f>
        <v>0</v>
      </c>
      <c r="L14" s="103">
        <f>+Industrial!I19</f>
        <v>0</v>
      </c>
      <c r="M14" s="27">
        <v>0</v>
      </c>
      <c r="N14" s="142" t="s">
        <v>76</v>
      </c>
      <c r="O14" s="94">
        <f>+Resumen!C$4</f>
        <v>44214</v>
      </c>
      <c r="P14" s="103">
        <v>2020</v>
      </c>
    </row>
    <row r="15" spans="1:17">
      <c r="A15" s="97" t="s">
        <v>93</v>
      </c>
      <c r="B15" s="97" t="s">
        <v>93</v>
      </c>
      <c r="C15" s="97" t="s">
        <v>94</v>
      </c>
      <c r="D15" s="97" t="s">
        <v>95</v>
      </c>
      <c r="E15" t="str">
        <f>+Industrial!C19</f>
        <v>SERVICIOS INDUSTRIALES LO ROJAS LTDA</v>
      </c>
      <c r="F15" s="97" t="s">
        <v>98</v>
      </c>
      <c r="G15" s="97" t="s">
        <v>99</v>
      </c>
      <c r="H15" s="103">
        <f>+Industrial!E20</f>
        <v>0</v>
      </c>
      <c r="I15" s="103">
        <f>+Industrial!F20</f>
        <v>0</v>
      </c>
      <c r="J15" s="103">
        <f>+Industrial!G20</f>
        <v>0</v>
      </c>
      <c r="K15" s="103">
        <f>+Industrial!H20</f>
        <v>0</v>
      </c>
      <c r="L15" s="103">
        <f>+Industrial!I20</f>
        <v>0</v>
      </c>
      <c r="M15" s="27">
        <v>0</v>
      </c>
      <c r="N15" s="142" t="s">
        <v>76</v>
      </c>
      <c r="O15" s="94">
        <f>+Resumen!C$4</f>
        <v>44214</v>
      </c>
      <c r="P15" s="103">
        <v>2020</v>
      </c>
    </row>
    <row r="16" spans="1:17">
      <c r="A16" s="97" t="s">
        <v>93</v>
      </c>
      <c r="B16" s="97" t="s">
        <v>93</v>
      </c>
      <c r="C16" s="97" t="s">
        <v>94</v>
      </c>
      <c r="D16" s="97" t="s">
        <v>95</v>
      </c>
      <c r="E16" t="str">
        <f>+Industrial!C19</f>
        <v>SERVICIOS INDUSTRIALES LO ROJAS LTDA</v>
      </c>
      <c r="F16" s="97" t="s">
        <v>100</v>
      </c>
      <c r="G16" s="97" t="s">
        <v>99</v>
      </c>
      <c r="H16">
        <f>+Industrial!K19</f>
        <v>0</v>
      </c>
      <c r="I16" s="103">
        <f>+Industrial!L19</f>
        <v>0</v>
      </c>
      <c r="J16" s="103">
        <f>+Industrial!M19</f>
        <v>0</v>
      </c>
      <c r="K16" s="103">
        <f>+Industrial!N19</f>
        <v>0</v>
      </c>
      <c r="L16" s="103">
        <f>+Industrial!O19</f>
        <v>0</v>
      </c>
      <c r="M16" s="27">
        <v>0</v>
      </c>
      <c r="N16" s="142" t="s">
        <v>76</v>
      </c>
      <c r="O16" s="94">
        <f>+Resumen!C$4</f>
        <v>44214</v>
      </c>
      <c r="P16" s="103">
        <v>2020</v>
      </c>
    </row>
    <row r="17" spans="1:16">
      <c r="A17" s="97" t="s">
        <v>93</v>
      </c>
      <c r="B17" s="97" t="s">
        <v>93</v>
      </c>
      <c r="C17" s="97" t="s">
        <v>94</v>
      </c>
      <c r="D17" s="97" t="s">
        <v>95</v>
      </c>
      <c r="E17" t="str">
        <f>+Industrial!C21</f>
        <v>PROCESOS TECNOLOGICOS DEL BIO BIO SpA</v>
      </c>
      <c r="F17" s="97" t="s">
        <v>96</v>
      </c>
      <c r="G17" s="97" t="s">
        <v>97</v>
      </c>
      <c r="H17">
        <f>+Industrial!E21</f>
        <v>8074.9240000000009</v>
      </c>
      <c r="I17" s="103">
        <f>+Industrial!F21</f>
        <v>-8084.7150000000001</v>
      </c>
      <c r="J17" s="103">
        <f>+Industrial!G21</f>
        <v>-9.7909999999992579</v>
      </c>
      <c r="K17" s="103">
        <f>+Industrial!H21</f>
        <v>0</v>
      </c>
      <c r="L17" s="103">
        <f>+Industrial!I21</f>
        <v>-9.7909999999992579</v>
      </c>
      <c r="M17" s="27">
        <f>+Industrial!J21</f>
        <v>0</v>
      </c>
      <c r="N17" s="142" t="s">
        <v>76</v>
      </c>
      <c r="O17" s="94">
        <f>+Resumen!C$4</f>
        <v>44214</v>
      </c>
      <c r="P17" s="103">
        <v>2020</v>
      </c>
    </row>
    <row r="18" spans="1:16">
      <c r="A18" s="97" t="s">
        <v>93</v>
      </c>
      <c r="B18" s="97" t="s">
        <v>93</v>
      </c>
      <c r="C18" s="97" t="s">
        <v>94</v>
      </c>
      <c r="D18" s="97" t="s">
        <v>95</v>
      </c>
      <c r="E18" t="str">
        <f>+Industrial!C21</f>
        <v>PROCESOS TECNOLOGICOS DEL BIO BIO SpA</v>
      </c>
      <c r="F18" s="97" t="s">
        <v>98</v>
      </c>
      <c r="G18" s="97" t="s">
        <v>99</v>
      </c>
      <c r="H18" s="103">
        <f>+Industrial!E22</f>
        <v>2691.6450000000009</v>
      </c>
      <c r="I18" s="103">
        <f>+Industrial!F22</f>
        <v>-2681.8540000000003</v>
      </c>
      <c r="J18" s="103">
        <f>+Industrial!G22</f>
        <v>0</v>
      </c>
      <c r="K18" s="103">
        <f>+Industrial!H22</f>
        <v>0</v>
      </c>
      <c r="L18" s="103">
        <f>+Industrial!I22</f>
        <v>0</v>
      </c>
      <c r="M18" s="27">
        <f>+Industrial!J22</f>
        <v>1</v>
      </c>
      <c r="N18" s="142" t="s">
        <v>76</v>
      </c>
      <c r="O18" s="94">
        <f>+Resumen!C$4</f>
        <v>44214</v>
      </c>
      <c r="P18" s="103">
        <v>2020</v>
      </c>
    </row>
    <row r="19" spans="1:16">
      <c r="A19" s="97" t="s">
        <v>93</v>
      </c>
      <c r="B19" s="97" t="s">
        <v>93</v>
      </c>
      <c r="C19" s="97" t="s">
        <v>94</v>
      </c>
      <c r="D19" s="97" t="s">
        <v>95</v>
      </c>
      <c r="E19" t="str">
        <f>+Industrial!C21</f>
        <v>PROCESOS TECNOLOGICOS DEL BIO BIO SpA</v>
      </c>
      <c r="F19" s="97" t="s">
        <v>100</v>
      </c>
      <c r="G19" s="97" t="s">
        <v>99</v>
      </c>
      <c r="H19">
        <f>+Industrial!K21</f>
        <v>10766.569000000001</v>
      </c>
      <c r="I19" s="103">
        <f>+Industrial!L21</f>
        <v>-10766.569</v>
      </c>
      <c r="J19" s="103">
        <f>+Industrial!M21</f>
        <v>0</v>
      </c>
      <c r="K19" s="103">
        <f>+Industrial!N21</f>
        <v>0</v>
      </c>
      <c r="L19" s="103">
        <f>+Industrial!O21</f>
        <v>0</v>
      </c>
      <c r="M19" s="27">
        <f>+Industrial!P21</f>
        <v>1</v>
      </c>
      <c r="N19" s="142" t="s">
        <v>76</v>
      </c>
      <c r="O19" s="94">
        <f>+Resumen!C$4</f>
        <v>44214</v>
      </c>
      <c r="P19" s="103">
        <v>2020</v>
      </c>
    </row>
    <row r="20" spans="1:16" s="103" customFormat="1">
      <c r="A20" s="103" t="s">
        <v>93</v>
      </c>
      <c r="B20" s="103" t="s">
        <v>93</v>
      </c>
      <c r="C20" s="103" t="s">
        <v>94</v>
      </c>
      <c r="D20" s="103" t="s">
        <v>95</v>
      </c>
      <c r="E20" s="103" t="str">
        <f>+Industrial!C23</f>
        <v>PESCA LITORAL E.I.R.L</v>
      </c>
      <c r="F20" s="103" t="s">
        <v>96</v>
      </c>
      <c r="G20" s="103" t="s">
        <v>97</v>
      </c>
      <c r="H20" s="103">
        <f>+Industrial!E23</f>
        <v>9787.7800000000007</v>
      </c>
      <c r="I20" s="103">
        <f>+Industrial!F23</f>
        <v>0</v>
      </c>
      <c r="J20" s="103">
        <f>+Industrial!G23</f>
        <v>9787.7800000000007</v>
      </c>
      <c r="K20" s="103">
        <f>+Industrial!H23</f>
        <v>0</v>
      </c>
      <c r="L20" s="103">
        <f>+Industrial!I23</f>
        <v>9787.7800000000007</v>
      </c>
      <c r="M20" s="27">
        <f>+Industrial!J23</f>
        <v>0</v>
      </c>
      <c r="N20" s="142" t="s">
        <v>76</v>
      </c>
      <c r="O20" s="94">
        <f>+Resumen!C$4</f>
        <v>44214</v>
      </c>
      <c r="P20" s="103">
        <v>2020</v>
      </c>
    </row>
    <row r="21" spans="1:16" s="103" customFormat="1">
      <c r="A21" s="103" t="s">
        <v>93</v>
      </c>
      <c r="B21" s="103" t="s">
        <v>93</v>
      </c>
      <c r="C21" s="103" t="s">
        <v>94</v>
      </c>
      <c r="D21" s="103" t="s">
        <v>95</v>
      </c>
      <c r="E21" s="103" t="str">
        <f>+Industrial!C23</f>
        <v>PESCA LITORAL E.I.R.L</v>
      </c>
      <c r="F21" s="103" t="s">
        <v>98</v>
      </c>
      <c r="G21" s="103" t="s">
        <v>99</v>
      </c>
      <c r="H21" s="103">
        <f>+Industrial!E24</f>
        <v>3262.6000000000004</v>
      </c>
      <c r="I21" s="103">
        <f>+Industrial!F24</f>
        <v>0</v>
      </c>
      <c r="J21" s="103">
        <f>+Industrial!G24</f>
        <v>13050.380000000001</v>
      </c>
      <c r="K21" s="103">
        <f>+Industrial!H24</f>
        <v>0</v>
      </c>
      <c r="L21" s="103">
        <f>+Industrial!I24</f>
        <v>13050.380000000001</v>
      </c>
      <c r="M21" s="27">
        <f>+Industrial!J24</f>
        <v>0</v>
      </c>
      <c r="N21" s="142" t="s">
        <v>76</v>
      </c>
      <c r="O21" s="94">
        <f>+Resumen!C$4</f>
        <v>44214</v>
      </c>
      <c r="P21" s="103">
        <v>2020</v>
      </c>
    </row>
    <row r="22" spans="1:16" s="103" customFormat="1">
      <c r="A22" s="103" t="s">
        <v>93</v>
      </c>
      <c r="B22" s="103" t="s">
        <v>93</v>
      </c>
      <c r="C22" s="103" t="s">
        <v>94</v>
      </c>
      <c r="D22" s="103" t="s">
        <v>95</v>
      </c>
      <c r="E22" s="103" t="str">
        <f>+Industrial!C23</f>
        <v>PESCA LITORAL E.I.R.L</v>
      </c>
      <c r="F22" s="103" t="s">
        <v>100</v>
      </c>
      <c r="G22" s="103" t="s">
        <v>99</v>
      </c>
      <c r="H22" s="103">
        <f>+Industrial!K23</f>
        <v>13050.380000000001</v>
      </c>
      <c r="I22" s="103">
        <f>+Industrial!L23</f>
        <v>0</v>
      </c>
      <c r="J22" s="103">
        <f>+Industrial!M23</f>
        <v>13050.380000000001</v>
      </c>
      <c r="K22" s="103">
        <f>+Industrial!N23</f>
        <v>0</v>
      </c>
      <c r="L22" s="103">
        <f>+Industrial!O23</f>
        <v>13050.380000000001</v>
      </c>
      <c r="M22" s="27">
        <f>+Industrial!P23</f>
        <v>0</v>
      </c>
      <c r="N22" s="142" t="s">
        <v>76</v>
      </c>
      <c r="O22" s="94">
        <f>+Resumen!C$4</f>
        <v>44214</v>
      </c>
      <c r="P22" s="103">
        <v>2020</v>
      </c>
    </row>
    <row r="23" spans="1:16">
      <c r="A23" s="97" t="s">
        <v>93</v>
      </c>
      <c r="B23" s="97" t="s">
        <v>93</v>
      </c>
      <c r="C23" s="97" t="s">
        <v>94</v>
      </c>
      <c r="D23" s="97" t="s">
        <v>95</v>
      </c>
      <c r="E23" t="str">
        <f>+Industrial!C25</f>
        <v>CORPESCA S.A</v>
      </c>
      <c r="F23" s="97" t="s">
        <v>96</v>
      </c>
      <c r="G23" s="97" t="s">
        <v>97</v>
      </c>
      <c r="H23">
        <f>+Industrial!E25</f>
        <v>351114.34099999996</v>
      </c>
      <c r="I23" s="103">
        <f>+Industrial!F25</f>
        <v>-160000</v>
      </c>
      <c r="J23" s="103">
        <f>+Industrial!G25</f>
        <v>191114.34099999996</v>
      </c>
      <c r="K23" s="103">
        <f>+Industrial!H25</f>
        <v>15083.759</v>
      </c>
      <c r="L23" s="103">
        <f>+Industrial!I25</f>
        <v>176030.58199999997</v>
      </c>
      <c r="M23" s="27">
        <f>+Industrial!J25</f>
        <v>7.8925312046572174E-2</v>
      </c>
      <c r="N23" s="142" t="s">
        <v>76</v>
      </c>
      <c r="O23" s="94">
        <f>+Resumen!C$4</f>
        <v>44214</v>
      </c>
      <c r="P23" s="103">
        <v>2020</v>
      </c>
    </row>
    <row r="24" spans="1:16">
      <c r="A24" s="97" t="s">
        <v>93</v>
      </c>
      <c r="B24" s="97" t="s">
        <v>93</v>
      </c>
      <c r="C24" s="97" t="s">
        <v>94</v>
      </c>
      <c r="D24" s="97" t="s">
        <v>95</v>
      </c>
      <c r="E24" t="str">
        <f>+Industrial!C25</f>
        <v>CORPESCA S.A</v>
      </c>
      <c r="F24" s="97" t="s">
        <v>98</v>
      </c>
      <c r="G24" s="97" t="s">
        <v>99</v>
      </c>
      <c r="H24" s="103">
        <f>+Industrial!E26</f>
        <v>117038.353</v>
      </c>
      <c r="I24" s="103">
        <f>+Industrial!F26</f>
        <v>-2000</v>
      </c>
      <c r="J24" s="103">
        <f>+Industrial!G26</f>
        <v>291068.93499999994</v>
      </c>
      <c r="K24" s="103">
        <f>+Industrial!H26</f>
        <v>29942.55</v>
      </c>
      <c r="L24" s="103">
        <f>+Industrial!I26</f>
        <v>261126.38499999995</v>
      </c>
      <c r="M24" s="27">
        <f>+Industrial!J26</f>
        <v>0.10287099171198055</v>
      </c>
      <c r="N24" s="142" t="s">
        <v>76</v>
      </c>
      <c r="O24" s="94">
        <f>+Resumen!C$4</f>
        <v>44214</v>
      </c>
      <c r="P24" s="103">
        <v>2020</v>
      </c>
    </row>
    <row r="25" spans="1:16">
      <c r="A25" s="97" t="s">
        <v>93</v>
      </c>
      <c r="B25" s="97" t="s">
        <v>93</v>
      </c>
      <c r="C25" s="97" t="s">
        <v>94</v>
      </c>
      <c r="D25" s="97" t="s">
        <v>95</v>
      </c>
      <c r="E25" t="str">
        <f>+Industrial!C25</f>
        <v>CORPESCA S.A</v>
      </c>
      <c r="F25" s="97" t="s">
        <v>100</v>
      </c>
      <c r="G25" s="97" t="s">
        <v>99</v>
      </c>
      <c r="H25">
        <f>+Industrial!K25</f>
        <v>468152.69399999996</v>
      </c>
      <c r="I25" s="103">
        <f>+Industrial!L25</f>
        <v>-162000</v>
      </c>
      <c r="J25" s="103">
        <f>+Industrial!M25</f>
        <v>306152.69399999996</v>
      </c>
      <c r="K25" s="103">
        <f>+Industrial!N25</f>
        <v>45026.309000000001</v>
      </c>
      <c r="L25" s="103">
        <f>+Industrial!O25</f>
        <v>261126.38499999995</v>
      </c>
      <c r="M25" s="27">
        <f>+Industrial!P25</f>
        <v>0.14707141201899732</v>
      </c>
      <c r="N25" s="142" t="s">
        <v>76</v>
      </c>
      <c r="O25" s="94">
        <f>+Resumen!C$4</f>
        <v>44214</v>
      </c>
      <c r="P25" s="103">
        <v>2020</v>
      </c>
    </row>
    <row r="26" spans="1:16">
      <c r="A26" s="97" t="s">
        <v>93</v>
      </c>
      <c r="B26" s="97" t="s">
        <v>93</v>
      </c>
      <c r="C26" s="97" t="s">
        <v>94</v>
      </c>
      <c r="D26" s="97" t="s">
        <v>95</v>
      </c>
      <c r="E26" s="97" t="s">
        <v>102</v>
      </c>
      <c r="F26" s="97" t="s">
        <v>96</v>
      </c>
      <c r="G26" s="97" t="s">
        <v>99</v>
      </c>
      <c r="H26" s="114">
        <f>+Industrial!K27</f>
        <v>647598.95299999998</v>
      </c>
      <c r="I26" s="103">
        <f>+Industrial!L27</f>
        <v>-189314.79699999999</v>
      </c>
      <c r="J26" s="103">
        <f>+Industrial!M27</f>
        <v>458284.15599999996</v>
      </c>
      <c r="K26" s="103">
        <f>+Industrial!N27</f>
        <v>56514.012000000002</v>
      </c>
      <c r="L26" s="103">
        <f>+Industrial!O27</f>
        <v>401770.14399999991</v>
      </c>
      <c r="M26" s="27">
        <f>+Industrial!P27</f>
        <v>0.1233165302795238</v>
      </c>
      <c r="N26" s="142" t="s">
        <v>76</v>
      </c>
      <c r="O26" s="94">
        <f>+Resumen!C$4</f>
        <v>44214</v>
      </c>
      <c r="P26" s="103">
        <v>2020</v>
      </c>
    </row>
    <row r="27" spans="1:16">
      <c r="A27" s="97" t="s">
        <v>93</v>
      </c>
      <c r="B27" s="97" t="s">
        <v>93</v>
      </c>
      <c r="C27" s="97" t="s">
        <v>101</v>
      </c>
      <c r="D27" s="97" t="s">
        <v>95</v>
      </c>
      <c r="E27" t="str">
        <f>+Industrial!C28</f>
        <v>ABASTECIMIENTO DEL PACIFICO S.A.</v>
      </c>
      <c r="F27" s="97" t="s">
        <v>96</v>
      </c>
      <c r="G27" s="97" t="s">
        <v>99</v>
      </c>
      <c r="H27">
        <f>+Industrial!E28</f>
        <v>477.42499999999995</v>
      </c>
      <c r="I27" s="103">
        <f>+Industrial!F28</f>
        <v>0</v>
      </c>
      <c r="J27" s="103">
        <f>+Industrial!G28</f>
        <v>477.42499999999995</v>
      </c>
      <c r="K27" s="103">
        <f>+Industrial!H28</f>
        <v>0</v>
      </c>
      <c r="L27" s="103">
        <f>+Industrial!I28</f>
        <v>477.42499999999995</v>
      </c>
      <c r="M27" s="27">
        <f>+Industrial!J28</f>
        <v>0</v>
      </c>
      <c r="N27" s="142" t="s">
        <v>76</v>
      </c>
      <c r="O27" s="94">
        <f>+Resumen!C$4</f>
        <v>44214</v>
      </c>
      <c r="P27" s="103">
        <v>2020</v>
      </c>
    </row>
    <row r="28" spans="1:16">
      <c r="A28" s="97" t="s">
        <v>93</v>
      </c>
      <c r="B28" s="97" t="s">
        <v>93</v>
      </c>
      <c r="C28" s="97" t="s">
        <v>101</v>
      </c>
      <c r="D28" s="97" t="s">
        <v>95</v>
      </c>
      <c r="E28" s="97" t="str">
        <f>+Industrial!C29</f>
        <v>ALIMENTOS DEL SUR SPA.</v>
      </c>
      <c r="F28" s="97" t="s">
        <v>96</v>
      </c>
      <c r="G28" s="97" t="s">
        <v>99</v>
      </c>
      <c r="H28" s="103">
        <f>+Industrial!E29</f>
        <v>0</v>
      </c>
      <c r="I28" s="103">
        <f>+Industrial!F29</f>
        <v>0</v>
      </c>
      <c r="J28" s="103">
        <f>+Industrial!G29</f>
        <v>0</v>
      </c>
      <c r="K28" s="103">
        <f>+Industrial!H29</f>
        <v>0</v>
      </c>
      <c r="L28" s="103">
        <f>+Industrial!I29</f>
        <v>0</v>
      </c>
      <c r="M28" s="27">
        <f>+Industrial!J29</f>
        <v>0</v>
      </c>
      <c r="N28" s="142" t="s">
        <v>76</v>
      </c>
      <c r="O28" s="94">
        <f>+Resumen!C$4</f>
        <v>44214</v>
      </c>
      <c r="P28" s="103">
        <v>2020</v>
      </c>
    </row>
    <row r="29" spans="1:16">
      <c r="A29" s="97" t="s">
        <v>93</v>
      </c>
      <c r="B29" s="97" t="s">
        <v>93</v>
      </c>
      <c r="C29" s="97" t="s">
        <v>101</v>
      </c>
      <c r="D29" s="97" t="s">
        <v>95</v>
      </c>
      <c r="E29" s="97" t="str">
        <f>+Industrial!C30</f>
        <v xml:space="preserve">ALIMENTOS MARINOS S.A.         </v>
      </c>
      <c r="F29" s="97" t="s">
        <v>96</v>
      </c>
      <c r="G29" s="97" t="s">
        <v>99</v>
      </c>
      <c r="H29" s="103">
        <f>+Industrial!E30</f>
        <v>2546.1370000000002</v>
      </c>
      <c r="I29" s="103">
        <f>+Industrial!F30</f>
        <v>0</v>
      </c>
      <c r="J29" s="103">
        <f>+Industrial!G30</f>
        <v>2546.1370000000002</v>
      </c>
      <c r="K29" s="103">
        <f>+Industrial!H30</f>
        <v>0</v>
      </c>
      <c r="L29" s="103">
        <f>+Industrial!I30</f>
        <v>2546.1370000000002</v>
      </c>
      <c r="M29" s="27">
        <f>+Industrial!J30</f>
        <v>0</v>
      </c>
      <c r="N29" s="142" t="s">
        <v>76</v>
      </c>
      <c r="O29" s="94">
        <f>+Resumen!C$4</f>
        <v>44214</v>
      </c>
      <c r="P29" s="103">
        <v>2020</v>
      </c>
    </row>
    <row r="30" spans="1:16">
      <c r="A30" s="97" t="s">
        <v>93</v>
      </c>
      <c r="B30" s="97" t="s">
        <v>93</v>
      </c>
      <c r="C30" s="97" t="s">
        <v>101</v>
      </c>
      <c r="D30" s="97" t="s">
        <v>95</v>
      </c>
      <c r="E30" s="97" t="str">
        <f>+Industrial!C31</f>
        <v>ATILIO REYES BARRERA</v>
      </c>
      <c r="F30" s="97" t="s">
        <v>96</v>
      </c>
      <c r="G30" s="97" t="s">
        <v>99</v>
      </c>
      <c r="H30" s="103">
        <f>+Industrial!E31</f>
        <v>341.01900000000001</v>
      </c>
      <c r="I30" s="103">
        <f>+Industrial!F31</f>
        <v>0</v>
      </c>
      <c r="J30" s="103">
        <f>+Industrial!G31</f>
        <v>341.01900000000001</v>
      </c>
      <c r="K30" s="103">
        <f>+Industrial!H31</f>
        <v>0</v>
      </c>
      <c r="L30" s="103">
        <f>+Industrial!I31</f>
        <v>341.01900000000001</v>
      </c>
      <c r="M30" s="27">
        <f>+Industrial!J31</f>
        <v>0</v>
      </c>
      <c r="N30" s="142" t="s">
        <v>76</v>
      </c>
      <c r="O30" s="94">
        <f>+Resumen!C$4</f>
        <v>44214</v>
      </c>
      <c r="P30" s="103">
        <v>2020</v>
      </c>
    </row>
    <row r="31" spans="1:16">
      <c r="A31" s="97" t="s">
        <v>93</v>
      </c>
      <c r="B31" s="97" t="s">
        <v>93</v>
      </c>
      <c r="C31" s="97" t="s">
        <v>101</v>
      </c>
      <c r="D31" s="97" t="s">
        <v>95</v>
      </c>
      <c r="E31" s="97" t="str">
        <f>+Industrial!C32</f>
        <v xml:space="preserve">BAHIA CALDERA S.A. PESQ.          </v>
      </c>
      <c r="F31" s="97" t="s">
        <v>96</v>
      </c>
      <c r="G31" s="97" t="s">
        <v>99</v>
      </c>
      <c r="H31" s="103">
        <f>+Industrial!E32</f>
        <v>19891.693999999985</v>
      </c>
      <c r="I31" s="103">
        <f>+Industrial!F32</f>
        <v>-18982.315999999999</v>
      </c>
      <c r="J31" s="103">
        <f>+Industrial!G32</f>
        <v>909.37799999998606</v>
      </c>
      <c r="K31" s="103">
        <f>+Industrial!H32</f>
        <v>0</v>
      </c>
      <c r="L31" s="103">
        <f>+Industrial!I32</f>
        <v>909.37799999998606</v>
      </c>
      <c r="M31" s="27">
        <f>+Industrial!J32</f>
        <v>0</v>
      </c>
      <c r="N31" s="142" t="s">
        <v>76</v>
      </c>
      <c r="O31" s="94">
        <f>+Resumen!C$4</f>
        <v>44214</v>
      </c>
      <c r="P31" s="103">
        <v>2020</v>
      </c>
    </row>
    <row r="32" spans="1:16">
      <c r="A32" s="97" t="s">
        <v>93</v>
      </c>
      <c r="B32" s="97" t="s">
        <v>93</v>
      </c>
      <c r="C32" s="97" t="s">
        <v>101</v>
      </c>
      <c r="D32" s="97" t="s">
        <v>95</v>
      </c>
      <c r="E32" s="97" t="str">
        <f>+Industrial!C33</f>
        <v xml:space="preserve">BLUMAR S.A.                                              </v>
      </c>
      <c r="F32" s="97" t="s">
        <v>96</v>
      </c>
      <c r="G32" s="97" t="s">
        <v>99</v>
      </c>
      <c r="H32" s="103">
        <f>+Industrial!E33</f>
        <v>146.874</v>
      </c>
      <c r="I32" s="103">
        <f>+Industrial!F33</f>
        <v>0</v>
      </c>
      <c r="J32" s="103">
        <f>+Industrial!G33</f>
        <v>146.874</v>
      </c>
      <c r="K32" s="103">
        <f>+Industrial!H33</f>
        <v>0</v>
      </c>
      <c r="L32" s="103">
        <f>+Industrial!I33</f>
        <v>146.874</v>
      </c>
      <c r="M32" s="27">
        <f>+Industrial!J33</f>
        <v>0</v>
      </c>
      <c r="N32" s="142" t="s">
        <v>76</v>
      </c>
      <c r="O32" s="94">
        <f>+Resumen!C$4</f>
        <v>44214</v>
      </c>
      <c r="P32" s="103">
        <v>2020</v>
      </c>
    </row>
    <row r="33" spans="1:16">
      <c r="A33" s="97" t="s">
        <v>93</v>
      </c>
      <c r="B33" s="97" t="s">
        <v>93</v>
      </c>
      <c r="C33" s="97" t="s">
        <v>101</v>
      </c>
      <c r="D33" s="97" t="s">
        <v>95</v>
      </c>
      <c r="E33" s="97" t="str">
        <f>+Industrial!C34</f>
        <v xml:space="preserve">CAMANCHACA PESCA SUR S.A.  </v>
      </c>
      <c r="F33" s="97" t="s">
        <v>96</v>
      </c>
      <c r="G33" s="97" t="s">
        <v>99</v>
      </c>
      <c r="H33" s="103">
        <f>+Industrial!E34</f>
        <v>1230.6920000000002</v>
      </c>
      <c r="I33" s="103">
        <f>+Industrial!F34</f>
        <v>0</v>
      </c>
      <c r="J33" s="103">
        <f>+Industrial!G34</f>
        <v>1230.6920000000002</v>
      </c>
      <c r="K33" s="103">
        <f>+Industrial!H34</f>
        <v>0</v>
      </c>
      <c r="L33" s="103">
        <f>+Industrial!I34</f>
        <v>1230.6920000000002</v>
      </c>
      <c r="M33" s="27">
        <f>+Industrial!J34</f>
        <v>0</v>
      </c>
      <c r="N33" s="142" t="s">
        <v>76</v>
      </c>
      <c r="O33" s="94">
        <f>+Resumen!C$4</f>
        <v>44214</v>
      </c>
      <c r="P33" s="103">
        <v>2020</v>
      </c>
    </row>
    <row r="34" spans="1:16">
      <c r="A34" s="97" t="s">
        <v>93</v>
      </c>
      <c r="B34" s="97" t="s">
        <v>93</v>
      </c>
      <c r="C34" s="97" t="s">
        <v>101</v>
      </c>
      <c r="D34" s="97" t="s">
        <v>95</v>
      </c>
      <c r="E34" s="97" t="str">
        <f>+Industrial!C35</f>
        <v xml:space="preserve">CAMANCHACA S.A. CIA. PESQ    </v>
      </c>
      <c r="F34" s="97" t="s">
        <v>96</v>
      </c>
      <c r="G34" s="97" t="s">
        <v>99</v>
      </c>
      <c r="H34" s="103">
        <f>+Industrial!E35</f>
        <v>35.17</v>
      </c>
      <c r="I34" s="103">
        <f>+Industrial!F35</f>
        <v>0</v>
      </c>
      <c r="J34" s="103">
        <f>+Industrial!G35</f>
        <v>35.17</v>
      </c>
      <c r="K34" s="103">
        <f>+Industrial!H35</f>
        <v>0</v>
      </c>
      <c r="L34" s="103">
        <f>+Industrial!I35</f>
        <v>35.17</v>
      </c>
      <c r="M34" s="27">
        <f>+Industrial!J35</f>
        <v>0</v>
      </c>
      <c r="N34" s="142" t="s">
        <v>76</v>
      </c>
      <c r="O34" s="94">
        <f>+Resumen!C$4</f>
        <v>44214</v>
      </c>
      <c r="P34" s="103">
        <v>2020</v>
      </c>
    </row>
    <row r="35" spans="1:16">
      <c r="A35" s="97" t="s">
        <v>93</v>
      </c>
      <c r="B35" s="97" t="s">
        <v>93</v>
      </c>
      <c r="C35" s="97" t="s">
        <v>101</v>
      </c>
      <c r="D35" s="97" t="s">
        <v>95</v>
      </c>
      <c r="E35" s="97" t="str">
        <f>+Industrial!C36</f>
        <v xml:space="preserve">CARLOS SAEZ ALARCON </v>
      </c>
      <c r="F35" s="97" t="s">
        <v>96</v>
      </c>
      <c r="G35" s="97" t="s">
        <v>99</v>
      </c>
      <c r="H35" s="103">
        <f>+Industrial!E36</f>
        <v>0</v>
      </c>
      <c r="I35" s="103">
        <f>+Industrial!F36</f>
        <v>0</v>
      </c>
      <c r="J35" s="103">
        <f>+Industrial!G36</f>
        <v>0</v>
      </c>
      <c r="K35" s="103">
        <f>+Industrial!H36</f>
        <v>0</v>
      </c>
      <c r="L35" s="103">
        <f>+Industrial!I36</f>
        <v>0</v>
      </c>
      <c r="M35" s="27">
        <v>0</v>
      </c>
      <c r="N35" s="142" t="s">
        <v>76</v>
      </c>
      <c r="O35" s="94">
        <f>+Resumen!C$4</f>
        <v>44214</v>
      </c>
      <c r="P35" s="103">
        <v>2020</v>
      </c>
    </row>
    <row r="36" spans="1:16">
      <c r="A36" s="97" t="s">
        <v>93</v>
      </c>
      <c r="B36" s="97" t="s">
        <v>93</v>
      </c>
      <c r="C36" s="97" t="s">
        <v>101</v>
      </c>
      <c r="D36" s="97" t="s">
        <v>95</v>
      </c>
      <c r="E36" s="97" t="str">
        <f>+Industrial!C37</f>
        <v>ERIC ARACENA REYNUABA</v>
      </c>
      <c r="F36" s="97" t="s">
        <v>96</v>
      </c>
      <c r="G36" s="97" t="s">
        <v>99</v>
      </c>
      <c r="H36" s="103">
        <f>+Industrial!E37</f>
        <v>181.876</v>
      </c>
      <c r="I36" s="103">
        <f>+Industrial!F37</f>
        <v>0</v>
      </c>
      <c r="J36" s="103">
        <f>+Industrial!G37</f>
        <v>181.876</v>
      </c>
      <c r="K36" s="103">
        <f>+Industrial!H37</f>
        <v>0</v>
      </c>
      <c r="L36" s="103">
        <f>+Industrial!I37</f>
        <v>181.876</v>
      </c>
      <c r="M36" s="27">
        <f>+Industrial!J37</f>
        <v>0</v>
      </c>
      <c r="N36" s="142" t="s">
        <v>76</v>
      </c>
      <c r="O36" s="94">
        <f>+Resumen!C$4</f>
        <v>44214</v>
      </c>
      <c r="P36" s="103">
        <v>2020</v>
      </c>
    </row>
    <row r="37" spans="1:16">
      <c r="A37" s="97" t="s">
        <v>93</v>
      </c>
      <c r="B37" s="97" t="s">
        <v>93</v>
      </c>
      <c r="C37" s="97" t="s">
        <v>101</v>
      </c>
      <c r="D37" s="97" t="s">
        <v>95</v>
      </c>
      <c r="E37" s="97" t="str">
        <f>+Industrial!C38</f>
        <v>FOODCORP CHILE S.A.</v>
      </c>
      <c r="F37" s="97" t="s">
        <v>96</v>
      </c>
      <c r="G37" s="97" t="s">
        <v>99</v>
      </c>
      <c r="H37" s="103">
        <f>+Industrial!E38</f>
        <v>113.673</v>
      </c>
      <c r="I37" s="103">
        <f>+Industrial!F38</f>
        <v>0</v>
      </c>
      <c r="J37" s="103">
        <f>+Industrial!G38</f>
        <v>113.673</v>
      </c>
      <c r="K37" s="103">
        <f>+Industrial!H38</f>
        <v>0</v>
      </c>
      <c r="L37" s="103">
        <f>+Industrial!I38</f>
        <v>113.673</v>
      </c>
      <c r="M37" s="27">
        <f>+Industrial!J38</f>
        <v>0</v>
      </c>
      <c r="N37" s="142" t="s">
        <v>76</v>
      </c>
      <c r="O37" s="94">
        <f>+Resumen!C$4</f>
        <v>44214</v>
      </c>
      <c r="P37" s="103">
        <v>2020</v>
      </c>
    </row>
    <row r="38" spans="1:16">
      <c r="A38" s="97" t="s">
        <v>93</v>
      </c>
      <c r="B38" s="97" t="s">
        <v>93</v>
      </c>
      <c r="C38" s="97" t="s">
        <v>101</v>
      </c>
      <c r="D38" s="97" t="s">
        <v>95</v>
      </c>
      <c r="E38" s="97" t="str">
        <f>+Industrial!C39</f>
        <v>GIULLIANO REYNUABA SALAS</v>
      </c>
      <c r="F38" s="97" t="s">
        <v>96</v>
      </c>
      <c r="G38" s="97" t="s">
        <v>99</v>
      </c>
      <c r="H38" s="103">
        <f>+Industrial!E39</f>
        <v>181.876</v>
      </c>
      <c r="I38" s="103">
        <f>+Industrial!F39</f>
        <v>0</v>
      </c>
      <c r="J38" s="103">
        <f>+Industrial!G39</f>
        <v>181.876</v>
      </c>
      <c r="K38" s="103">
        <f>+Industrial!H39</f>
        <v>0</v>
      </c>
      <c r="L38" s="103">
        <f>+Industrial!I39</f>
        <v>181.876</v>
      </c>
      <c r="M38" s="27">
        <f>+Industrial!J39</f>
        <v>0</v>
      </c>
      <c r="N38" s="142" t="s">
        <v>76</v>
      </c>
      <c r="O38" s="94">
        <f>+Resumen!C$4</f>
        <v>44214</v>
      </c>
      <c r="P38" s="103">
        <v>2020</v>
      </c>
    </row>
    <row r="39" spans="1:16">
      <c r="A39" s="97" t="s">
        <v>93</v>
      </c>
      <c r="B39" s="97" t="s">
        <v>93</v>
      </c>
      <c r="C39" s="97" t="s">
        <v>101</v>
      </c>
      <c r="D39" s="97" t="s">
        <v>95</v>
      </c>
      <c r="E39" s="97" t="str">
        <f>+Industrial!C40</f>
        <v xml:space="preserve">LANDES S.A. SOC. PESQ.                           </v>
      </c>
      <c r="F39" s="97" t="s">
        <v>96</v>
      </c>
      <c r="G39" s="97" t="s">
        <v>99</v>
      </c>
      <c r="H39" s="103">
        <f>+Industrial!E40</f>
        <v>4.2469999999999999</v>
      </c>
      <c r="I39" s="103">
        <f>+Industrial!F40</f>
        <v>0</v>
      </c>
      <c r="J39" s="103">
        <f>+Industrial!G40</f>
        <v>4.2469999999999999</v>
      </c>
      <c r="K39" s="103">
        <f>+Industrial!H40</f>
        <v>0</v>
      </c>
      <c r="L39" s="103">
        <f>+Industrial!I40</f>
        <v>4.2469999999999999</v>
      </c>
      <c r="M39" s="27">
        <f>+Industrial!J40</f>
        <v>0</v>
      </c>
      <c r="N39" s="142" t="s">
        <v>76</v>
      </c>
      <c r="O39" s="94">
        <f>+Resumen!C$4</f>
        <v>44214</v>
      </c>
      <c r="P39" s="103">
        <v>2020</v>
      </c>
    </row>
    <row r="40" spans="1:16">
      <c r="A40" s="97" t="s">
        <v>93</v>
      </c>
      <c r="B40" s="97" t="s">
        <v>93</v>
      </c>
      <c r="C40" s="97" t="s">
        <v>101</v>
      </c>
      <c r="D40" s="97" t="s">
        <v>95</v>
      </c>
      <c r="E40" s="97" t="str">
        <f>+Industrial!C41</f>
        <v xml:space="preserve">ORIZON S.A                                                   </v>
      </c>
      <c r="F40" s="97" t="s">
        <v>96</v>
      </c>
      <c r="G40" s="97" t="s">
        <v>99</v>
      </c>
      <c r="H40" s="103">
        <f>+Industrial!E41</f>
        <v>18626.330999999995</v>
      </c>
      <c r="I40" s="103">
        <f>+Industrial!F41</f>
        <v>-18600</v>
      </c>
      <c r="J40" s="103">
        <f>+Industrial!G41</f>
        <v>26.330999999994674</v>
      </c>
      <c r="K40" s="103">
        <f>+Industrial!H41</f>
        <v>0</v>
      </c>
      <c r="L40" s="103">
        <f>+Industrial!I41</f>
        <v>26.330999999994674</v>
      </c>
      <c r="M40" s="27">
        <f>+Industrial!J41</f>
        <v>0</v>
      </c>
      <c r="N40" s="142" t="s">
        <v>76</v>
      </c>
      <c r="O40" s="94">
        <f>+Resumen!C$4</f>
        <v>44214</v>
      </c>
      <c r="P40" s="103">
        <v>2020</v>
      </c>
    </row>
    <row r="41" spans="1:16">
      <c r="A41" s="97" t="s">
        <v>93</v>
      </c>
      <c r="B41" s="97" t="s">
        <v>93</v>
      </c>
      <c r="C41" s="97" t="s">
        <v>101</v>
      </c>
      <c r="D41" s="97" t="s">
        <v>95</v>
      </c>
      <c r="E41" s="97" t="str">
        <f>+Industrial!C42</f>
        <v>PEDRO IRIGOYEN LTOA. INV</v>
      </c>
      <c r="F41" s="97" t="s">
        <v>96</v>
      </c>
      <c r="G41" s="97" t="s">
        <v>99</v>
      </c>
      <c r="H41" s="103">
        <f>+Industrial!E42</f>
        <v>0</v>
      </c>
      <c r="I41" s="103">
        <f>+Industrial!F42</f>
        <v>0</v>
      </c>
      <c r="J41" s="103">
        <f>+Industrial!G42</f>
        <v>0</v>
      </c>
      <c r="K41" s="103">
        <f>+Industrial!H42</f>
        <v>0</v>
      </c>
      <c r="L41" s="103">
        <f>+Industrial!I42</f>
        <v>0</v>
      </c>
      <c r="M41" s="27">
        <f>+Industrial!J42</f>
        <v>0</v>
      </c>
      <c r="N41" s="142" t="s">
        <v>76</v>
      </c>
      <c r="O41" s="94">
        <f>+Resumen!C$4</f>
        <v>44214</v>
      </c>
      <c r="P41" s="103">
        <v>2020</v>
      </c>
    </row>
    <row r="42" spans="1:16">
      <c r="A42" s="97" t="s">
        <v>93</v>
      </c>
      <c r="B42" s="97" t="s">
        <v>93</v>
      </c>
      <c r="C42" s="97" t="s">
        <v>101</v>
      </c>
      <c r="D42" s="97" t="s">
        <v>95</v>
      </c>
      <c r="E42" s="97" t="str">
        <f>+Industrial!C43</f>
        <v>PESQUERA LITORAL SpA</v>
      </c>
      <c r="F42" s="97" t="s">
        <v>96</v>
      </c>
      <c r="G42" s="97" t="s">
        <v>99</v>
      </c>
      <c r="H42" s="103">
        <f>+Industrial!E43</f>
        <v>441.59</v>
      </c>
      <c r="I42" s="103">
        <f>+Industrial!F43</f>
        <v>0</v>
      </c>
      <c r="J42" s="103">
        <f>+Industrial!G43</f>
        <v>441.59</v>
      </c>
      <c r="K42" s="103">
        <f>+Industrial!H43</f>
        <v>0</v>
      </c>
      <c r="L42" s="103">
        <f>+Industrial!I43</f>
        <v>441.59</v>
      </c>
      <c r="M42" s="27">
        <f>+Industrial!J43</f>
        <v>0</v>
      </c>
      <c r="N42" s="142" t="s">
        <v>76</v>
      </c>
      <c r="O42" s="94">
        <f>+Resumen!C$4</f>
        <v>44214</v>
      </c>
      <c r="P42" s="103">
        <v>2020</v>
      </c>
    </row>
    <row r="43" spans="1:16" s="103" customFormat="1">
      <c r="A43" s="103" t="s">
        <v>93</v>
      </c>
      <c r="B43" s="103" t="s">
        <v>93</v>
      </c>
      <c r="C43" s="103" t="s">
        <v>101</v>
      </c>
      <c r="D43" s="103" t="s">
        <v>95</v>
      </c>
      <c r="E43" s="103" t="s">
        <v>134</v>
      </c>
      <c r="F43" s="103" t="s">
        <v>96</v>
      </c>
      <c r="G43" s="103" t="s">
        <v>99</v>
      </c>
      <c r="H43" s="103">
        <f>+Industrial!E44</f>
        <v>522.89499999999998</v>
      </c>
      <c r="I43" s="103">
        <f>+Industrial!F44</f>
        <v>0</v>
      </c>
      <c r="J43" s="103">
        <f>+Industrial!G44</f>
        <v>522.89499999999998</v>
      </c>
      <c r="K43" s="103">
        <f>+Industrial!H44</f>
        <v>0</v>
      </c>
      <c r="L43" s="103">
        <f>+Industrial!I44</f>
        <v>522.89499999999998</v>
      </c>
      <c r="M43" s="27">
        <f>+Industrial!J44</f>
        <v>0</v>
      </c>
      <c r="N43" s="142" t="s">
        <v>76</v>
      </c>
      <c r="O43" s="94">
        <f>+Resumen!C$4</f>
        <v>44214</v>
      </c>
      <c r="P43" s="103">
        <v>2020</v>
      </c>
    </row>
    <row r="44" spans="1:16">
      <c r="A44" s="97" t="s">
        <v>93</v>
      </c>
      <c r="B44" s="97" t="s">
        <v>93</v>
      </c>
      <c r="C44" s="97" t="s">
        <v>101</v>
      </c>
      <c r="D44" s="97" t="s">
        <v>95</v>
      </c>
      <c r="E44" s="97" t="str">
        <f>+Industrial!C45</f>
        <v>SOCIEDAD COMERCIAL DE SERVICIOS Y TRANSPORTES STA LIMITADA</v>
      </c>
      <c r="F44" s="97" t="s">
        <v>96</v>
      </c>
      <c r="G44" s="97" t="s">
        <v>99</v>
      </c>
      <c r="H44" s="103">
        <f>+Industrial!E45</f>
        <v>0</v>
      </c>
      <c r="I44" s="103">
        <f>+Industrial!F45</f>
        <v>0</v>
      </c>
      <c r="J44" s="103">
        <f>+Industrial!G45</f>
        <v>0</v>
      </c>
      <c r="K44" s="103">
        <f>+Industrial!H45</f>
        <v>0</v>
      </c>
      <c r="L44" s="103">
        <f>+Industrial!I45</f>
        <v>0</v>
      </c>
      <c r="M44" s="27">
        <v>0</v>
      </c>
      <c r="N44" s="142" t="s">
        <v>76</v>
      </c>
      <c r="O44" s="94">
        <f>+Resumen!C$4</f>
        <v>44214</v>
      </c>
      <c r="P44" s="103">
        <v>2020</v>
      </c>
    </row>
    <row r="45" spans="1:16">
      <c r="A45" s="97" t="s">
        <v>93</v>
      </c>
      <c r="B45" s="97" t="s">
        <v>93</v>
      </c>
      <c r="C45" s="97" t="s">
        <v>101</v>
      </c>
      <c r="D45" s="97" t="s">
        <v>95</v>
      </c>
      <c r="E45" s="97" t="s">
        <v>102</v>
      </c>
      <c r="F45" s="97" t="s">
        <v>96</v>
      </c>
      <c r="G45" s="97" t="s">
        <v>99</v>
      </c>
      <c r="H45">
        <f>+Industrial!K46</f>
        <v>44741.498999999974</v>
      </c>
      <c r="I45" s="103">
        <f>+Industrial!L46</f>
        <v>-37582.315999999999</v>
      </c>
      <c r="J45" s="103">
        <f>+Industrial!M46</f>
        <v>7159.1829999999809</v>
      </c>
      <c r="K45" s="103">
        <f>+Industrial!N46</f>
        <v>0</v>
      </c>
      <c r="L45" s="103">
        <f>+Industrial!O46</f>
        <v>7159.1829999999809</v>
      </c>
      <c r="M45" s="27">
        <f>+Industrial!P46</f>
        <v>0</v>
      </c>
      <c r="N45" s="142" t="s">
        <v>76</v>
      </c>
      <c r="O45" s="94">
        <f>+Resumen!C$4</f>
        <v>44214</v>
      </c>
      <c r="P45" s="103">
        <v>2020</v>
      </c>
    </row>
    <row r="46" spans="1:16">
      <c r="A46" s="97" t="s">
        <v>103</v>
      </c>
      <c r="B46" s="97" t="s">
        <v>103</v>
      </c>
      <c r="C46" s="97" t="s">
        <v>94</v>
      </c>
      <c r="D46" s="97" t="s">
        <v>95</v>
      </c>
      <c r="E46" t="str">
        <f>+Industrial!C47</f>
        <v xml:space="preserve">ARICA SEAFOOD PRODUCER S.A.  </v>
      </c>
      <c r="F46" s="97" t="s">
        <v>96</v>
      </c>
      <c r="G46" s="97" t="s">
        <v>97</v>
      </c>
      <c r="H46">
        <f>+Industrial!E47</f>
        <v>3.661</v>
      </c>
      <c r="I46" s="103">
        <f>+Industrial!F47</f>
        <v>0</v>
      </c>
      <c r="J46" s="103">
        <f>+Industrial!G47</f>
        <v>3.661</v>
      </c>
      <c r="K46" s="103">
        <f>+Industrial!H47</f>
        <v>0</v>
      </c>
      <c r="L46" s="103">
        <f>+Industrial!I47</f>
        <v>3.661</v>
      </c>
      <c r="M46" s="27">
        <f>+Industrial!J47</f>
        <v>0</v>
      </c>
      <c r="N46" s="142" t="s">
        <v>76</v>
      </c>
      <c r="O46" s="94">
        <f>+Resumen!C$4</f>
        <v>44214</v>
      </c>
      <c r="P46" s="103">
        <v>2020</v>
      </c>
    </row>
    <row r="47" spans="1:16">
      <c r="A47" s="97" t="s">
        <v>103</v>
      </c>
      <c r="B47" s="97" t="s">
        <v>103</v>
      </c>
      <c r="C47" s="97" t="s">
        <v>94</v>
      </c>
      <c r="D47" s="97" t="s">
        <v>95</v>
      </c>
      <c r="E47" t="str">
        <f>+Industrial!C47</f>
        <v xml:space="preserve">ARICA SEAFOOD PRODUCER S.A.  </v>
      </c>
      <c r="F47" s="97" t="s">
        <v>98</v>
      </c>
      <c r="G47" s="97" t="s">
        <v>99</v>
      </c>
      <c r="H47" s="103">
        <f>+Industrial!E48</f>
        <v>1.2190000000000001</v>
      </c>
      <c r="I47" s="103">
        <f>+Industrial!F48</f>
        <v>0</v>
      </c>
      <c r="J47" s="103">
        <f>+Industrial!G48</f>
        <v>4.88</v>
      </c>
      <c r="K47" s="103">
        <f>+Industrial!H48</f>
        <v>0</v>
      </c>
      <c r="L47" s="103">
        <f>+Industrial!I48</f>
        <v>4.88</v>
      </c>
      <c r="M47" s="27">
        <f>+Industrial!J48</f>
        <v>0</v>
      </c>
      <c r="N47" s="142" t="s">
        <v>76</v>
      </c>
      <c r="O47" s="94">
        <f>+Resumen!C$4</f>
        <v>44214</v>
      </c>
      <c r="P47" s="103">
        <v>2020</v>
      </c>
    </row>
    <row r="48" spans="1:16">
      <c r="A48" s="97" t="s">
        <v>103</v>
      </c>
      <c r="B48" s="97" t="s">
        <v>103</v>
      </c>
      <c r="C48" s="97" t="s">
        <v>94</v>
      </c>
      <c r="D48" s="97" t="s">
        <v>95</v>
      </c>
      <c r="E48" t="str">
        <f>+Industrial!C47</f>
        <v xml:space="preserve">ARICA SEAFOOD PRODUCER S.A.  </v>
      </c>
      <c r="F48" s="97" t="s">
        <v>96</v>
      </c>
      <c r="G48" s="97" t="s">
        <v>99</v>
      </c>
      <c r="H48">
        <f>+Industrial!K47</f>
        <v>4.88</v>
      </c>
      <c r="I48" s="103">
        <f>+Industrial!L47</f>
        <v>0</v>
      </c>
      <c r="J48" s="103">
        <f>+Industrial!M47</f>
        <v>4.88</v>
      </c>
      <c r="K48" s="103">
        <f>+Industrial!N47</f>
        <v>0</v>
      </c>
      <c r="L48" s="103">
        <f>+Industrial!O47</f>
        <v>4.88</v>
      </c>
      <c r="M48" s="27">
        <f>+Industrial!P47</f>
        <v>0</v>
      </c>
      <c r="N48" s="142" t="s">
        <v>76</v>
      </c>
      <c r="O48" s="94">
        <f>+Resumen!C$4</f>
        <v>44214</v>
      </c>
      <c r="P48" s="103">
        <v>2020</v>
      </c>
    </row>
    <row r="49" spans="1:16">
      <c r="A49" s="97" t="s">
        <v>103</v>
      </c>
      <c r="B49" s="97" t="s">
        <v>103</v>
      </c>
      <c r="C49" s="97" t="s">
        <v>94</v>
      </c>
      <c r="D49" s="97" t="s">
        <v>95</v>
      </c>
      <c r="E49" t="str">
        <f>+Industrial!C49</f>
        <v xml:space="preserve">CAMANCHACA S.A. CIA. PESQ      </v>
      </c>
      <c r="F49" s="97" t="s">
        <v>96</v>
      </c>
      <c r="G49" s="97" t="s">
        <v>97</v>
      </c>
      <c r="H49">
        <f>+Industrial!E49</f>
        <v>234.869</v>
      </c>
      <c r="I49" s="103">
        <f>+Industrial!F49</f>
        <v>0</v>
      </c>
      <c r="J49" s="103">
        <f>+Industrial!G49</f>
        <v>234.869</v>
      </c>
      <c r="K49" s="103">
        <f>+Industrial!H49</f>
        <v>0</v>
      </c>
      <c r="L49" s="103">
        <f>+Industrial!I49</f>
        <v>234.869</v>
      </c>
      <c r="M49" s="27">
        <f>+Industrial!J49</f>
        <v>0</v>
      </c>
      <c r="N49" s="142" t="s">
        <v>76</v>
      </c>
      <c r="O49" s="94">
        <f>+Resumen!C$4</f>
        <v>44214</v>
      </c>
      <c r="P49" s="103">
        <v>2020</v>
      </c>
    </row>
    <row r="50" spans="1:16">
      <c r="A50" s="97" t="s">
        <v>103</v>
      </c>
      <c r="B50" s="97" t="s">
        <v>103</v>
      </c>
      <c r="C50" s="97" t="s">
        <v>94</v>
      </c>
      <c r="D50" s="97" t="s">
        <v>95</v>
      </c>
      <c r="E50" t="str">
        <f>+Industrial!C49</f>
        <v xml:space="preserve">CAMANCHACA S.A. CIA. PESQ      </v>
      </c>
      <c r="F50" s="97" t="s">
        <v>98</v>
      </c>
      <c r="G50" s="97" t="s">
        <v>99</v>
      </c>
      <c r="H50" s="103">
        <f>+Industrial!E50</f>
        <v>78.218999999999994</v>
      </c>
      <c r="I50" s="103">
        <f>+Industrial!F50</f>
        <v>0</v>
      </c>
      <c r="J50" s="103">
        <f>+Industrial!G50</f>
        <v>313.08799999999997</v>
      </c>
      <c r="K50" s="103">
        <f>+Industrial!H50</f>
        <v>0.86299999999999999</v>
      </c>
      <c r="L50" s="103">
        <f>+Industrial!I50</f>
        <v>312.22499999999997</v>
      </c>
      <c r="M50" s="27">
        <f>+Industrial!J50</f>
        <v>2.7564135322976292E-3</v>
      </c>
      <c r="N50" s="142" t="s">
        <v>76</v>
      </c>
      <c r="O50" s="94">
        <f>+Resumen!C$4</f>
        <v>44214</v>
      </c>
      <c r="P50" s="103">
        <v>2020</v>
      </c>
    </row>
    <row r="51" spans="1:16">
      <c r="A51" s="97" t="s">
        <v>103</v>
      </c>
      <c r="B51" s="97" t="s">
        <v>103</v>
      </c>
      <c r="C51" s="97" t="s">
        <v>94</v>
      </c>
      <c r="D51" s="97" t="s">
        <v>95</v>
      </c>
      <c r="E51" t="str">
        <f>+Industrial!C49</f>
        <v xml:space="preserve">CAMANCHACA S.A. CIA. PESQ      </v>
      </c>
      <c r="F51" s="97" t="s">
        <v>96</v>
      </c>
      <c r="G51" s="97" t="s">
        <v>99</v>
      </c>
      <c r="H51">
        <f>+Industrial!K49</f>
        <v>313.08799999999997</v>
      </c>
      <c r="I51" s="103">
        <f>+Industrial!L49</f>
        <v>0</v>
      </c>
      <c r="J51" s="103">
        <f>+Industrial!M49</f>
        <v>313.08799999999997</v>
      </c>
      <c r="K51" s="103">
        <f>+Industrial!N49</f>
        <v>0.86299999999999999</v>
      </c>
      <c r="L51" s="103">
        <f>+Industrial!O49</f>
        <v>312.22499999999997</v>
      </c>
      <c r="M51" s="27">
        <f>+Industrial!P49</f>
        <v>2.7564135322976292E-3</v>
      </c>
      <c r="N51" s="142" t="s">
        <v>76</v>
      </c>
      <c r="O51" s="94">
        <f>+Resumen!C$4</f>
        <v>44214</v>
      </c>
      <c r="P51" s="103">
        <v>2020</v>
      </c>
    </row>
    <row r="52" spans="1:16">
      <c r="A52" s="97" t="s">
        <v>103</v>
      </c>
      <c r="B52" s="97" t="s">
        <v>103</v>
      </c>
      <c r="C52" s="97" t="s">
        <v>94</v>
      </c>
      <c r="D52" s="97" t="s">
        <v>95</v>
      </c>
      <c r="E52" t="str">
        <f>+Industrial!C51</f>
        <v xml:space="preserve">CORPESCA S.A.                             </v>
      </c>
      <c r="F52" s="97" t="s">
        <v>96</v>
      </c>
      <c r="G52" s="97" t="s">
        <v>97</v>
      </c>
      <c r="H52">
        <f>+Industrial!E51</f>
        <v>875.47</v>
      </c>
      <c r="I52" s="103">
        <f>+Industrial!F51</f>
        <v>0</v>
      </c>
      <c r="J52" s="103">
        <f>+Industrial!G51</f>
        <v>875.47</v>
      </c>
      <c r="K52" s="103">
        <f>+Industrial!H51</f>
        <v>262.29500000000002</v>
      </c>
      <c r="L52" s="103">
        <f>+Industrial!I51</f>
        <v>613.17499999999995</v>
      </c>
      <c r="M52" s="27">
        <f>+Industrial!J51</f>
        <v>0.29960478371617533</v>
      </c>
      <c r="N52" s="142" t="s">
        <v>76</v>
      </c>
      <c r="O52" s="94">
        <f>+Resumen!C$4</f>
        <v>44214</v>
      </c>
      <c r="P52" s="103">
        <v>2020</v>
      </c>
    </row>
    <row r="53" spans="1:16">
      <c r="A53" s="97" t="s">
        <v>103</v>
      </c>
      <c r="B53" s="97" t="s">
        <v>103</v>
      </c>
      <c r="C53" s="97" t="s">
        <v>94</v>
      </c>
      <c r="D53" s="97" t="s">
        <v>95</v>
      </c>
      <c r="E53" t="str">
        <f>+Industrial!C51</f>
        <v xml:space="preserve">CORPESCA S.A.                             </v>
      </c>
      <c r="F53" s="97" t="s">
        <v>98</v>
      </c>
      <c r="G53" s="97" t="s">
        <v>99</v>
      </c>
      <c r="H53" s="103">
        <f>+Industrial!E52</f>
        <v>291.56099999999998</v>
      </c>
      <c r="I53" s="103">
        <f>+Industrial!F52</f>
        <v>-400</v>
      </c>
      <c r="J53" s="103">
        <f>+Industrial!G52</f>
        <v>504.73599999999988</v>
      </c>
      <c r="K53" s="103">
        <f>+Industrial!H52</f>
        <v>0</v>
      </c>
      <c r="L53" s="103">
        <f>+Industrial!I52</f>
        <v>504.73599999999988</v>
      </c>
      <c r="M53" s="27">
        <f>+Industrial!J52</f>
        <v>0</v>
      </c>
      <c r="N53" s="142" t="s">
        <v>76</v>
      </c>
      <c r="O53" s="94">
        <f>+Resumen!C$4</f>
        <v>44214</v>
      </c>
      <c r="P53" s="103">
        <v>2020</v>
      </c>
    </row>
    <row r="54" spans="1:16">
      <c r="A54" s="97" t="s">
        <v>103</v>
      </c>
      <c r="B54" s="97" t="s">
        <v>103</v>
      </c>
      <c r="C54" s="97" t="s">
        <v>94</v>
      </c>
      <c r="D54" s="97" t="s">
        <v>95</v>
      </c>
      <c r="E54" t="str">
        <f>+Industrial!C51</f>
        <v xml:space="preserve">CORPESCA S.A.                             </v>
      </c>
      <c r="F54" s="97" t="s">
        <v>96</v>
      </c>
      <c r="G54" s="97" t="s">
        <v>99</v>
      </c>
      <c r="H54">
        <f>+Industrial!K51</f>
        <v>1167.0309999999999</v>
      </c>
      <c r="I54" s="103">
        <f>+Industrial!L51</f>
        <v>-400</v>
      </c>
      <c r="J54" s="103">
        <f>+Industrial!M51</f>
        <v>767.03099999999995</v>
      </c>
      <c r="K54" s="103">
        <f>+Industrial!N51</f>
        <v>262.29500000000002</v>
      </c>
      <c r="L54" s="103">
        <f>+Industrial!O51</f>
        <v>504.73599999999993</v>
      </c>
      <c r="M54" s="27">
        <f>+Industrial!P51</f>
        <v>0.34196140703570005</v>
      </c>
      <c r="N54" s="142" t="s">
        <v>76</v>
      </c>
      <c r="O54" s="94">
        <f>+Resumen!C$4</f>
        <v>44214</v>
      </c>
      <c r="P54" s="103">
        <v>2020</v>
      </c>
    </row>
    <row r="55" spans="1:16">
      <c r="A55" s="97" t="s">
        <v>103</v>
      </c>
      <c r="B55" s="97" t="s">
        <v>103</v>
      </c>
      <c r="C55" s="97" t="s">
        <v>94</v>
      </c>
      <c r="D55" s="97" t="s">
        <v>95</v>
      </c>
      <c r="E55" s="97" t="s">
        <v>102</v>
      </c>
      <c r="F55" s="97" t="s">
        <v>96</v>
      </c>
      <c r="G55" s="97" t="s">
        <v>99</v>
      </c>
      <c r="H55">
        <f>+Industrial!K53</f>
        <v>1484.9989999999998</v>
      </c>
      <c r="I55" s="103">
        <f>+Industrial!L53</f>
        <v>-400</v>
      </c>
      <c r="J55" s="103">
        <f>+Industrial!M53</f>
        <v>1084.9989999999998</v>
      </c>
      <c r="K55" s="103">
        <f>+Industrial!N53</f>
        <v>263.15800000000002</v>
      </c>
      <c r="L55" s="103">
        <f>+Industrial!O53</f>
        <v>821.84099999999989</v>
      </c>
      <c r="M55" s="27">
        <f>+Industrial!P53</f>
        <v>0.24254215902503143</v>
      </c>
      <c r="N55" s="142" t="s">
        <v>76</v>
      </c>
      <c r="O55" s="94">
        <f>+Resumen!C$4</f>
        <v>44214</v>
      </c>
      <c r="P55" s="103">
        <v>2020</v>
      </c>
    </row>
    <row r="56" spans="1:16">
      <c r="A56" s="97" t="s">
        <v>103</v>
      </c>
      <c r="B56" s="97" t="s">
        <v>103</v>
      </c>
      <c r="C56" s="97" t="s">
        <v>101</v>
      </c>
      <c r="D56" s="97" t="s">
        <v>95</v>
      </c>
      <c r="E56" t="str">
        <f>+Industrial!C54</f>
        <v xml:space="preserve">ALIMENTOS MARINOS S.A.          </v>
      </c>
      <c r="F56" s="97" t="s">
        <v>96</v>
      </c>
      <c r="G56" s="97" t="s">
        <v>99</v>
      </c>
      <c r="H56">
        <f>+Industrial!E54</f>
        <v>119.553</v>
      </c>
      <c r="I56" s="103">
        <f>+Industrial!F54</f>
        <v>0</v>
      </c>
      <c r="J56" s="103">
        <f>+Industrial!G54</f>
        <v>119.553</v>
      </c>
      <c r="K56" s="103">
        <f>+Industrial!H54</f>
        <v>0</v>
      </c>
      <c r="L56" s="103">
        <f>+Industrial!I54</f>
        <v>119.553</v>
      </c>
      <c r="M56" s="27">
        <f>+Industrial!J54</f>
        <v>0</v>
      </c>
      <c r="N56" s="142" t="s">
        <v>76</v>
      </c>
      <c r="O56" s="94">
        <f>+Resumen!C$4</f>
        <v>44214</v>
      </c>
      <c r="P56" s="103">
        <v>2020</v>
      </c>
    </row>
    <row r="57" spans="1:16">
      <c r="A57" s="97" t="s">
        <v>103</v>
      </c>
      <c r="B57" s="97" t="s">
        <v>103</v>
      </c>
      <c r="C57" s="97" t="s">
        <v>101</v>
      </c>
      <c r="D57" s="97" t="s">
        <v>95</v>
      </c>
      <c r="E57" s="97" t="str">
        <f>+Industrial!C55</f>
        <v xml:space="preserve">BAHIA CALDERA S.A. PESQ.          </v>
      </c>
      <c r="F57" s="97" t="s">
        <v>96</v>
      </c>
      <c r="G57" s="97" t="s">
        <v>99</v>
      </c>
      <c r="H57" s="103">
        <f>+Industrial!E55</f>
        <v>520.51199999999994</v>
      </c>
      <c r="I57" s="103">
        <f>+Industrial!F55</f>
        <v>-400</v>
      </c>
      <c r="J57" s="103">
        <f>+Industrial!G55</f>
        <v>120.51199999999994</v>
      </c>
      <c r="K57" s="103">
        <f>+Industrial!H55</f>
        <v>0</v>
      </c>
      <c r="L57" s="103">
        <f>+Industrial!I55</f>
        <v>120.51199999999994</v>
      </c>
      <c r="M57" s="27">
        <f>+Industrial!J55</f>
        <v>0</v>
      </c>
      <c r="N57" s="142" t="s">
        <v>76</v>
      </c>
      <c r="O57" s="94">
        <f>+Resumen!C$4</f>
        <v>44214</v>
      </c>
      <c r="P57" s="103">
        <v>2020</v>
      </c>
    </row>
    <row r="58" spans="1:16">
      <c r="A58" s="97" t="s">
        <v>103</v>
      </c>
      <c r="B58" s="97" t="s">
        <v>103</v>
      </c>
      <c r="C58" s="97" t="s">
        <v>101</v>
      </c>
      <c r="D58" s="97" t="s">
        <v>95</v>
      </c>
      <c r="E58" s="97" t="str">
        <f>+Industrial!C56</f>
        <v>FOODCORP CHILE S.A.</v>
      </c>
      <c r="F58" s="97" t="s">
        <v>96</v>
      </c>
      <c r="G58" s="97" t="s">
        <v>99</v>
      </c>
      <c r="H58" s="103">
        <f>+Industrial!E56</f>
        <v>8.7999999999999995E-2</v>
      </c>
      <c r="I58" s="103">
        <f>+Industrial!F56</f>
        <v>0</v>
      </c>
      <c r="J58" s="103">
        <f>+Industrial!G56</f>
        <v>8.7999999999999995E-2</v>
      </c>
      <c r="K58" s="103">
        <f>+Industrial!H56</f>
        <v>0</v>
      </c>
      <c r="L58" s="103">
        <f>+Industrial!I56</f>
        <v>8.7999999999999995E-2</v>
      </c>
      <c r="M58" s="27">
        <f>+Industrial!J56</f>
        <v>0</v>
      </c>
      <c r="N58" s="142" t="s">
        <v>76</v>
      </c>
      <c r="O58" s="94">
        <f>+Resumen!C$4</f>
        <v>44214</v>
      </c>
      <c r="P58" s="103">
        <v>2020</v>
      </c>
    </row>
    <row r="59" spans="1:16">
      <c r="A59" s="97" t="s">
        <v>103</v>
      </c>
      <c r="B59" s="97" t="s">
        <v>103</v>
      </c>
      <c r="C59" s="97" t="s">
        <v>101</v>
      </c>
      <c r="D59" s="97" t="s">
        <v>95</v>
      </c>
      <c r="E59" s="97" t="str">
        <f>+Industrial!C57</f>
        <v>BLUMAR S.A.</v>
      </c>
      <c r="F59" s="97" t="s">
        <v>96</v>
      </c>
      <c r="G59" s="97" t="s">
        <v>99</v>
      </c>
      <c r="H59" s="103">
        <f>+Industrial!E57</f>
        <v>3.3519999999999999</v>
      </c>
      <c r="I59" s="103">
        <f>+Industrial!F57</f>
        <v>0</v>
      </c>
      <c r="J59" s="103">
        <f>+Industrial!G57</f>
        <v>3.3519999999999999</v>
      </c>
      <c r="K59" s="103">
        <f>+Industrial!H57</f>
        <v>0</v>
      </c>
      <c r="L59" s="103">
        <f>+Industrial!I57</f>
        <v>3.3519999999999999</v>
      </c>
      <c r="M59" s="27">
        <f>+Industrial!J57</f>
        <v>0</v>
      </c>
      <c r="N59" s="142" t="s">
        <v>76</v>
      </c>
      <c r="O59" s="94">
        <f>+Resumen!C$4</f>
        <v>44214</v>
      </c>
      <c r="P59" s="103">
        <v>2020</v>
      </c>
    </row>
    <row r="60" spans="1:16">
      <c r="A60" s="97" t="s">
        <v>103</v>
      </c>
      <c r="B60" s="97" t="s">
        <v>103</v>
      </c>
      <c r="C60" s="97" t="s">
        <v>101</v>
      </c>
      <c r="D60" s="97" t="s">
        <v>95</v>
      </c>
      <c r="E60" s="97" t="str">
        <f>+Industrial!C58</f>
        <v>CAMANCHACA S.A. CIA. PESQ.</v>
      </c>
      <c r="F60" s="97" t="s">
        <v>96</v>
      </c>
      <c r="G60" s="97" t="s">
        <v>99</v>
      </c>
      <c r="H60" s="103">
        <f>+Industrial!E58</f>
        <v>3.7890000000000001</v>
      </c>
      <c r="I60" s="103">
        <f>+Industrial!F58</f>
        <v>0</v>
      </c>
      <c r="J60" s="103">
        <f>+Industrial!G58</f>
        <v>3.7890000000000001</v>
      </c>
      <c r="K60" s="103">
        <f>+Industrial!H58</f>
        <v>0</v>
      </c>
      <c r="L60" s="103">
        <f>+Industrial!I58</f>
        <v>3.7890000000000001</v>
      </c>
      <c r="M60" s="27">
        <f>+Industrial!J58</f>
        <v>0</v>
      </c>
      <c r="N60" s="142" t="s">
        <v>76</v>
      </c>
      <c r="O60" s="94">
        <f>+Resumen!C$4</f>
        <v>44214</v>
      </c>
      <c r="P60" s="103">
        <v>2020</v>
      </c>
    </row>
    <row r="61" spans="1:16">
      <c r="A61" s="97" t="s">
        <v>103</v>
      </c>
      <c r="B61" s="97" t="s">
        <v>103</v>
      </c>
      <c r="C61" s="97" t="s">
        <v>101</v>
      </c>
      <c r="D61" s="97" t="s">
        <v>95</v>
      </c>
      <c r="E61" s="97" t="str">
        <f>+Industrial!C59</f>
        <v>PESQUERA LITORAL SpA</v>
      </c>
      <c r="F61" s="97" t="s">
        <v>96</v>
      </c>
      <c r="G61" s="97" t="s">
        <v>99</v>
      </c>
      <c r="H61" s="103">
        <f>+Industrial!E59</f>
        <v>1.736</v>
      </c>
      <c r="I61" s="103">
        <f>+Industrial!F59</f>
        <v>0</v>
      </c>
      <c r="J61" s="103">
        <f>+Industrial!G59</f>
        <v>1.736</v>
      </c>
      <c r="K61" s="103">
        <f>+Industrial!H59</f>
        <v>0</v>
      </c>
      <c r="L61" s="103">
        <f>+Industrial!I59</f>
        <v>1.736</v>
      </c>
      <c r="M61" s="27">
        <f>+Industrial!J59</f>
        <v>0</v>
      </c>
      <c r="N61" s="142" t="s">
        <v>76</v>
      </c>
      <c r="O61" s="94">
        <f>+Resumen!C$4</f>
        <v>44214</v>
      </c>
      <c r="P61" s="103">
        <v>2020</v>
      </c>
    </row>
    <row r="62" spans="1:16">
      <c r="A62" s="97" t="s">
        <v>103</v>
      </c>
      <c r="B62" s="97" t="s">
        <v>103</v>
      </c>
      <c r="C62" s="97" t="s">
        <v>101</v>
      </c>
      <c r="D62" s="97" t="s">
        <v>95</v>
      </c>
      <c r="E62" s="97" t="str">
        <f>+Industrial!C60</f>
        <v>ORIZON S.A.</v>
      </c>
      <c r="F62" s="97" t="s">
        <v>96</v>
      </c>
      <c r="G62" s="97" t="s">
        <v>99</v>
      </c>
      <c r="H62" s="103">
        <f>+Industrial!E60</f>
        <v>223.434</v>
      </c>
      <c r="I62" s="103">
        <f>+Industrial!F60</f>
        <v>-180</v>
      </c>
      <c r="J62" s="103">
        <f>+Industrial!G60</f>
        <v>43.433999999999997</v>
      </c>
      <c r="K62" s="103">
        <f>+Industrial!H60</f>
        <v>0</v>
      </c>
      <c r="L62" s="103">
        <f>+Industrial!I60</f>
        <v>43.433999999999997</v>
      </c>
      <c r="M62" s="27">
        <f>+Industrial!J60</f>
        <v>0</v>
      </c>
      <c r="N62" s="142" t="s">
        <v>76</v>
      </c>
      <c r="O62" s="94">
        <f>+Resumen!C$4</f>
        <v>44214</v>
      </c>
      <c r="P62" s="103">
        <v>2020</v>
      </c>
    </row>
    <row r="63" spans="1:16">
      <c r="A63" s="97" t="s">
        <v>103</v>
      </c>
      <c r="B63" s="97" t="s">
        <v>103</v>
      </c>
      <c r="C63" s="97" t="s">
        <v>101</v>
      </c>
      <c r="D63" s="97" t="s">
        <v>95</v>
      </c>
      <c r="E63" s="97" t="str">
        <f>+Industrial!C61</f>
        <v>CAMANCHACA PESCA SUR S.A.</v>
      </c>
      <c r="F63" s="97" t="s">
        <v>96</v>
      </c>
      <c r="G63" s="97" t="s">
        <v>99</v>
      </c>
      <c r="H63" s="103">
        <f>+Industrial!E61</f>
        <v>1.5129999999999999</v>
      </c>
      <c r="I63" s="103">
        <f>+Industrial!F61</f>
        <v>0</v>
      </c>
      <c r="J63" s="103">
        <f>+Industrial!G61</f>
        <v>1.5129999999999999</v>
      </c>
      <c r="K63" s="103">
        <f>+Industrial!H61</f>
        <v>0</v>
      </c>
      <c r="L63" s="103">
        <f>+Industrial!I61</f>
        <v>1.5129999999999999</v>
      </c>
      <c r="M63" s="27">
        <f>+Industrial!J61</f>
        <v>0</v>
      </c>
      <c r="N63" s="142" t="s">
        <v>76</v>
      </c>
      <c r="O63" s="94">
        <f>+Resumen!C$4</f>
        <v>44214</v>
      </c>
      <c r="P63" s="103">
        <v>2020</v>
      </c>
    </row>
    <row r="64" spans="1:16">
      <c r="A64" s="97" t="s">
        <v>103</v>
      </c>
      <c r="B64" s="97" t="s">
        <v>103</v>
      </c>
      <c r="C64" s="97" t="s">
        <v>101</v>
      </c>
      <c r="D64" s="97" t="s">
        <v>95</v>
      </c>
      <c r="E64" s="97" t="str">
        <f>+Industrial!C62</f>
        <v>LANDES S.A. SOC.PESQ.</v>
      </c>
      <c r="F64" s="97" t="s">
        <v>96</v>
      </c>
      <c r="G64" s="97" t="s">
        <v>99</v>
      </c>
      <c r="H64" s="103">
        <f>+Industrial!E62</f>
        <v>1.024</v>
      </c>
      <c r="I64" s="103">
        <f>+Industrial!F62</f>
        <v>0</v>
      </c>
      <c r="J64" s="103">
        <f>+Industrial!G62</f>
        <v>1.024</v>
      </c>
      <c r="K64" s="103">
        <f>+Industrial!H62</f>
        <v>0</v>
      </c>
      <c r="L64" s="103">
        <f>+Industrial!I62</f>
        <v>1.024</v>
      </c>
      <c r="M64" s="27">
        <f>+Industrial!J62</f>
        <v>0</v>
      </c>
      <c r="N64" s="142" t="s">
        <v>76</v>
      </c>
      <c r="O64" s="94">
        <f>+Resumen!C$4</f>
        <v>44214</v>
      </c>
      <c r="P64" s="103">
        <v>2020</v>
      </c>
    </row>
    <row r="65" spans="1:16">
      <c r="A65" s="97" t="s">
        <v>103</v>
      </c>
      <c r="B65" s="97" t="s">
        <v>103</v>
      </c>
      <c r="C65" s="97" t="s">
        <v>101</v>
      </c>
      <c r="D65" s="97" t="s">
        <v>95</v>
      </c>
      <c r="E65" s="97" t="s">
        <v>102</v>
      </c>
      <c r="F65" s="97" t="s">
        <v>96</v>
      </c>
      <c r="G65" s="97" t="s">
        <v>99</v>
      </c>
      <c r="H65">
        <f>+Industrial!K63</f>
        <v>875.00099999999986</v>
      </c>
      <c r="I65" s="103">
        <f>+Industrial!L63</f>
        <v>-580</v>
      </c>
      <c r="J65" s="103">
        <f>+Industrial!M63</f>
        <v>295.00099999999992</v>
      </c>
      <c r="K65" s="103">
        <f>+Industrial!N63</f>
        <v>0</v>
      </c>
      <c r="L65" s="103">
        <f>+Industrial!O63</f>
        <v>295.00099999999992</v>
      </c>
      <c r="M65" s="27">
        <f>+Industrial!P63</f>
        <v>0</v>
      </c>
      <c r="N65" s="142" t="s">
        <v>76</v>
      </c>
      <c r="O65" s="94">
        <f>+Resumen!C$4</f>
        <v>44214</v>
      </c>
      <c r="P65" s="103">
        <v>2020</v>
      </c>
    </row>
    <row r="66" spans="1:16">
      <c r="A66" s="97" t="s">
        <v>93</v>
      </c>
      <c r="B66" s="97" t="s">
        <v>93</v>
      </c>
      <c r="C66" s="97" t="s">
        <v>137</v>
      </c>
      <c r="D66" s="103" t="s">
        <v>111</v>
      </c>
      <c r="E66" t="str">
        <f>+'Artesanal Anchoveta XV-IV'!D7</f>
        <v>Arica y Parinacota</v>
      </c>
      <c r="F66" s="103" t="s">
        <v>96</v>
      </c>
      <c r="G66" s="97" t="s">
        <v>97</v>
      </c>
      <c r="H66">
        <f>+'Artesanal Anchoveta XV-IV'!F7</f>
        <v>50713</v>
      </c>
      <c r="I66" s="103">
        <f>+'Artesanal Anchoveta XV-IV'!G7</f>
        <v>0</v>
      </c>
      <c r="J66" s="103">
        <f>+'Artesanal Anchoveta XV-IV'!H7</f>
        <v>50713</v>
      </c>
      <c r="K66" s="103">
        <f>+'Artesanal Anchoveta XV-IV'!I7</f>
        <v>49285.283000000003</v>
      </c>
      <c r="L66" s="103">
        <f>+'Artesanal Anchoveta XV-IV'!J7</f>
        <v>1427.7169999999969</v>
      </c>
      <c r="M66" s="27">
        <f>+'Artesanal Anchoveta XV-IV'!K7</f>
        <v>0.9718471200678328</v>
      </c>
      <c r="N66" s="142" t="s">
        <v>76</v>
      </c>
      <c r="O66" s="94">
        <f>+Resumen!C$4</f>
        <v>44214</v>
      </c>
      <c r="P66" s="103">
        <v>2020</v>
      </c>
    </row>
    <row r="67" spans="1:16">
      <c r="A67" s="97" t="s">
        <v>93</v>
      </c>
      <c r="B67" s="97" t="s">
        <v>93</v>
      </c>
      <c r="C67" s="97" t="s">
        <v>137</v>
      </c>
      <c r="D67" s="103" t="s">
        <v>111</v>
      </c>
      <c r="E67" t="str">
        <f>+'Artesanal Anchoveta XV-IV'!D7</f>
        <v>Arica y Parinacota</v>
      </c>
      <c r="F67" s="97" t="s">
        <v>98</v>
      </c>
      <c r="G67" s="97" t="s">
        <v>99</v>
      </c>
      <c r="H67">
        <f>+'Artesanal Anchoveta XV-IV'!F8</f>
        <v>16904</v>
      </c>
      <c r="I67" s="103">
        <f>+'Artesanal Anchoveta XV-IV'!G8</f>
        <v>7843</v>
      </c>
      <c r="J67" s="103">
        <f>+'Artesanal Anchoveta XV-IV'!H8</f>
        <v>26174.716999999997</v>
      </c>
      <c r="K67" s="103">
        <f>+'Artesanal Anchoveta XV-IV'!I8</f>
        <v>26155.314999999999</v>
      </c>
      <c r="L67" s="103">
        <f>+'Artesanal Anchoveta XV-IV'!J8</f>
        <v>19.401999999998225</v>
      </c>
      <c r="M67" s="27">
        <f>+'Artesanal Anchoveta XV-IV'!K8</f>
        <v>0.99925875034293599</v>
      </c>
      <c r="N67" s="142">
        <f>'Artesanal Anchoveta XV-IV'!L8</f>
        <v>44075</v>
      </c>
      <c r="O67" s="94">
        <f>+Resumen!C$4</f>
        <v>44214</v>
      </c>
      <c r="P67" s="103">
        <v>2020</v>
      </c>
    </row>
    <row r="68" spans="1:16">
      <c r="A68" s="97" t="s">
        <v>93</v>
      </c>
      <c r="B68" s="97" t="s">
        <v>93</v>
      </c>
      <c r="C68" s="97" t="s">
        <v>137</v>
      </c>
      <c r="D68" s="97" t="s">
        <v>111</v>
      </c>
      <c r="E68" s="97" t="s">
        <v>114</v>
      </c>
      <c r="F68" s="97" t="s">
        <v>96</v>
      </c>
      <c r="G68" s="97" t="s">
        <v>99</v>
      </c>
      <c r="H68">
        <f>Resumen!E9</f>
        <v>67617</v>
      </c>
      <c r="I68" s="103">
        <f>Resumen!F9</f>
        <v>7843</v>
      </c>
      <c r="J68" s="103">
        <f>Resumen!G9</f>
        <v>75460</v>
      </c>
      <c r="K68" s="103">
        <f>Resumen!H9</f>
        <v>75440.597999999998</v>
      </c>
      <c r="L68" s="103">
        <f>Resumen!I9</f>
        <v>19.402000000001863</v>
      </c>
      <c r="M68" s="27">
        <f>Resumen!J9</f>
        <v>0.99974288364696529</v>
      </c>
      <c r="N68" s="142" t="s">
        <v>76</v>
      </c>
      <c r="O68" s="94">
        <f>+Resumen!C$4</f>
        <v>44214</v>
      </c>
      <c r="P68" s="103">
        <v>2020</v>
      </c>
    </row>
    <row r="69" spans="1:16" s="103" customFormat="1">
      <c r="A69" s="103" t="s">
        <v>93</v>
      </c>
      <c r="B69" s="103" t="s">
        <v>93</v>
      </c>
      <c r="C69" s="103" t="s">
        <v>146</v>
      </c>
      <c r="D69" s="103" t="s">
        <v>111</v>
      </c>
      <c r="E69" s="103" t="str">
        <f>'Artesanal Anchoveta XV-IV'!D9</f>
        <v>Tarapacá</v>
      </c>
      <c r="F69" s="103" t="s">
        <v>96</v>
      </c>
      <c r="G69" s="103" t="s">
        <v>97</v>
      </c>
      <c r="H69" s="103">
        <f>+'Artesanal Anchoveta XV-IV'!F9</f>
        <v>11836</v>
      </c>
      <c r="I69" s="103">
        <f>+'Artesanal Anchoveta XV-IV'!G9</f>
        <v>0</v>
      </c>
      <c r="J69" s="103">
        <f>+'Artesanal Anchoveta XV-IV'!H9</f>
        <v>11836</v>
      </c>
      <c r="K69" s="103">
        <f>+'Artesanal Anchoveta XV-IV'!I9</f>
        <v>11213.155000000001</v>
      </c>
      <c r="L69" s="103">
        <f>+'Artesanal Anchoveta XV-IV'!J9</f>
        <v>622.84499999999935</v>
      </c>
      <c r="M69" s="27">
        <f>+'Artesanal Anchoveta XV-IV'!K9</f>
        <v>0.9473770699560663</v>
      </c>
      <c r="N69" s="142" t="s">
        <v>76</v>
      </c>
      <c r="O69" s="94">
        <f>+Resumen!C$4</f>
        <v>44214</v>
      </c>
      <c r="P69" s="103">
        <v>2020</v>
      </c>
    </row>
    <row r="70" spans="1:16" s="103" customFormat="1">
      <c r="A70" s="103" t="s">
        <v>93</v>
      </c>
      <c r="B70" s="103" t="s">
        <v>93</v>
      </c>
      <c r="C70" s="103" t="s">
        <v>146</v>
      </c>
      <c r="D70" s="103" t="s">
        <v>111</v>
      </c>
      <c r="E70" s="103" t="str">
        <f>'Artesanal Anchoveta XV-IV'!D9</f>
        <v>Tarapacá</v>
      </c>
      <c r="F70" s="103" t="s">
        <v>98</v>
      </c>
      <c r="G70" s="103" t="s">
        <v>99</v>
      </c>
      <c r="H70" s="103">
        <f>+'Artesanal Anchoveta XV-IV'!F10</f>
        <v>3946</v>
      </c>
      <c r="I70" s="103">
        <f>+'Artesanal Anchoveta XV-IV'!G10</f>
        <v>0</v>
      </c>
      <c r="J70" s="103">
        <f>+'Artesanal Anchoveta XV-IV'!H10</f>
        <v>4568.8449999999993</v>
      </c>
      <c r="K70" s="103">
        <f>+'Artesanal Anchoveta XV-IV'!I10</f>
        <v>4579.0010000000002</v>
      </c>
      <c r="L70" s="103">
        <f>+'Artesanal Anchoveta XV-IV'!J10</f>
        <v>-10.156000000000859</v>
      </c>
      <c r="M70" s="27">
        <f>+'Artesanal Anchoveta XV-IV'!K10</f>
        <v>1.0022228812752458</v>
      </c>
      <c r="N70" s="142">
        <f>'Artesanal Anchoveta XV-IV'!L10</f>
        <v>44121</v>
      </c>
      <c r="O70" s="94">
        <f>+Resumen!C$4</f>
        <v>44214</v>
      </c>
      <c r="P70" s="103">
        <v>2020</v>
      </c>
    </row>
    <row r="71" spans="1:16" s="103" customFormat="1">
      <c r="A71" s="103" t="s">
        <v>93</v>
      </c>
      <c r="B71" s="103" t="s">
        <v>93</v>
      </c>
      <c r="C71" s="103" t="s">
        <v>146</v>
      </c>
      <c r="D71" s="103" t="s">
        <v>111</v>
      </c>
      <c r="E71" s="103" t="s">
        <v>114</v>
      </c>
      <c r="F71" s="103" t="s">
        <v>96</v>
      </c>
      <c r="G71" s="103" t="s">
        <v>99</v>
      </c>
      <c r="H71" s="103">
        <f>Resumen!E10</f>
        <v>15782</v>
      </c>
      <c r="I71" s="103">
        <f>Resumen!F10</f>
        <v>0</v>
      </c>
      <c r="J71" s="103">
        <f>Resumen!G10</f>
        <v>15782</v>
      </c>
      <c r="K71" s="103">
        <f>Resumen!H10</f>
        <v>15792.156000000001</v>
      </c>
      <c r="L71" s="103">
        <f>Resumen!I10</f>
        <v>-10.156000000000859</v>
      </c>
      <c r="M71" s="27">
        <f>Resumen!J10</f>
        <v>1.0006435179318212</v>
      </c>
      <c r="N71" s="142" t="s">
        <v>76</v>
      </c>
      <c r="O71" s="94">
        <f>+Resumen!C$4</f>
        <v>44214</v>
      </c>
      <c r="P71" s="103">
        <v>2020</v>
      </c>
    </row>
    <row r="72" spans="1:16">
      <c r="A72" s="97" t="s">
        <v>93</v>
      </c>
      <c r="B72" s="97" t="s">
        <v>93</v>
      </c>
      <c r="C72" s="97" t="s">
        <v>10</v>
      </c>
      <c r="D72" s="97" t="s">
        <v>111</v>
      </c>
      <c r="E72" t="str">
        <f>+'Artesanal Anchoveta XV-IV'!D11</f>
        <v>REGIÓN II</v>
      </c>
      <c r="F72" s="97" t="s">
        <v>96</v>
      </c>
      <c r="G72" s="97" t="s">
        <v>97</v>
      </c>
      <c r="H72">
        <f>+'Artesanal Anchoveta XV-IV'!F11</f>
        <v>31502</v>
      </c>
      <c r="I72" s="103">
        <f>+'Artesanal Anchoveta XV-IV'!G11</f>
        <v>0</v>
      </c>
      <c r="J72" s="103">
        <f>+'Artesanal Anchoveta XV-IV'!H11</f>
        <v>31502</v>
      </c>
      <c r="K72" s="103">
        <f>+'Artesanal Anchoveta XV-IV'!I11</f>
        <v>31494.985000000001</v>
      </c>
      <c r="L72" s="103">
        <f>+'Artesanal Anchoveta XV-IV'!J11</f>
        <v>7.0149999999994179</v>
      </c>
      <c r="M72" s="27">
        <f>+'Artesanal Anchoveta XV-IV'!K11</f>
        <v>0.99977731572598572</v>
      </c>
      <c r="N72" s="142">
        <f>'Artesanal Anchoveta XV-IV'!L11</f>
        <v>43965</v>
      </c>
      <c r="O72" s="94">
        <f>+Resumen!C$4</f>
        <v>44214</v>
      </c>
      <c r="P72" s="103">
        <v>2020</v>
      </c>
    </row>
    <row r="73" spans="1:16">
      <c r="A73" s="97" t="s">
        <v>93</v>
      </c>
      <c r="B73" s="97" t="s">
        <v>93</v>
      </c>
      <c r="C73" s="97" t="s">
        <v>10</v>
      </c>
      <c r="D73" s="97" t="s">
        <v>111</v>
      </c>
      <c r="E73" t="str">
        <f>+'Artesanal Anchoveta XV-IV'!D11</f>
        <v>REGIÓN II</v>
      </c>
      <c r="F73" s="97" t="s">
        <v>98</v>
      </c>
      <c r="G73" s="97" t="s">
        <v>99</v>
      </c>
      <c r="H73" s="103">
        <f>+'Artesanal Anchoveta XV-IV'!F12</f>
        <v>1</v>
      </c>
      <c r="I73" s="103">
        <f>+'Artesanal Anchoveta XV-IV'!G12</f>
        <v>0</v>
      </c>
      <c r="J73" s="103">
        <f>+'Artesanal Anchoveta XV-IV'!H12</f>
        <v>8.0149999999994179</v>
      </c>
      <c r="K73" s="103">
        <f>+'Artesanal Anchoveta XV-IV'!I12</f>
        <v>0</v>
      </c>
      <c r="L73" s="103">
        <f>+'Artesanal Anchoveta XV-IV'!J12</f>
        <v>8.0149999999994179</v>
      </c>
      <c r="M73" s="27">
        <f>+'Artesanal Anchoveta XV-IV'!K12</f>
        <v>0</v>
      </c>
      <c r="N73" s="142" t="s">
        <v>76</v>
      </c>
      <c r="O73" s="94">
        <f>+Resumen!C$4</f>
        <v>44214</v>
      </c>
      <c r="P73" s="103">
        <v>2020</v>
      </c>
    </row>
    <row r="74" spans="1:16">
      <c r="A74" s="97" t="s">
        <v>93</v>
      </c>
      <c r="B74" s="97" t="s">
        <v>93</v>
      </c>
      <c r="C74" s="97" t="s">
        <v>10</v>
      </c>
      <c r="D74" s="97" t="s">
        <v>111</v>
      </c>
      <c r="E74" s="97" t="s">
        <v>114</v>
      </c>
      <c r="F74" s="97" t="s">
        <v>96</v>
      </c>
      <c r="G74" s="97" t="s">
        <v>99</v>
      </c>
      <c r="H74">
        <f>+'Artesanal Anchoveta XV-IV'!M11</f>
        <v>31503</v>
      </c>
      <c r="I74" s="103">
        <f>+'Artesanal Anchoveta XV-IV'!N11</f>
        <v>0</v>
      </c>
      <c r="J74" s="103">
        <f>+'Artesanal Anchoveta XV-IV'!O11</f>
        <v>31503</v>
      </c>
      <c r="K74" s="103">
        <f>+'Artesanal Anchoveta XV-IV'!P11</f>
        <v>31494.985000000001</v>
      </c>
      <c r="L74" s="103">
        <f>+'Artesanal Anchoveta XV-IV'!Q11</f>
        <v>8.0149999999994179</v>
      </c>
      <c r="M74" s="27">
        <f>+'Artesanal Anchoveta XV-IV'!R11</f>
        <v>0.99974557978605216</v>
      </c>
      <c r="N74" s="142" t="s">
        <v>76</v>
      </c>
      <c r="O74" s="94">
        <f>+Resumen!C$4</f>
        <v>44214</v>
      </c>
      <c r="P74" s="103">
        <v>2020</v>
      </c>
    </row>
    <row r="75" spans="1:16">
      <c r="A75" s="97" t="s">
        <v>93</v>
      </c>
      <c r="B75" s="97" t="s">
        <v>93</v>
      </c>
      <c r="C75" s="97" t="s">
        <v>11</v>
      </c>
      <c r="D75" s="97" t="s">
        <v>111</v>
      </c>
      <c r="E75" t="str">
        <f>+'Artesanal Anchoveta XV-IV'!D14</f>
        <v>REGIÓN III</v>
      </c>
      <c r="F75" s="97" t="s">
        <v>96</v>
      </c>
      <c r="G75" s="97" t="s">
        <v>99</v>
      </c>
      <c r="H75">
        <f>+'Artesanal Anchoveta XV-IV'!F14</f>
        <v>31478</v>
      </c>
      <c r="I75" s="103">
        <f>+'Artesanal Anchoveta XV-IV'!G14</f>
        <v>0</v>
      </c>
      <c r="J75" s="103">
        <f>+'Artesanal Anchoveta XV-IV'!H14</f>
        <v>31478</v>
      </c>
      <c r="K75" s="103">
        <f>+'Artesanal Anchoveta XV-IV'!I14</f>
        <v>21624.519</v>
      </c>
      <c r="L75" s="103">
        <f>+'Artesanal Anchoveta XV-IV'!J14</f>
        <v>9853.4809999999998</v>
      </c>
      <c r="M75" s="27">
        <f>+'Artesanal Anchoveta XV-IV'!K14</f>
        <v>0.68697245695406317</v>
      </c>
      <c r="N75" s="142" t="s">
        <v>76</v>
      </c>
      <c r="O75" s="94">
        <f>+Resumen!C$4</f>
        <v>44214</v>
      </c>
      <c r="P75" s="103">
        <v>2020</v>
      </c>
    </row>
    <row r="76" spans="1:16" s="97" customFormat="1">
      <c r="A76" s="97" t="s">
        <v>93</v>
      </c>
      <c r="B76" s="97" t="s">
        <v>93</v>
      </c>
      <c r="C76" s="97" t="s">
        <v>11</v>
      </c>
      <c r="D76" s="97" t="s">
        <v>111</v>
      </c>
      <c r="E76" s="97" t="s">
        <v>114</v>
      </c>
      <c r="F76" s="97" t="s">
        <v>96</v>
      </c>
      <c r="G76" s="97" t="s">
        <v>99</v>
      </c>
      <c r="H76" s="103">
        <f>+'Artesanal Anchoveta XV-IV'!M14</f>
        <v>31478</v>
      </c>
      <c r="I76" s="103">
        <f>+'Artesanal Anchoveta XV-IV'!N14</f>
        <v>0</v>
      </c>
      <c r="J76" s="103">
        <f>+'Artesanal Anchoveta XV-IV'!O14</f>
        <v>31478</v>
      </c>
      <c r="K76" s="103">
        <f>+'Artesanal Anchoveta XV-IV'!P14</f>
        <v>21624.519</v>
      </c>
      <c r="L76" s="103">
        <f>+'Artesanal Anchoveta XV-IV'!Q14</f>
        <v>9853.4809999999998</v>
      </c>
      <c r="M76" s="27">
        <f>+'Artesanal Anchoveta XV-IV'!R14</f>
        <v>0.68697245695406317</v>
      </c>
      <c r="N76" s="142" t="s">
        <v>76</v>
      </c>
      <c r="O76" s="94">
        <f>+Resumen!C$4</f>
        <v>44214</v>
      </c>
      <c r="P76" s="103">
        <v>2020</v>
      </c>
    </row>
    <row r="77" spans="1:16">
      <c r="A77" s="97" t="s">
        <v>93</v>
      </c>
      <c r="B77" s="97" t="s">
        <v>93</v>
      </c>
      <c r="C77" s="97" t="s">
        <v>12</v>
      </c>
      <c r="D77" s="97" t="s">
        <v>112</v>
      </c>
      <c r="E77" t="str">
        <f>+'Artesanal Anchoveta XV-IV'!D15</f>
        <v>CERCOPESCA</v>
      </c>
      <c r="F77" s="97" t="s">
        <v>96</v>
      </c>
      <c r="G77" s="97" t="s">
        <v>99</v>
      </c>
      <c r="H77">
        <f>+'Artesanal Anchoveta XV-IV'!F15</f>
        <v>13446.74</v>
      </c>
      <c r="I77" s="103">
        <f>+'Artesanal Anchoveta XV-IV'!G15</f>
        <v>-400</v>
      </c>
      <c r="J77" s="103">
        <f>+'Artesanal Anchoveta XV-IV'!H15</f>
        <v>13046.74</v>
      </c>
      <c r="K77" s="103">
        <f>+'Artesanal Anchoveta XV-IV'!I15</f>
        <v>12558.226000000001</v>
      </c>
      <c r="L77" s="103">
        <f>+'Artesanal Anchoveta XV-IV'!J15</f>
        <v>488.51399999999921</v>
      </c>
      <c r="M77" s="27">
        <f>+'Artesanal Anchoveta XV-IV'!K15</f>
        <v>0.96255662334039005</v>
      </c>
      <c r="N77" s="142" t="s">
        <v>76</v>
      </c>
      <c r="O77" s="94">
        <f>+Resumen!C$4</f>
        <v>44214</v>
      </c>
      <c r="P77" s="103">
        <v>2020</v>
      </c>
    </row>
    <row r="78" spans="1:16">
      <c r="A78" s="97" t="s">
        <v>93</v>
      </c>
      <c r="B78" s="97" t="s">
        <v>93</v>
      </c>
      <c r="C78" s="97" t="s">
        <v>12</v>
      </c>
      <c r="D78" s="97" t="s">
        <v>112</v>
      </c>
      <c r="E78" t="str">
        <f>+'Artesanal Anchoveta XV-IV'!D16</f>
        <v>RESIDUAL</v>
      </c>
      <c r="F78" s="97" t="s">
        <v>96</v>
      </c>
      <c r="G78" s="97" t="s">
        <v>99</v>
      </c>
      <c r="H78">
        <f>+'Artesanal Anchoveta XV-IV'!F16</f>
        <v>44.26</v>
      </c>
      <c r="I78" s="103">
        <f>+'Artesanal Anchoveta XV-IV'!G16</f>
        <v>0</v>
      </c>
      <c r="J78" s="103">
        <f>+'Artesanal Anchoveta XV-IV'!H16</f>
        <v>44.26</v>
      </c>
      <c r="K78" s="103">
        <f>+'Artesanal Anchoveta XV-IV'!I16</f>
        <v>43.67</v>
      </c>
      <c r="L78" s="103">
        <f>+'Artesanal Anchoveta XV-IV'!J16</f>
        <v>0.58999999999999631</v>
      </c>
      <c r="M78" s="27">
        <f>+'Artesanal Anchoveta XV-IV'!K16</f>
        <v>0.98666967916854953</v>
      </c>
      <c r="N78" s="142">
        <f>'Artesanal Anchoveta XV-IV'!L16</f>
        <v>44046</v>
      </c>
      <c r="O78" s="94">
        <f>+Resumen!C$4</f>
        <v>44214</v>
      </c>
      <c r="P78" s="103">
        <v>2020</v>
      </c>
    </row>
    <row r="79" spans="1:16">
      <c r="A79" s="97" t="s">
        <v>93</v>
      </c>
      <c r="B79" s="97" t="s">
        <v>93</v>
      </c>
      <c r="C79" s="97" t="s">
        <v>12</v>
      </c>
      <c r="D79" s="97" t="s">
        <v>112</v>
      </c>
      <c r="E79" s="97" t="s">
        <v>114</v>
      </c>
      <c r="F79" s="97" t="s">
        <v>96</v>
      </c>
      <c r="G79" s="97" t="s">
        <v>99</v>
      </c>
      <c r="H79">
        <f>+Resumen!E13</f>
        <v>13491</v>
      </c>
      <c r="I79" s="103">
        <f>+Resumen!F13</f>
        <v>-400</v>
      </c>
      <c r="J79" s="103">
        <f>+Resumen!G13</f>
        <v>13091</v>
      </c>
      <c r="K79" s="103">
        <f>+Resumen!H13</f>
        <v>12601.896000000001</v>
      </c>
      <c r="L79" s="103">
        <f>+Resumen!I13</f>
        <v>489.10399999999936</v>
      </c>
      <c r="M79" s="27">
        <f>+Resumen!J13</f>
        <v>0.9626381483461921</v>
      </c>
      <c r="N79" s="142" t="s">
        <v>76</v>
      </c>
      <c r="O79" s="94">
        <f>+Resumen!C$4</f>
        <v>44214</v>
      </c>
      <c r="P79" s="103">
        <v>2020</v>
      </c>
    </row>
    <row r="80" spans="1:16">
      <c r="A80" s="97" t="s">
        <v>103</v>
      </c>
      <c r="B80" s="97" t="s">
        <v>103</v>
      </c>
      <c r="C80" s="97" t="s">
        <v>104</v>
      </c>
      <c r="D80" s="97" t="s">
        <v>105</v>
      </c>
      <c r="E80" t="str">
        <f>+'Artesanal S.española XV-IV'!D7</f>
        <v>MACROZONA XV - I</v>
      </c>
      <c r="F80" s="97" t="s">
        <v>96</v>
      </c>
      <c r="G80" s="97" t="s">
        <v>97</v>
      </c>
      <c r="H80">
        <f>+'Artesanal S.española XV-IV'!F7</f>
        <v>473</v>
      </c>
      <c r="I80" s="103">
        <f>+'Artesanal S.española XV-IV'!G7</f>
        <v>0</v>
      </c>
      <c r="J80" s="103">
        <f>+'Artesanal S.española XV-IV'!H7</f>
        <v>473</v>
      </c>
      <c r="K80" s="103">
        <f>+'Artesanal S.española XV-IV'!I7</f>
        <v>0</v>
      </c>
      <c r="L80" s="103">
        <f>+'Artesanal S.española XV-IV'!J7</f>
        <v>473</v>
      </c>
      <c r="M80" s="27">
        <f>+'Artesanal S.española XV-IV'!K7</f>
        <v>0</v>
      </c>
      <c r="N80" s="142" t="s">
        <v>76</v>
      </c>
      <c r="O80" s="94">
        <f>+Resumen!C$4</f>
        <v>44214</v>
      </c>
      <c r="P80" s="103">
        <v>2020</v>
      </c>
    </row>
    <row r="81" spans="1:16">
      <c r="A81" s="97" t="s">
        <v>103</v>
      </c>
      <c r="B81" s="97" t="s">
        <v>103</v>
      </c>
      <c r="C81" s="97" t="s">
        <v>104</v>
      </c>
      <c r="D81" s="97" t="s">
        <v>105</v>
      </c>
      <c r="E81" t="str">
        <f>+'Artesanal S.española XV-IV'!D7</f>
        <v>MACROZONA XV - I</v>
      </c>
      <c r="F81" s="97" t="s">
        <v>98</v>
      </c>
      <c r="G81" s="97" t="s">
        <v>99</v>
      </c>
      <c r="H81" s="103">
        <f>+'Artesanal S.española XV-IV'!F8</f>
        <v>263</v>
      </c>
      <c r="I81" s="103">
        <f>+'Artesanal S.española XV-IV'!G8</f>
        <v>0</v>
      </c>
      <c r="J81" s="103">
        <f>+'Artesanal S.española XV-IV'!H8</f>
        <v>736</v>
      </c>
      <c r="K81" s="103">
        <f>+'Artesanal S.española XV-IV'!I8</f>
        <v>0</v>
      </c>
      <c r="L81" s="103">
        <f>+'Artesanal S.española XV-IV'!J8</f>
        <v>736</v>
      </c>
      <c r="M81" s="27">
        <f>+'Artesanal S.española XV-IV'!K8</f>
        <v>0</v>
      </c>
      <c r="N81" s="142" t="s">
        <v>76</v>
      </c>
      <c r="O81" s="94">
        <f>+Resumen!C$4</f>
        <v>44214</v>
      </c>
      <c r="P81" s="103">
        <v>2020</v>
      </c>
    </row>
    <row r="82" spans="1:16">
      <c r="A82" s="97" t="s">
        <v>103</v>
      </c>
      <c r="B82" s="97" t="s">
        <v>103</v>
      </c>
      <c r="C82" s="97" t="s">
        <v>104</v>
      </c>
      <c r="D82" s="97" t="s">
        <v>105</v>
      </c>
      <c r="E82" s="97" t="s">
        <v>113</v>
      </c>
      <c r="F82" s="97" t="s">
        <v>96</v>
      </c>
      <c r="G82" s="97" t="s">
        <v>99</v>
      </c>
      <c r="H82">
        <f>+'Artesanal S.española XV-IV'!M7</f>
        <v>736</v>
      </c>
      <c r="I82" s="103">
        <f>+'Artesanal S.española XV-IV'!N7</f>
        <v>0</v>
      </c>
      <c r="J82" s="103">
        <f>+'Artesanal S.española XV-IV'!O7</f>
        <v>736</v>
      </c>
      <c r="K82" s="103">
        <f>+'Artesanal S.española XV-IV'!P7</f>
        <v>0</v>
      </c>
      <c r="L82" s="103">
        <f>+'Artesanal S.española XV-IV'!Q7</f>
        <v>736</v>
      </c>
      <c r="M82" s="27">
        <f>+'Artesanal S.española XV-IV'!R7</f>
        <v>0</v>
      </c>
      <c r="N82" s="142" t="s">
        <v>76</v>
      </c>
      <c r="O82" s="94">
        <f>+Resumen!C$4</f>
        <v>44214</v>
      </c>
      <c r="P82" s="103">
        <v>2020</v>
      </c>
    </row>
    <row r="83" spans="1:16">
      <c r="A83" s="97" t="s">
        <v>103</v>
      </c>
      <c r="B83" s="97" t="s">
        <v>103</v>
      </c>
      <c r="C83" s="97" t="s">
        <v>10</v>
      </c>
      <c r="D83" s="97" t="s">
        <v>111</v>
      </c>
      <c r="E83" t="str">
        <f>+'Artesanal S.española XV-IV'!D9</f>
        <v>REGIÓN II</v>
      </c>
      <c r="F83" s="97" t="s">
        <v>96</v>
      </c>
      <c r="G83" s="97" t="s">
        <v>97</v>
      </c>
      <c r="H83">
        <f>+'Artesanal S.española XV-IV'!F9</f>
        <v>1789</v>
      </c>
      <c r="I83" s="103">
        <f>+'Artesanal S.española XV-IV'!G9</f>
        <v>0</v>
      </c>
      <c r="J83" s="103">
        <f>+'Artesanal S.española XV-IV'!H9</f>
        <v>1789</v>
      </c>
      <c r="K83" s="103">
        <f>+'Artesanal S.española XV-IV'!I9</f>
        <v>587.33100000000002</v>
      </c>
      <c r="L83" s="103">
        <f>+'Artesanal S.española XV-IV'!J9</f>
        <v>1201.6689999999999</v>
      </c>
      <c r="M83" s="27">
        <f>+'Artesanal S.española XV-IV'!K9</f>
        <v>0.32830128563443267</v>
      </c>
      <c r="N83" s="142" t="s">
        <v>76</v>
      </c>
      <c r="O83" s="94">
        <f>+Resumen!C$4</f>
        <v>44214</v>
      </c>
      <c r="P83" s="103">
        <v>2020</v>
      </c>
    </row>
    <row r="84" spans="1:16">
      <c r="A84" s="97" t="s">
        <v>103</v>
      </c>
      <c r="B84" s="97" t="s">
        <v>103</v>
      </c>
      <c r="C84" s="97" t="s">
        <v>10</v>
      </c>
      <c r="D84" s="97" t="s">
        <v>111</v>
      </c>
      <c r="E84" t="str">
        <f>+'Artesanal S.española XV-IV'!D9</f>
        <v>REGIÓN II</v>
      </c>
      <c r="F84" s="97" t="s">
        <v>98</v>
      </c>
      <c r="G84" s="97" t="s">
        <v>99</v>
      </c>
      <c r="H84" s="103">
        <f>+'Artesanal S.española XV-IV'!F10</f>
        <v>980</v>
      </c>
      <c r="I84" s="103">
        <f>+'Artesanal S.española XV-IV'!G10</f>
        <v>0</v>
      </c>
      <c r="J84" s="103">
        <f>+'Artesanal S.española XV-IV'!H10</f>
        <v>2181.6689999999999</v>
      </c>
      <c r="K84" s="103">
        <f>+'Artesanal S.española XV-IV'!I10</f>
        <v>2089.04</v>
      </c>
      <c r="L84" s="103">
        <f>+'Artesanal S.española XV-IV'!J10</f>
        <v>92.628999999999905</v>
      </c>
      <c r="M84" s="27">
        <f>+'Artesanal S.española XV-IV'!K10</f>
        <v>0.95754213861039417</v>
      </c>
      <c r="N84" s="142" t="s">
        <v>76</v>
      </c>
      <c r="O84" s="94">
        <f>+Resumen!C$4</f>
        <v>44214</v>
      </c>
      <c r="P84" s="103">
        <v>2020</v>
      </c>
    </row>
    <row r="85" spans="1:16">
      <c r="A85" s="97" t="s">
        <v>103</v>
      </c>
      <c r="B85" s="97" t="s">
        <v>103</v>
      </c>
      <c r="C85" s="97" t="s">
        <v>10</v>
      </c>
      <c r="D85" s="97" t="s">
        <v>111</v>
      </c>
      <c r="E85" s="97" t="s">
        <v>113</v>
      </c>
      <c r="F85" s="97" t="s">
        <v>96</v>
      </c>
      <c r="G85" s="97" t="s">
        <v>99</v>
      </c>
      <c r="H85">
        <f>+'Artesanal S.española XV-IV'!M9</f>
        <v>2769</v>
      </c>
      <c r="I85" s="103">
        <f>+'Artesanal S.española XV-IV'!N9</f>
        <v>0</v>
      </c>
      <c r="J85" s="103">
        <f>+'Artesanal S.española XV-IV'!O9</f>
        <v>2769</v>
      </c>
      <c r="K85" s="103">
        <f>+'Artesanal S.española XV-IV'!P9</f>
        <v>2676.3710000000001</v>
      </c>
      <c r="L85" s="103">
        <f>+'Artesanal S.española XV-IV'!Q9</f>
        <v>92.628999999999905</v>
      </c>
      <c r="M85" s="27">
        <f>+'Artesanal S.española XV-IV'!R9</f>
        <v>0.96654785120982312</v>
      </c>
      <c r="N85" s="142" t="s">
        <v>76</v>
      </c>
      <c r="O85" s="94">
        <f>+Resumen!C$4</f>
        <v>44214</v>
      </c>
      <c r="P85" s="103">
        <v>2020</v>
      </c>
    </row>
    <row r="86" spans="1:16">
      <c r="A86" s="97" t="s">
        <v>103</v>
      </c>
      <c r="B86" s="97" t="s">
        <v>103</v>
      </c>
      <c r="C86" s="97" t="s">
        <v>11</v>
      </c>
      <c r="D86" s="97" t="s">
        <v>111</v>
      </c>
      <c r="E86" t="str">
        <f>+'Artesanal S.española XV-IV'!D12</f>
        <v>REGIÓN III</v>
      </c>
      <c r="F86" s="97" t="s">
        <v>96</v>
      </c>
      <c r="G86" s="97" t="s">
        <v>99</v>
      </c>
      <c r="H86">
        <f>+'Artesanal S.española XV-IV'!F12</f>
        <v>387.5</v>
      </c>
      <c r="I86" s="103">
        <f>+'Artesanal S.española XV-IV'!G12</f>
        <v>0</v>
      </c>
      <c r="J86" s="103">
        <f>+'Artesanal S.española XV-IV'!H12</f>
        <v>387.5</v>
      </c>
      <c r="K86" s="103">
        <f>+'Artesanal S.española XV-IV'!I12</f>
        <v>347.99099999999999</v>
      </c>
      <c r="L86" s="103">
        <f>+'Artesanal S.española XV-IV'!J12</f>
        <v>39.509000000000015</v>
      </c>
      <c r="M86" s="27">
        <f>+'Artesanal S.española XV-IV'!K12</f>
        <v>0.89804129032258062</v>
      </c>
      <c r="N86" s="142" t="s">
        <v>76</v>
      </c>
      <c r="O86" s="94">
        <f>+Resumen!C$4</f>
        <v>44214</v>
      </c>
      <c r="P86" s="103">
        <v>2020</v>
      </c>
    </row>
    <row r="87" spans="1:16">
      <c r="A87" s="97" t="s">
        <v>103</v>
      </c>
      <c r="B87" s="97" t="s">
        <v>103</v>
      </c>
      <c r="C87" s="97" t="s">
        <v>11</v>
      </c>
      <c r="D87" s="97" t="s">
        <v>111</v>
      </c>
      <c r="E87" s="97" t="s">
        <v>113</v>
      </c>
      <c r="F87" s="97" t="s">
        <v>96</v>
      </c>
      <c r="G87" s="97" t="s">
        <v>99</v>
      </c>
      <c r="H87">
        <f>+'Artesanal S.española XV-IV'!M12</f>
        <v>387.5</v>
      </c>
      <c r="I87" s="103">
        <f>+'Artesanal S.española XV-IV'!N12</f>
        <v>0</v>
      </c>
      <c r="J87" s="103">
        <f>+'Artesanal S.española XV-IV'!O12</f>
        <v>387.5</v>
      </c>
      <c r="K87" s="103">
        <f>+'Artesanal S.española XV-IV'!P12</f>
        <v>347.99099999999999</v>
      </c>
      <c r="L87" s="103">
        <f>+'Artesanal S.española XV-IV'!Q12</f>
        <v>39.509000000000015</v>
      </c>
      <c r="M87" s="27">
        <f>+'Artesanal S.española XV-IV'!R12</f>
        <v>0.89804129032258062</v>
      </c>
      <c r="N87" s="142" t="s">
        <v>76</v>
      </c>
      <c r="O87" s="94">
        <f>+Resumen!C$4</f>
        <v>44214</v>
      </c>
      <c r="P87" s="103">
        <v>2020</v>
      </c>
    </row>
    <row r="88" spans="1:16">
      <c r="A88" s="97" t="s">
        <v>103</v>
      </c>
      <c r="B88" s="97" t="s">
        <v>103</v>
      </c>
      <c r="C88" s="97" t="s">
        <v>12</v>
      </c>
      <c r="D88" s="97" t="s">
        <v>111</v>
      </c>
      <c r="E88" t="str">
        <f>+'Artesanal S.española XV-IV'!D13</f>
        <v>REGIÓN IV</v>
      </c>
      <c r="F88" s="97" t="s">
        <v>96</v>
      </c>
      <c r="G88" s="97" t="s">
        <v>99</v>
      </c>
      <c r="H88">
        <f>+'Artesanal S.española XV-IV'!F13</f>
        <v>387.5</v>
      </c>
      <c r="I88" s="103">
        <f>+'Artesanal S.española XV-IV'!G13</f>
        <v>0</v>
      </c>
      <c r="J88" s="103">
        <f>+'Artesanal S.española XV-IV'!H13</f>
        <v>387.5</v>
      </c>
      <c r="K88" s="103">
        <f>+'Artesanal S.española XV-IV'!I13</f>
        <v>253.26400000000001</v>
      </c>
      <c r="L88" s="103">
        <f>+'Artesanal S.española XV-IV'!J13</f>
        <v>134.23599999999999</v>
      </c>
      <c r="M88" s="27">
        <f>+'Artesanal S.española XV-IV'!K13</f>
        <v>0.65358451612903223</v>
      </c>
      <c r="N88" s="142" t="s">
        <v>76</v>
      </c>
      <c r="O88" s="94">
        <f>+Resumen!C$4</f>
        <v>44214</v>
      </c>
      <c r="P88" s="103">
        <v>2020</v>
      </c>
    </row>
    <row r="89" spans="1:16">
      <c r="A89" s="97" t="s">
        <v>103</v>
      </c>
      <c r="B89" s="97" t="s">
        <v>103</v>
      </c>
      <c r="C89" s="97" t="s">
        <v>12</v>
      </c>
      <c r="D89" s="97" t="s">
        <v>111</v>
      </c>
      <c r="E89" s="97" t="s">
        <v>113</v>
      </c>
      <c r="F89" s="97" t="s">
        <v>96</v>
      </c>
      <c r="G89" s="97" t="s">
        <v>99</v>
      </c>
      <c r="H89">
        <f>+'Artesanal S.española XV-IV'!M13</f>
        <v>387.5</v>
      </c>
      <c r="I89" s="103">
        <f>+'Artesanal S.española XV-IV'!N13</f>
        <v>0</v>
      </c>
      <c r="J89" s="103">
        <f>+'Artesanal S.española XV-IV'!O13</f>
        <v>387.5</v>
      </c>
      <c r="K89" s="103">
        <f>+'Artesanal S.española XV-IV'!P13</f>
        <v>253.26400000000001</v>
      </c>
      <c r="L89" s="103">
        <f>+'Artesanal S.española XV-IV'!Q13</f>
        <v>134.23599999999999</v>
      </c>
      <c r="M89" s="27">
        <f>+'Artesanal S.española XV-IV'!R13</f>
        <v>0.65358451612903223</v>
      </c>
      <c r="N89" s="142" t="s">
        <v>76</v>
      </c>
      <c r="O89" s="94">
        <f>+Resumen!C$4</f>
        <v>44214</v>
      </c>
      <c r="P89" s="103">
        <v>2020</v>
      </c>
    </row>
    <row r="90" spans="1:16">
      <c r="A90" s="97"/>
      <c r="B90" s="97"/>
    </row>
    <row r="91" spans="1:16">
      <c r="A91" s="97"/>
      <c r="B91" s="97"/>
    </row>
    <row r="92" spans="1:16">
      <c r="A92" s="97"/>
      <c r="B92" s="97"/>
    </row>
  </sheetData>
  <pageMargins left="0.7" right="0.7" top="0.75" bottom="0.75" header="0.3" footer="0.3"/>
  <ignoredErrors>
    <ignoredError sqref="H22:M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</vt:lpstr>
      <vt:lpstr>Artesanal Anchoveta XV-IV</vt:lpstr>
      <vt:lpstr>Artesanal S.española XV-IV</vt:lpstr>
      <vt:lpstr>Industrial</vt:lpstr>
      <vt:lpstr>Cesiones ind y colec</vt:lpstr>
      <vt:lpstr>P. Investigación</vt:lpstr>
      <vt:lpstr>Consumo humano</vt:lpstr>
      <vt:lpstr>Publicacion web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kmolina</dc:creator>
  <cp:lastModifiedBy>.</cp:lastModifiedBy>
  <dcterms:created xsi:type="dcterms:W3CDTF">2019-10-16T16:01:09Z</dcterms:created>
  <dcterms:modified xsi:type="dcterms:W3CDTF">2021-01-26T16:49:50Z</dcterms:modified>
</cp:coreProperties>
</file>