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UBLICADOS WEB\05_Semana_16 mar_al_26 mar_2020\"/>
    </mc:Choice>
  </mc:AlternateContent>
  <xr:revisionPtr revIDLastSave="0" documentId="8_{944C58D5-96BC-4B92-9F33-ADCBC381570F}" xr6:coauthVersionLast="45" xr6:coauthVersionMax="45" xr10:uidLastSave="{00000000-0000-0000-0000-000000000000}"/>
  <bookViews>
    <workbookView xWindow="-108" yWindow="-108" windowWidth="23256" windowHeight="12576" tabRatio="654" xr2:uid="{00000000-000D-0000-FFFF-FFFF00000000}"/>
  </bookViews>
  <sheets>
    <sheet name="Resumen" sheetId="1" r:id="rId1"/>
    <sheet name="Artesanal Anchoveta XV-IV" sheetId="2" r:id="rId2"/>
    <sheet name="Artesanal S.española XV-IV" sheetId="7" r:id="rId3"/>
    <sheet name="Industrial" sheetId="3" r:id="rId4"/>
    <sheet name="Cesiones individuales" sheetId="5" r:id="rId5"/>
    <sheet name="P. Investigación" sheetId="4" r:id="rId6"/>
    <sheet name="Consumo humano" sheetId="8" state="hidden" r:id="rId7"/>
    <sheet name="Publicacion web" sheetId="6" r:id="rId8"/>
  </sheets>
  <definedNames>
    <definedName name="_xlnm._FilterDatabase" localSheetId="4" hidden="1">'Cesiones individuales'!$B$4:$V$225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E34" i="1"/>
  <c r="H69" i="3"/>
  <c r="G68" i="3"/>
  <c r="H67" i="3"/>
  <c r="G67" i="3"/>
  <c r="H66" i="3"/>
  <c r="G66" i="3"/>
  <c r="I15" i="7"/>
  <c r="I8" i="2"/>
  <c r="I8" i="4" l="1"/>
  <c r="I23" i="2"/>
  <c r="H9" i="1" l="1"/>
  <c r="F9" i="1"/>
  <c r="E9" i="1"/>
  <c r="G9" i="1" s="1"/>
  <c r="P7" i="2"/>
  <c r="N7" i="2"/>
  <c r="M7" i="2"/>
  <c r="O7" i="2" s="1"/>
  <c r="H7" i="2"/>
  <c r="K7" i="2" s="1"/>
  <c r="J7" i="2" l="1"/>
  <c r="P14" i="2" l="1"/>
  <c r="P12" i="2"/>
  <c r="P10" i="2"/>
  <c r="P8" i="2"/>
  <c r="F10" i="1"/>
  <c r="G10" i="1" s="1"/>
  <c r="E10" i="1"/>
  <c r="K14" i="2"/>
  <c r="K15" i="2"/>
  <c r="J10" i="2"/>
  <c r="H11" i="2" s="1"/>
  <c r="J14" i="2"/>
  <c r="H15" i="2" s="1"/>
  <c r="J15" i="2" s="1"/>
  <c r="H14" i="2"/>
  <c r="H10" i="2"/>
  <c r="K10" i="2" s="1"/>
  <c r="M10" i="2"/>
  <c r="O10" i="2" s="1"/>
  <c r="N10" i="2"/>
  <c r="M12" i="2"/>
  <c r="N12" i="2"/>
  <c r="M14" i="2"/>
  <c r="N14" i="2"/>
  <c r="O14" i="2"/>
  <c r="Q14" i="2" s="1"/>
  <c r="R14" i="2"/>
  <c r="R10" i="2" l="1"/>
  <c r="Q10" i="2"/>
  <c r="J11" i="2"/>
  <c r="K11" i="2"/>
  <c r="O12" i="2"/>
  <c r="Q12" i="2" s="1"/>
  <c r="E32" i="3"/>
  <c r="R12" i="2" l="1"/>
  <c r="I7" i="4"/>
  <c r="I6" i="4"/>
  <c r="E14" i="3" l="1"/>
  <c r="E13" i="3"/>
  <c r="E24" i="3"/>
  <c r="E23" i="3"/>
  <c r="H20" i="6" s="1"/>
  <c r="H21" i="6"/>
  <c r="E25" i="3"/>
  <c r="K21" i="6"/>
  <c r="I21" i="6"/>
  <c r="K20" i="6"/>
  <c r="I20" i="6"/>
  <c r="O20" i="6"/>
  <c r="O21" i="6"/>
  <c r="O22" i="6"/>
  <c r="K22" i="6"/>
  <c r="I22" i="6"/>
  <c r="E22" i="6"/>
  <c r="E20" i="6"/>
  <c r="E21" i="6"/>
  <c r="L23" i="3"/>
  <c r="N23" i="3"/>
  <c r="K23" i="3" l="1"/>
  <c r="G23" i="3"/>
  <c r="J20" i="6" s="1"/>
  <c r="M23" i="3" l="1"/>
  <c r="J22" i="6" s="1"/>
  <c r="H22" i="6"/>
  <c r="J23" i="3"/>
  <c r="M20" i="6" s="1"/>
  <c r="I23" i="3"/>
  <c r="C4" i="4"/>
  <c r="P23" i="3" l="1"/>
  <c r="M22" i="6" s="1"/>
  <c r="G24" i="3"/>
  <c r="J21" i="6" s="1"/>
  <c r="L20" i="6"/>
  <c r="O23" i="3"/>
  <c r="L22" i="6" s="1"/>
  <c r="D4" i="8"/>
  <c r="G26" i="1"/>
  <c r="I26" i="1" s="1"/>
  <c r="G23" i="1"/>
  <c r="J23" i="1" s="1"/>
  <c r="J26" i="1" l="1"/>
  <c r="I23" i="1"/>
  <c r="J24" i="3"/>
  <c r="M21" i="6" s="1"/>
  <c r="I24" i="3"/>
  <c r="L21" i="6" s="1"/>
  <c r="E22" i="3"/>
  <c r="E21" i="3"/>
  <c r="O8" i="6"/>
  <c r="O9" i="6"/>
  <c r="O10" i="6"/>
  <c r="O11" i="6"/>
  <c r="O12" i="6"/>
  <c r="O13" i="6"/>
  <c r="K12" i="6"/>
  <c r="I12" i="6"/>
  <c r="K11" i="6"/>
  <c r="I11" i="6"/>
  <c r="I10" i="6"/>
  <c r="H10" i="6"/>
  <c r="K9" i="6"/>
  <c r="I9" i="6"/>
  <c r="H9" i="6"/>
  <c r="K8" i="6"/>
  <c r="I8" i="6"/>
  <c r="H8" i="6"/>
  <c r="E16" i="3"/>
  <c r="K15" i="3" s="1"/>
  <c r="E15" i="3"/>
  <c r="E18" i="3"/>
  <c r="H12" i="6" s="1"/>
  <c r="E17" i="3"/>
  <c r="G17" i="3" s="1"/>
  <c r="L17" i="3"/>
  <c r="I13" i="6" s="1"/>
  <c r="N17" i="3"/>
  <c r="K13" i="6" s="1"/>
  <c r="L15" i="3"/>
  <c r="N15" i="3"/>
  <c r="K10" i="6" s="1"/>
  <c r="G15" i="3"/>
  <c r="I15" i="3" s="1"/>
  <c r="G16" i="3" s="1"/>
  <c r="I16" i="3" s="1"/>
  <c r="L9" i="6" s="1"/>
  <c r="E26" i="3"/>
  <c r="O43" i="6"/>
  <c r="I43" i="6"/>
  <c r="K43" i="6"/>
  <c r="K44" i="3"/>
  <c r="L44" i="3"/>
  <c r="N44" i="3"/>
  <c r="E44" i="3"/>
  <c r="G44" i="3" s="1"/>
  <c r="E41" i="3"/>
  <c r="E34" i="3"/>
  <c r="E39" i="3"/>
  <c r="E28" i="3"/>
  <c r="E46" i="3" s="1"/>
  <c r="E37" i="3"/>
  <c r="E38" i="3"/>
  <c r="E31" i="3"/>
  <c r="E62" i="3"/>
  <c r="E61" i="3"/>
  <c r="E60" i="3"/>
  <c r="E59" i="3"/>
  <c r="E58" i="3"/>
  <c r="E57" i="3"/>
  <c r="E56" i="3"/>
  <c r="E55" i="3"/>
  <c r="E54" i="3"/>
  <c r="E40" i="3"/>
  <c r="E43" i="3"/>
  <c r="E33" i="3"/>
  <c r="E30" i="3"/>
  <c r="E52" i="3"/>
  <c r="E51" i="3"/>
  <c r="E50" i="3"/>
  <c r="E49" i="3"/>
  <c r="E48" i="3"/>
  <c r="E47" i="3"/>
  <c r="E12" i="3"/>
  <c r="E11" i="3"/>
  <c r="O69" i="6"/>
  <c r="O70" i="6"/>
  <c r="O71" i="6"/>
  <c r="I71" i="6"/>
  <c r="K70" i="6"/>
  <c r="K69" i="6"/>
  <c r="I70" i="6"/>
  <c r="I69" i="6"/>
  <c r="H70" i="6"/>
  <c r="H69" i="6"/>
  <c r="K71" i="6"/>
  <c r="J71" i="6"/>
  <c r="H12" i="2"/>
  <c r="I17" i="3" l="1"/>
  <c r="G18" i="3" s="1"/>
  <c r="J12" i="6" s="1"/>
  <c r="J11" i="6"/>
  <c r="J17" i="3"/>
  <c r="M11" i="6" s="1"/>
  <c r="J43" i="6"/>
  <c r="I44" i="3"/>
  <c r="L43" i="6" s="1"/>
  <c r="J44" i="3"/>
  <c r="M43" i="6" s="1"/>
  <c r="J8" i="6"/>
  <c r="H43" i="6"/>
  <c r="J69" i="6"/>
  <c r="J12" i="2"/>
  <c r="K12" i="2"/>
  <c r="K17" i="3"/>
  <c r="H13" i="6" s="1"/>
  <c r="H11" i="6"/>
  <c r="M44" i="3"/>
  <c r="O44" i="3" s="1"/>
  <c r="M69" i="6"/>
  <c r="H71" i="6"/>
  <c r="H10" i="1"/>
  <c r="L8" i="6"/>
  <c r="J9" i="6"/>
  <c r="L11" i="6"/>
  <c r="J15" i="3"/>
  <c r="M8" i="6" s="1"/>
  <c r="J18" i="3"/>
  <c r="M12" i="6" s="1"/>
  <c r="I18" i="3"/>
  <c r="L12" i="6" s="1"/>
  <c r="M15" i="3"/>
  <c r="J16" i="3"/>
  <c r="M9" i="6" s="1"/>
  <c r="P44" i="3"/>
  <c r="M71" i="6"/>
  <c r="L71" i="6"/>
  <c r="T5" i="5"/>
  <c r="M17" i="3" l="1"/>
  <c r="O15" i="3"/>
  <c r="L10" i="6" s="1"/>
  <c r="J10" i="6"/>
  <c r="L69" i="6"/>
  <c r="H13" i="2"/>
  <c r="P15" i="3"/>
  <c r="M10" i="6" s="1"/>
  <c r="J10" i="1"/>
  <c r="I10" i="1"/>
  <c r="S6" i="5"/>
  <c r="J13" i="2" l="1"/>
  <c r="K13" i="2"/>
  <c r="J13" i="6"/>
  <c r="O17" i="3"/>
  <c r="L13" i="6" s="1"/>
  <c r="P17" i="3"/>
  <c r="M13" i="6" s="1"/>
  <c r="L70" i="6"/>
  <c r="J70" i="6"/>
  <c r="M70" i="6"/>
  <c r="G33" i="1"/>
  <c r="E63" i="3"/>
  <c r="E53" i="3"/>
  <c r="E27" i="3"/>
  <c r="G27" i="1"/>
  <c r="G25" i="1"/>
  <c r="G24" i="1"/>
  <c r="F21" i="1"/>
  <c r="H21" i="1"/>
  <c r="F20" i="1"/>
  <c r="H20" i="1"/>
  <c r="E21" i="1"/>
  <c r="E20" i="1"/>
  <c r="F15" i="1"/>
  <c r="H15" i="1"/>
  <c r="F14" i="1"/>
  <c r="H14" i="1"/>
  <c r="E15" i="1"/>
  <c r="E14" i="1"/>
  <c r="N11" i="7"/>
  <c r="P11" i="7"/>
  <c r="M11" i="7"/>
  <c r="M12" i="7"/>
  <c r="N12" i="7"/>
  <c r="F18" i="1" s="1"/>
  <c r="P12" i="7"/>
  <c r="H18" i="1" s="1"/>
  <c r="M14" i="7"/>
  <c r="N14" i="7"/>
  <c r="P14" i="7"/>
  <c r="H14" i="7"/>
  <c r="K14" i="7" s="1"/>
  <c r="H11" i="7"/>
  <c r="G20" i="1" s="1"/>
  <c r="N22" i="2"/>
  <c r="P22" i="2"/>
  <c r="M22" i="2"/>
  <c r="N18" i="2"/>
  <c r="P18" i="2"/>
  <c r="M18" i="2"/>
  <c r="H22" i="2"/>
  <c r="O22" i="2" s="1"/>
  <c r="H18" i="2"/>
  <c r="G14" i="1" s="1"/>
  <c r="T6" i="5"/>
  <c r="H33" i="1" s="1"/>
  <c r="H32" i="1"/>
  <c r="F53" i="3"/>
  <c r="F27" i="3"/>
  <c r="E88" i="6"/>
  <c r="I88" i="6"/>
  <c r="K88" i="6"/>
  <c r="N88" i="6"/>
  <c r="H88" i="6"/>
  <c r="I86" i="6"/>
  <c r="K86" i="6"/>
  <c r="N86" i="6"/>
  <c r="E86" i="6"/>
  <c r="H86" i="6"/>
  <c r="I83" i="6"/>
  <c r="K83" i="6"/>
  <c r="N83" i="6"/>
  <c r="I84" i="6"/>
  <c r="K84" i="6"/>
  <c r="N84" i="6"/>
  <c r="H84" i="6"/>
  <c r="H83" i="6"/>
  <c r="E84" i="6"/>
  <c r="E83" i="6"/>
  <c r="E81" i="6"/>
  <c r="E80" i="6"/>
  <c r="H81" i="6"/>
  <c r="I81" i="6"/>
  <c r="K81" i="6"/>
  <c r="N81" i="6"/>
  <c r="I80" i="6"/>
  <c r="K80" i="6"/>
  <c r="N80" i="6"/>
  <c r="H80" i="6"/>
  <c r="P13" i="7"/>
  <c r="H19" i="1" s="1"/>
  <c r="N13" i="7"/>
  <c r="F19" i="1" s="1"/>
  <c r="M13" i="7"/>
  <c r="E19" i="1" s="1"/>
  <c r="H13" i="7"/>
  <c r="K13" i="7" s="1"/>
  <c r="M88" i="6" s="1"/>
  <c r="H12" i="7"/>
  <c r="J86" i="6" s="1"/>
  <c r="P9" i="7"/>
  <c r="H17" i="1" s="1"/>
  <c r="N9" i="7"/>
  <c r="I85" i="6" s="1"/>
  <c r="M9" i="7"/>
  <c r="H9" i="7"/>
  <c r="J9" i="7" s="1"/>
  <c r="H10" i="7" s="1"/>
  <c r="J84" i="6" s="1"/>
  <c r="P7" i="7"/>
  <c r="H16" i="1" s="1"/>
  <c r="N7" i="7"/>
  <c r="F16" i="1" s="1"/>
  <c r="M7" i="7"/>
  <c r="H7" i="7"/>
  <c r="J7" i="7" s="1"/>
  <c r="H8" i="7" s="1"/>
  <c r="J81" i="6" s="1"/>
  <c r="B4" i="7"/>
  <c r="I89" i="6" l="1"/>
  <c r="O9" i="7"/>
  <c r="G17" i="1" s="1"/>
  <c r="F17" i="1"/>
  <c r="O7" i="7"/>
  <c r="G16" i="1" s="1"/>
  <c r="I16" i="1" s="1"/>
  <c r="G21" i="1"/>
  <c r="J21" i="1" s="1"/>
  <c r="P5" i="4"/>
  <c r="J12" i="7"/>
  <c r="L86" i="6" s="1"/>
  <c r="L83" i="6"/>
  <c r="J83" i="6"/>
  <c r="Q22" i="2"/>
  <c r="K18" i="2"/>
  <c r="R22" i="2"/>
  <c r="O13" i="7"/>
  <c r="H82" i="6"/>
  <c r="H85" i="6"/>
  <c r="J88" i="6"/>
  <c r="H89" i="6"/>
  <c r="E16" i="1"/>
  <c r="E17" i="1"/>
  <c r="K22" i="2"/>
  <c r="J11" i="7"/>
  <c r="K11" i="7"/>
  <c r="O11" i="7"/>
  <c r="Q11" i="7" s="1"/>
  <c r="G15" i="1"/>
  <c r="J15" i="1" s="1"/>
  <c r="F46" i="3"/>
  <c r="K12" i="7"/>
  <c r="M86" i="6" s="1"/>
  <c r="J13" i="7"/>
  <c r="L88" i="6" s="1"/>
  <c r="L80" i="6"/>
  <c r="J80" i="6"/>
  <c r="K82" i="6"/>
  <c r="I82" i="6"/>
  <c r="J85" i="6"/>
  <c r="I87" i="6"/>
  <c r="J18" i="2"/>
  <c r="J22" i="2"/>
  <c r="O18" i="2"/>
  <c r="Q18" i="2" s="1"/>
  <c r="J14" i="7"/>
  <c r="O14" i="7"/>
  <c r="R14" i="7" s="1"/>
  <c r="O12" i="7"/>
  <c r="R12" i="7" s="1"/>
  <c r="M87" i="6" s="1"/>
  <c r="K89" i="6"/>
  <c r="Q13" i="7"/>
  <c r="L89" i="6" s="1"/>
  <c r="I14" i="1"/>
  <c r="I20" i="1"/>
  <c r="J14" i="1"/>
  <c r="J20" i="1"/>
  <c r="I25" i="1"/>
  <c r="I17" i="1"/>
  <c r="J25" i="1"/>
  <c r="H22" i="1"/>
  <c r="V6" i="5"/>
  <c r="J33" i="1" s="1"/>
  <c r="T7" i="5"/>
  <c r="U6" i="5"/>
  <c r="I33" i="1" s="1"/>
  <c r="F33" i="1"/>
  <c r="K87" i="6"/>
  <c r="K85" i="6"/>
  <c r="H87" i="6"/>
  <c r="E18" i="1"/>
  <c r="J17" i="1"/>
  <c r="R13" i="7"/>
  <c r="M89" i="6" s="1"/>
  <c r="J8" i="7"/>
  <c r="L81" i="6" s="1"/>
  <c r="K8" i="7"/>
  <c r="M81" i="6" s="1"/>
  <c r="J10" i="7"/>
  <c r="L84" i="6" s="1"/>
  <c r="K10" i="7"/>
  <c r="M84" i="6" s="1"/>
  <c r="Q9" i="7"/>
  <c r="L85" i="6" s="1"/>
  <c r="R9" i="7"/>
  <c r="M85" i="6" s="1"/>
  <c r="K7" i="7"/>
  <c r="M80" i="6" s="1"/>
  <c r="K9" i="7"/>
  <c r="M83" i="6" s="1"/>
  <c r="S5" i="5"/>
  <c r="I61" i="6"/>
  <c r="I31" i="6"/>
  <c r="B7" i="3"/>
  <c r="B4" i="2"/>
  <c r="H27" i="3"/>
  <c r="H68" i="3" s="1"/>
  <c r="K62" i="3"/>
  <c r="K11" i="3"/>
  <c r="K25" i="3"/>
  <c r="H25" i="6" s="1"/>
  <c r="G22" i="1"/>
  <c r="F13" i="1"/>
  <c r="I79" i="6" s="1"/>
  <c r="H13" i="1"/>
  <c r="E13" i="1"/>
  <c r="H79" i="6" s="1"/>
  <c r="I78" i="6"/>
  <c r="K78" i="6"/>
  <c r="N78" i="6"/>
  <c r="H78" i="6"/>
  <c r="I77" i="6"/>
  <c r="K77" i="6"/>
  <c r="N77" i="6"/>
  <c r="H77" i="6"/>
  <c r="H75" i="6"/>
  <c r="I75" i="6"/>
  <c r="K75" i="6"/>
  <c r="N75" i="6"/>
  <c r="I72" i="6"/>
  <c r="K72" i="6"/>
  <c r="N72" i="6"/>
  <c r="I73" i="6"/>
  <c r="K73" i="6"/>
  <c r="N73" i="6"/>
  <c r="H73" i="6"/>
  <c r="H72" i="6"/>
  <c r="I67" i="6"/>
  <c r="K67" i="6"/>
  <c r="N67" i="6"/>
  <c r="H67" i="6"/>
  <c r="N66" i="6"/>
  <c r="I66" i="6"/>
  <c r="K66" i="6"/>
  <c r="H66" i="6"/>
  <c r="I56" i="6"/>
  <c r="K56" i="6"/>
  <c r="I57" i="6"/>
  <c r="K57" i="6"/>
  <c r="I58" i="6"/>
  <c r="K58" i="6"/>
  <c r="I59" i="6"/>
  <c r="K59" i="6"/>
  <c r="I60" i="6"/>
  <c r="K60" i="6"/>
  <c r="K61" i="6"/>
  <c r="I62" i="6"/>
  <c r="K62" i="6"/>
  <c r="I63" i="6"/>
  <c r="K63" i="6"/>
  <c r="I64" i="6"/>
  <c r="K64" i="6"/>
  <c r="H57" i="6"/>
  <c r="H58" i="6"/>
  <c r="H59" i="6"/>
  <c r="H60" i="6"/>
  <c r="H61" i="6"/>
  <c r="H62" i="6"/>
  <c r="H63" i="6"/>
  <c r="H64" i="6"/>
  <c r="H56" i="6"/>
  <c r="I52" i="6"/>
  <c r="K52" i="6"/>
  <c r="I53" i="6"/>
  <c r="K53" i="6"/>
  <c r="H53" i="6"/>
  <c r="H52" i="6"/>
  <c r="I49" i="6"/>
  <c r="K49" i="6"/>
  <c r="I50" i="6"/>
  <c r="K50" i="6"/>
  <c r="H50" i="6"/>
  <c r="H49" i="6"/>
  <c r="I46" i="6"/>
  <c r="K46" i="6"/>
  <c r="I47" i="6"/>
  <c r="K47" i="6"/>
  <c r="H47" i="6"/>
  <c r="H46" i="6"/>
  <c r="I27" i="6"/>
  <c r="K27" i="6"/>
  <c r="I28" i="6"/>
  <c r="K28" i="6"/>
  <c r="I29" i="6"/>
  <c r="K29" i="6"/>
  <c r="I30" i="6"/>
  <c r="K30" i="6"/>
  <c r="K31" i="6"/>
  <c r="I32" i="6"/>
  <c r="K32" i="6"/>
  <c r="I33" i="6"/>
  <c r="K33" i="6"/>
  <c r="I34" i="6"/>
  <c r="K34" i="6"/>
  <c r="I35" i="6"/>
  <c r="K35" i="6"/>
  <c r="I36" i="6"/>
  <c r="K36" i="6"/>
  <c r="I37" i="6"/>
  <c r="K37" i="6"/>
  <c r="I38" i="6"/>
  <c r="K38" i="6"/>
  <c r="I39" i="6"/>
  <c r="K39" i="6"/>
  <c r="I40" i="6"/>
  <c r="K40" i="6"/>
  <c r="I41" i="6"/>
  <c r="K41" i="6"/>
  <c r="I42" i="6"/>
  <c r="K42" i="6"/>
  <c r="I44" i="6"/>
  <c r="K44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4" i="6"/>
  <c r="H27" i="6"/>
  <c r="I23" i="6"/>
  <c r="K23" i="6"/>
  <c r="I24" i="6"/>
  <c r="K24" i="6"/>
  <c r="H24" i="6"/>
  <c r="H23" i="6"/>
  <c r="I17" i="6"/>
  <c r="K17" i="6"/>
  <c r="I18" i="6"/>
  <c r="K18" i="6"/>
  <c r="H18" i="6"/>
  <c r="H17" i="6"/>
  <c r="I14" i="6"/>
  <c r="K14" i="6"/>
  <c r="I15" i="6"/>
  <c r="K15" i="6"/>
  <c r="H15" i="6"/>
  <c r="H14" i="6"/>
  <c r="I5" i="6"/>
  <c r="K5" i="6"/>
  <c r="I6" i="6"/>
  <c r="K6" i="6"/>
  <c r="H6" i="6"/>
  <c r="H5" i="6"/>
  <c r="H4" i="6"/>
  <c r="I2" i="6"/>
  <c r="K2" i="6"/>
  <c r="I3" i="6"/>
  <c r="K3" i="6"/>
  <c r="H3" i="6"/>
  <c r="H2" i="6"/>
  <c r="O3" i="6"/>
  <c r="O4" i="6"/>
  <c r="O5" i="6"/>
  <c r="O6" i="6"/>
  <c r="O7" i="6"/>
  <c r="O14" i="6"/>
  <c r="O15" i="6"/>
  <c r="O16" i="6"/>
  <c r="O17" i="6"/>
  <c r="O18" i="6"/>
  <c r="O19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2" i="6"/>
  <c r="E78" i="6"/>
  <c r="E77" i="6"/>
  <c r="E75" i="6"/>
  <c r="E73" i="6"/>
  <c r="E72" i="6"/>
  <c r="E67" i="6"/>
  <c r="E66" i="6"/>
  <c r="E57" i="6"/>
  <c r="E58" i="6"/>
  <c r="E59" i="6"/>
  <c r="E60" i="6"/>
  <c r="E61" i="6"/>
  <c r="E62" i="6"/>
  <c r="E63" i="6"/>
  <c r="E64" i="6"/>
  <c r="E56" i="6"/>
  <c r="E54" i="6"/>
  <c r="E53" i="6"/>
  <c r="E52" i="6"/>
  <c r="E51" i="6"/>
  <c r="E50" i="6"/>
  <c r="E49" i="6"/>
  <c r="E48" i="6"/>
  <c r="E47" i="6"/>
  <c r="E46" i="6"/>
  <c r="E39" i="6"/>
  <c r="E40" i="6"/>
  <c r="E41" i="6"/>
  <c r="E42" i="6"/>
  <c r="E44" i="6"/>
  <c r="E28" i="6"/>
  <c r="E29" i="6"/>
  <c r="E30" i="6"/>
  <c r="E31" i="6"/>
  <c r="E32" i="6"/>
  <c r="E33" i="6"/>
  <c r="E34" i="6"/>
  <c r="E35" i="6"/>
  <c r="E36" i="6"/>
  <c r="E37" i="6"/>
  <c r="E38" i="6"/>
  <c r="E27" i="6"/>
  <c r="E25" i="6"/>
  <c r="E24" i="6"/>
  <c r="E23" i="6"/>
  <c r="E19" i="6"/>
  <c r="E18" i="6"/>
  <c r="E17" i="6"/>
  <c r="E16" i="6"/>
  <c r="E15" i="6"/>
  <c r="E14" i="6"/>
  <c r="E7" i="6"/>
  <c r="E6" i="6"/>
  <c r="E5" i="6"/>
  <c r="E4" i="6"/>
  <c r="E3" i="6"/>
  <c r="E2" i="6"/>
  <c r="N56" i="3"/>
  <c r="N55" i="3"/>
  <c r="N54" i="3"/>
  <c r="N57" i="3"/>
  <c r="N58" i="3"/>
  <c r="N59" i="3"/>
  <c r="N60" i="3"/>
  <c r="N61" i="3"/>
  <c r="N62" i="3"/>
  <c r="L56" i="3"/>
  <c r="L57" i="3"/>
  <c r="L58" i="3"/>
  <c r="L59" i="3"/>
  <c r="L60" i="3"/>
  <c r="L61" i="3"/>
  <c r="L62" i="3"/>
  <c r="L55" i="3"/>
  <c r="L54" i="3"/>
  <c r="K55" i="3"/>
  <c r="K56" i="3"/>
  <c r="M56" i="3" s="1"/>
  <c r="K57" i="3"/>
  <c r="K58" i="3"/>
  <c r="K59" i="3"/>
  <c r="K60" i="3"/>
  <c r="M60" i="3" s="1"/>
  <c r="P60" i="3" s="1"/>
  <c r="K61" i="3"/>
  <c r="K54" i="3"/>
  <c r="N51" i="3"/>
  <c r="N49" i="3"/>
  <c r="K51" i="6" s="1"/>
  <c r="N47" i="3"/>
  <c r="K48" i="6" s="1"/>
  <c r="L47" i="3"/>
  <c r="N28" i="3"/>
  <c r="L51" i="3"/>
  <c r="I54" i="6" s="1"/>
  <c r="L49" i="3"/>
  <c r="I51" i="6" s="1"/>
  <c r="K51" i="3"/>
  <c r="K49" i="3"/>
  <c r="H51" i="6" s="1"/>
  <c r="K47" i="3"/>
  <c r="M47" i="3" s="1"/>
  <c r="K30" i="3"/>
  <c r="L30" i="3"/>
  <c r="N30" i="3"/>
  <c r="K31" i="3"/>
  <c r="L31" i="3"/>
  <c r="N31" i="3"/>
  <c r="K32" i="3"/>
  <c r="N32" i="3"/>
  <c r="K33" i="3"/>
  <c r="L33" i="3"/>
  <c r="N33" i="3"/>
  <c r="K34" i="3"/>
  <c r="L34" i="3"/>
  <c r="N34" i="3"/>
  <c r="K35" i="3"/>
  <c r="L35" i="3"/>
  <c r="N35" i="3"/>
  <c r="K36" i="3"/>
  <c r="L36" i="3"/>
  <c r="N36" i="3"/>
  <c r="K37" i="3"/>
  <c r="L37" i="3"/>
  <c r="N37" i="3"/>
  <c r="K38" i="3"/>
  <c r="L38" i="3"/>
  <c r="N38" i="3"/>
  <c r="K39" i="3"/>
  <c r="L39" i="3"/>
  <c r="N39" i="3"/>
  <c r="K40" i="3"/>
  <c r="L40" i="3"/>
  <c r="N40" i="3"/>
  <c r="K41" i="3"/>
  <c r="L41" i="3"/>
  <c r="N41" i="3"/>
  <c r="K42" i="3"/>
  <c r="L42" i="3"/>
  <c r="N42" i="3"/>
  <c r="K43" i="3"/>
  <c r="L43" i="3"/>
  <c r="N43" i="3"/>
  <c r="K45" i="3"/>
  <c r="L45" i="3"/>
  <c r="N45" i="3"/>
  <c r="L29" i="3"/>
  <c r="N29" i="3"/>
  <c r="L28" i="3"/>
  <c r="K29" i="3"/>
  <c r="K28" i="3"/>
  <c r="N25" i="3"/>
  <c r="K25" i="6" s="1"/>
  <c r="N21" i="3"/>
  <c r="K19" i="6" s="1"/>
  <c r="N19" i="3"/>
  <c r="N13" i="3"/>
  <c r="N11" i="3"/>
  <c r="K4" i="6" s="1"/>
  <c r="L25" i="3"/>
  <c r="L21" i="3"/>
  <c r="I19" i="6" s="1"/>
  <c r="L19" i="3"/>
  <c r="L13" i="3"/>
  <c r="I7" i="6" s="1"/>
  <c r="L11" i="3"/>
  <c r="I4" i="6" s="1"/>
  <c r="K21" i="3"/>
  <c r="K19" i="3"/>
  <c r="H16" i="6" s="1"/>
  <c r="K13" i="3"/>
  <c r="H7" i="6" s="1"/>
  <c r="G55" i="3"/>
  <c r="J57" i="6" s="1"/>
  <c r="G56" i="3"/>
  <c r="I56" i="3" s="1"/>
  <c r="L58" i="6" s="1"/>
  <c r="G57" i="3"/>
  <c r="J59" i="6" s="1"/>
  <c r="G58" i="3"/>
  <c r="I58" i="3" s="1"/>
  <c r="L60" i="6" s="1"/>
  <c r="G59" i="3"/>
  <c r="J61" i="6" s="1"/>
  <c r="G60" i="3"/>
  <c r="I60" i="3" s="1"/>
  <c r="L62" i="6" s="1"/>
  <c r="G61" i="3"/>
  <c r="J63" i="6" s="1"/>
  <c r="G62" i="3"/>
  <c r="J62" i="3" s="1"/>
  <c r="M64" i="6" s="1"/>
  <c r="J55" i="3"/>
  <c r="M57" i="6" s="1"/>
  <c r="J56" i="3"/>
  <c r="M58" i="6" s="1"/>
  <c r="J57" i="3"/>
  <c r="M59" i="6" s="1"/>
  <c r="J58" i="3"/>
  <c r="M60" i="6" s="1"/>
  <c r="G54" i="3"/>
  <c r="I54" i="3" s="1"/>
  <c r="L56" i="6" s="1"/>
  <c r="G51" i="3"/>
  <c r="J51" i="3" s="1"/>
  <c r="M52" i="6" s="1"/>
  <c r="G49" i="3"/>
  <c r="J49" i="6" s="1"/>
  <c r="G47" i="3"/>
  <c r="J46" i="6" s="1"/>
  <c r="G29" i="3"/>
  <c r="I29" i="3" s="1"/>
  <c r="L28" i="6" s="1"/>
  <c r="G30" i="3"/>
  <c r="I30" i="3" s="1"/>
  <c r="L29" i="6" s="1"/>
  <c r="G31" i="3"/>
  <c r="J31" i="3" s="1"/>
  <c r="M30" i="6" s="1"/>
  <c r="G33" i="3"/>
  <c r="I33" i="3" s="1"/>
  <c r="L32" i="6" s="1"/>
  <c r="G34" i="3"/>
  <c r="I34" i="3" s="1"/>
  <c r="L33" i="6" s="1"/>
  <c r="G35" i="3"/>
  <c r="J35" i="3" s="1"/>
  <c r="M34" i="6" s="1"/>
  <c r="G36" i="3"/>
  <c r="I36" i="3" s="1"/>
  <c r="L35" i="6" s="1"/>
  <c r="G37" i="3"/>
  <c r="I37" i="3" s="1"/>
  <c r="L36" i="6" s="1"/>
  <c r="G38" i="3"/>
  <c r="I38" i="3" s="1"/>
  <c r="L37" i="6" s="1"/>
  <c r="G39" i="3"/>
  <c r="M38" i="6" s="1"/>
  <c r="G40" i="3"/>
  <c r="I40" i="3" s="1"/>
  <c r="L39" i="6" s="1"/>
  <c r="G41" i="3"/>
  <c r="I41" i="3" s="1"/>
  <c r="L40" i="6" s="1"/>
  <c r="G42" i="3"/>
  <c r="I42" i="3" s="1"/>
  <c r="L41" i="6" s="1"/>
  <c r="G43" i="3"/>
  <c r="J43" i="3" s="1"/>
  <c r="M42" i="6" s="1"/>
  <c r="G45" i="3"/>
  <c r="I45" i="3" s="1"/>
  <c r="L44" i="6" s="1"/>
  <c r="G28" i="3"/>
  <c r="I28" i="3" s="1"/>
  <c r="L27" i="6" s="1"/>
  <c r="G25" i="3"/>
  <c r="J25" i="3" s="1"/>
  <c r="M23" i="6" s="1"/>
  <c r="G21" i="3"/>
  <c r="J21" i="3" s="1"/>
  <c r="M17" i="6" s="1"/>
  <c r="G19" i="3"/>
  <c r="I19" i="3" s="1"/>
  <c r="G20" i="3" s="1"/>
  <c r="J15" i="6" s="1"/>
  <c r="G13" i="3"/>
  <c r="I13" i="3" s="1"/>
  <c r="G14" i="3" s="1"/>
  <c r="J6" i="6" s="1"/>
  <c r="G11" i="3"/>
  <c r="J11" i="3" s="1"/>
  <c r="M2" i="6" s="1"/>
  <c r="P19" i="2"/>
  <c r="K76" i="6" s="1"/>
  <c r="N19" i="2"/>
  <c r="F12" i="1" s="1"/>
  <c r="P20" i="2"/>
  <c r="P21" i="2"/>
  <c r="N20" i="2"/>
  <c r="N21" i="2"/>
  <c r="M20" i="2"/>
  <c r="M21" i="2"/>
  <c r="M19" i="2"/>
  <c r="H76" i="6" s="1"/>
  <c r="P16" i="2"/>
  <c r="H11" i="1" s="1"/>
  <c r="N16" i="2"/>
  <c r="I74" i="6" s="1"/>
  <c r="M16" i="2"/>
  <c r="H74" i="6" s="1"/>
  <c r="N8" i="2"/>
  <c r="M8" i="2"/>
  <c r="H20" i="2"/>
  <c r="J77" i="6" s="1"/>
  <c r="H21" i="2"/>
  <c r="J21" i="2" s="1"/>
  <c r="L78" i="6" s="1"/>
  <c r="H19" i="2"/>
  <c r="J19" i="2" s="1"/>
  <c r="L75" i="6" s="1"/>
  <c r="H16" i="2"/>
  <c r="H8" i="2"/>
  <c r="J8" i="2" s="1"/>
  <c r="J82" i="6" l="1"/>
  <c r="M40" i="3"/>
  <c r="R7" i="7"/>
  <c r="M82" i="6" s="1"/>
  <c r="J16" i="1"/>
  <c r="K16" i="2"/>
  <c r="M72" i="6" s="1"/>
  <c r="M61" i="3"/>
  <c r="O61" i="3" s="1"/>
  <c r="Q7" i="7"/>
  <c r="L82" i="6" s="1"/>
  <c r="Q14" i="7"/>
  <c r="J87" i="6"/>
  <c r="O20" i="2"/>
  <c r="R20" i="2" s="1"/>
  <c r="M36" i="3"/>
  <c r="O36" i="3" s="1"/>
  <c r="M58" i="3"/>
  <c r="M57" i="3"/>
  <c r="M35" i="3"/>
  <c r="P35" i="3" s="1"/>
  <c r="K27" i="3"/>
  <c r="H26" i="6" s="1"/>
  <c r="I21" i="1"/>
  <c r="Q12" i="7"/>
  <c r="L87" i="6" s="1"/>
  <c r="I15" i="1"/>
  <c r="J54" i="3"/>
  <c r="M56" i="6" s="1"/>
  <c r="J52" i="6"/>
  <c r="G18" i="1"/>
  <c r="I18" i="1" s="1"/>
  <c r="I47" i="3"/>
  <c r="G48" i="3" s="1"/>
  <c r="J47" i="6" s="1"/>
  <c r="J47" i="3"/>
  <c r="M46" i="6" s="1"/>
  <c r="O40" i="3"/>
  <c r="K53" i="3"/>
  <c r="E30" i="1" s="1"/>
  <c r="L53" i="3"/>
  <c r="F30" i="1" s="1"/>
  <c r="H48" i="6"/>
  <c r="J60" i="6"/>
  <c r="M62" i="3"/>
  <c r="O62" i="3" s="1"/>
  <c r="R18" i="2"/>
  <c r="K8" i="2"/>
  <c r="M66" i="6" s="1"/>
  <c r="J60" i="3"/>
  <c r="M62" i="6" s="1"/>
  <c r="M25" i="3"/>
  <c r="J25" i="6" s="1"/>
  <c r="M29" i="3"/>
  <c r="O29" i="3" s="1"/>
  <c r="M45" i="3"/>
  <c r="P45" i="3" s="1"/>
  <c r="M41" i="3"/>
  <c r="O41" i="3" s="1"/>
  <c r="M39" i="3"/>
  <c r="O39" i="3" s="1"/>
  <c r="M33" i="3"/>
  <c r="O33" i="3" s="1"/>
  <c r="M31" i="3"/>
  <c r="P31" i="3" s="1"/>
  <c r="N46" i="3"/>
  <c r="H29" i="1" s="1"/>
  <c r="M13" i="3"/>
  <c r="J7" i="6" s="1"/>
  <c r="N53" i="3"/>
  <c r="H30" i="1" s="1"/>
  <c r="P57" i="3"/>
  <c r="L63" i="3"/>
  <c r="I65" i="6" s="1"/>
  <c r="N63" i="3"/>
  <c r="H31" i="1" s="1"/>
  <c r="J5" i="6"/>
  <c r="J41" i="6"/>
  <c r="I48" i="6"/>
  <c r="J56" i="6"/>
  <c r="J66" i="6"/>
  <c r="F63" i="3"/>
  <c r="G19" i="1"/>
  <c r="J89" i="6"/>
  <c r="R11" i="7"/>
  <c r="M21" i="3"/>
  <c r="O21" i="3" s="1"/>
  <c r="L19" i="6" s="1"/>
  <c r="M28" i="6"/>
  <c r="J28" i="6"/>
  <c r="M11" i="3"/>
  <c r="I22" i="1"/>
  <c r="J22" i="1"/>
  <c r="M55" i="3"/>
  <c r="O55" i="3" s="1"/>
  <c r="M34" i="3"/>
  <c r="P34" i="3" s="1"/>
  <c r="J37" i="6"/>
  <c r="O8" i="2"/>
  <c r="I68" i="6"/>
  <c r="K79" i="6"/>
  <c r="J4" i="6"/>
  <c r="I16" i="6"/>
  <c r="L27" i="3"/>
  <c r="F28" i="1" s="1"/>
  <c r="M36" i="6"/>
  <c r="M37" i="3"/>
  <c r="O37" i="3" s="1"/>
  <c r="J36" i="6"/>
  <c r="J20" i="2"/>
  <c r="L77" i="6" s="1"/>
  <c r="K21" i="2"/>
  <c r="M78" i="6" s="1"/>
  <c r="O19" i="2"/>
  <c r="J76" i="6" s="1"/>
  <c r="F11" i="1"/>
  <c r="I76" i="6"/>
  <c r="O21" i="2"/>
  <c r="R21" i="2" s="1"/>
  <c r="L66" i="6"/>
  <c r="H9" i="2"/>
  <c r="K9" i="2" s="1"/>
  <c r="M67" i="6" s="1"/>
  <c r="G13" i="1"/>
  <c r="K19" i="2"/>
  <c r="M75" i="6" s="1"/>
  <c r="E12" i="1"/>
  <c r="H68" i="6"/>
  <c r="J75" i="6"/>
  <c r="K20" i="2"/>
  <c r="J78" i="6"/>
  <c r="M28" i="3"/>
  <c r="P28" i="3" s="1"/>
  <c r="I25" i="6"/>
  <c r="J23" i="6"/>
  <c r="M59" i="3"/>
  <c r="O59" i="3" s="1"/>
  <c r="J59" i="3"/>
  <c r="M61" i="6" s="1"/>
  <c r="G32" i="3"/>
  <c r="I32" i="3" s="1"/>
  <c r="L31" i="6" s="1"/>
  <c r="L32" i="3"/>
  <c r="M32" i="3" s="1"/>
  <c r="M43" i="3"/>
  <c r="O43" i="3" s="1"/>
  <c r="O47" i="3"/>
  <c r="L48" i="6" s="1"/>
  <c r="J48" i="6"/>
  <c r="P47" i="3"/>
  <c r="M48" i="6" s="1"/>
  <c r="O58" i="3"/>
  <c r="P58" i="3"/>
  <c r="K65" i="6"/>
  <c r="K45" i="6"/>
  <c r="J49" i="3"/>
  <c r="M49" i="6" s="1"/>
  <c r="M49" i="3"/>
  <c r="J14" i="6"/>
  <c r="H19" i="6"/>
  <c r="I49" i="3"/>
  <c r="I51" i="3"/>
  <c r="M19" i="3"/>
  <c r="J2" i="6"/>
  <c r="J34" i="6"/>
  <c r="J30" i="6"/>
  <c r="H54" i="6"/>
  <c r="M51" i="3"/>
  <c r="J54" i="6" s="1"/>
  <c r="K16" i="6"/>
  <c r="J42" i="6"/>
  <c r="I11" i="3"/>
  <c r="I55" i="3"/>
  <c r="L57" i="6" s="1"/>
  <c r="M42" i="3"/>
  <c r="M38" i="3"/>
  <c r="P38" i="3" s="1"/>
  <c r="M30" i="3"/>
  <c r="P30" i="3" s="1"/>
  <c r="L14" i="6"/>
  <c r="J17" i="6"/>
  <c r="H12" i="1"/>
  <c r="K74" i="6"/>
  <c r="K68" i="6"/>
  <c r="K54" i="6"/>
  <c r="O51" i="3"/>
  <c r="N27" i="3"/>
  <c r="K7" i="6"/>
  <c r="L5" i="6"/>
  <c r="K63" i="3"/>
  <c r="H65" i="6" s="1"/>
  <c r="I62" i="3"/>
  <c r="L64" i="6" s="1"/>
  <c r="J64" i="6"/>
  <c r="J61" i="3"/>
  <c r="M63" i="6" s="1"/>
  <c r="I61" i="3"/>
  <c r="L63" i="6" s="1"/>
  <c r="J62" i="6"/>
  <c r="O60" i="3"/>
  <c r="I59" i="3"/>
  <c r="L61" i="6" s="1"/>
  <c r="O57" i="3"/>
  <c r="I57" i="3"/>
  <c r="L59" i="6" s="1"/>
  <c r="P56" i="3"/>
  <c r="O56" i="3"/>
  <c r="J58" i="6"/>
  <c r="M54" i="3"/>
  <c r="Q20" i="2"/>
  <c r="J45" i="3"/>
  <c r="M44" i="6" s="1"/>
  <c r="J44" i="6"/>
  <c r="P41" i="3"/>
  <c r="J40" i="6"/>
  <c r="J39" i="6"/>
  <c r="P40" i="3"/>
  <c r="J38" i="6"/>
  <c r="J35" i="6"/>
  <c r="O35" i="3"/>
  <c r="J33" i="6"/>
  <c r="J33" i="3"/>
  <c r="M32" i="6" s="1"/>
  <c r="J32" i="6"/>
  <c r="J29" i="6"/>
  <c r="K46" i="3"/>
  <c r="J27" i="6"/>
  <c r="E11" i="1"/>
  <c r="J72" i="6"/>
  <c r="O16" i="2"/>
  <c r="J20" i="3"/>
  <c r="M15" i="6" s="1"/>
  <c r="I20" i="3"/>
  <c r="L15" i="6" s="1"/>
  <c r="J19" i="3"/>
  <c r="M14" i="6" s="1"/>
  <c r="J38" i="3"/>
  <c r="M37" i="6" s="1"/>
  <c r="J28" i="3"/>
  <c r="M27" i="6" s="1"/>
  <c r="J40" i="3"/>
  <c r="M39" i="6" s="1"/>
  <c r="J34" i="3"/>
  <c r="M33" i="6" s="1"/>
  <c r="I21" i="3"/>
  <c r="G22" i="3" s="1"/>
  <c r="I25" i="3"/>
  <c r="J41" i="3"/>
  <c r="M40" i="6" s="1"/>
  <c r="J36" i="3"/>
  <c r="M35" i="6" s="1"/>
  <c r="J30" i="3"/>
  <c r="M29" i="6" s="1"/>
  <c r="M41" i="6"/>
  <c r="I14" i="3"/>
  <c r="L6" i="6" s="1"/>
  <c r="J14" i="3"/>
  <c r="M6" i="6" s="1"/>
  <c r="I43" i="3"/>
  <c r="L42" i="6" s="1"/>
  <c r="I39" i="3"/>
  <c r="L38" i="6" s="1"/>
  <c r="I35" i="3"/>
  <c r="L34" i="6" s="1"/>
  <c r="I31" i="3"/>
  <c r="L30" i="6" s="1"/>
  <c r="J13" i="3"/>
  <c r="M5" i="6" s="1"/>
  <c r="J16" i="2"/>
  <c r="P36" i="3" l="1"/>
  <c r="E31" i="1"/>
  <c r="I48" i="3"/>
  <c r="L47" i="6" s="1"/>
  <c r="I55" i="6"/>
  <c r="P61" i="3"/>
  <c r="K55" i="6"/>
  <c r="P51" i="3"/>
  <c r="M54" i="6" s="1"/>
  <c r="J68" i="6"/>
  <c r="Q8" i="2"/>
  <c r="L68" i="6" s="1"/>
  <c r="J19" i="6"/>
  <c r="O34" i="3"/>
  <c r="P33" i="3"/>
  <c r="H55" i="6"/>
  <c r="E28" i="1"/>
  <c r="J18" i="1"/>
  <c r="M27" i="3"/>
  <c r="P27" i="3" s="1"/>
  <c r="F31" i="1"/>
  <c r="P62" i="3"/>
  <c r="P59" i="3"/>
  <c r="M53" i="3"/>
  <c r="G30" i="1" s="1"/>
  <c r="I30" i="1" s="1"/>
  <c r="J48" i="3"/>
  <c r="M47" i="6" s="1"/>
  <c r="O13" i="3"/>
  <c r="L7" i="6" s="1"/>
  <c r="P13" i="3"/>
  <c r="M7" i="6" s="1"/>
  <c r="O25" i="3"/>
  <c r="L25" i="6" s="1"/>
  <c r="O45" i="3"/>
  <c r="P25" i="3"/>
  <c r="M25" i="6" s="1"/>
  <c r="O31" i="3"/>
  <c r="L46" i="6"/>
  <c r="P21" i="3"/>
  <c r="M19" i="6" s="1"/>
  <c r="I9" i="1"/>
  <c r="J19" i="1"/>
  <c r="I19" i="1"/>
  <c r="F32" i="1"/>
  <c r="G32" i="1"/>
  <c r="S7" i="5"/>
  <c r="V5" i="5"/>
  <c r="J32" i="1" s="1"/>
  <c r="U5" i="5"/>
  <c r="I32" i="1" s="1"/>
  <c r="O42" i="3"/>
  <c r="P55" i="3"/>
  <c r="M4" i="6"/>
  <c r="O11" i="3"/>
  <c r="L4" i="6" s="1"/>
  <c r="H28" i="1"/>
  <c r="J32" i="3"/>
  <c r="M31" i="6" s="1"/>
  <c r="O38" i="3"/>
  <c r="R8" i="2"/>
  <c r="M68" i="6" s="1"/>
  <c r="J79" i="6"/>
  <c r="I13" i="1"/>
  <c r="L79" i="6" s="1"/>
  <c r="J13" i="1"/>
  <c r="M79" i="6" s="1"/>
  <c r="O28" i="3"/>
  <c r="J31" i="6"/>
  <c r="L46" i="3"/>
  <c r="F29" i="1" s="1"/>
  <c r="G12" i="1"/>
  <c r="I12" i="1" s="1"/>
  <c r="Q19" i="2"/>
  <c r="Q21" i="2"/>
  <c r="R19" i="2"/>
  <c r="M77" i="6"/>
  <c r="J67" i="6"/>
  <c r="J9" i="2"/>
  <c r="L67" i="6" s="1"/>
  <c r="O30" i="3"/>
  <c r="P43" i="3"/>
  <c r="M46" i="3"/>
  <c r="O32" i="3"/>
  <c r="P32" i="3"/>
  <c r="J18" i="6"/>
  <c r="L17" i="6"/>
  <c r="I26" i="6"/>
  <c r="L49" i="6"/>
  <c r="G50" i="3"/>
  <c r="J51" i="6"/>
  <c r="P49" i="3"/>
  <c r="O49" i="3"/>
  <c r="L51" i="6" s="1"/>
  <c r="G12" i="3"/>
  <c r="L2" i="6"/>
  <c r="L52" i="6"/>
  <c r="G52" i="3"/>
  <c r="P19" i="3"/>
  <c r="M16" i="6" s="1"/>
  <c r="J16" i="6"/>
  <c r="O19" i="3"/>
  <c r="L16" i="6" s="1"/>
  <c r="L54" i="6"/>
  <c r="G26" i="3"/>
  <c r="J24" i="6" s="1"/>
  <c r="L23" i="6"/>
  <c r="K26" i="6"/>
  <c r="P54" i="3"/>
  <c r="M63" i="3"/>
  <c r="P63" i="3" s="1"/>
  <c r="O54" i="3"/>
  <c r="O63" i="3" s="1"/>
  <c r="H45" i="6"/>
  <c r="E29" i="1"/>
  <c r="L72" i="6"/>
  <c r="H17" i="2"/>
  <c r="R16" i="2"/>
  <c r="Q16" i="2"/>
  <c r="J74" i="6"/>
  <c r="G11" i="1"/>
  <c r="J26" i="6" l="1"/>
  <c r="P53" i="3"/>
  <c r="J9" i="1"/>
  <c r="J55" i="6"/>
  <c r="G28" i="1"/>
  <c r="J28" i="1" s="1"/>
  <c r="F34" i="1"/>
  <c r="I22" i="3"/>
  <c r="L18" i="6" s="1"/>
  <c r="U7" i="5"/>
  <c r="V7" i="5"/>
  <c r="J22" i="3"/>
  <c r="M18" i="6" s="1"/>
  <c r="J30" i="1"/>
  <c r="J45" i="6"/>
  <c r="P46" i="3"/>
  <c r="M45" i="6" s="1"/>
  <c r="I11" i="1"/>
  <c r="J11" i="1"/>
  <c r="J12" i="1"/>
  <c r="O46" i="3"/>
  <c r="L45" i="6" s="1"/>
  <c r="L76" i="6"/>
  <c r="M76" i="6"/>
  <c r="O27" i="3"/>
  <c r="L26" i="6" s="1"/>
  <c r="I45" i="6"/>
  <c r="G29" i="1"/>
  <c r="M51" i="6"/>
  <c r="J53" i="6"/>
  <c r="J52" i="3"/>
  <c r="M53" i="6" s="1"/>
  <c r="I52" i="3"/>
  <c r="L53" i="6" s="1"/>
  <c r="J3" i="6"/>
  <c r="M3" i="6"/>
  <c r="I12" i="3"/>
  <c r="L3" i="6" s="1"/>
  <c r="I50" i="3"/>
  <c r="L50" i="6" s="1"/>
  <c r="J50" i="6"/>
  <c r="J50" i="3"/>
  <c r="M50" i="6" s="1"/>
  <c r="J26" i="3"/>
  <c r="M24" i="6" s="1"/>
  <c r="M26" i="6"/>
  <c r="I26" i="3"/>
  <c r="L24" i="6" s="1"/>
  <c r="O53" i="3"/>
  <c r="L55" i="6" s="1"/>
  <c r="M65" i="6"/>
  <c r="J65" i="6"/>
  <c r="G31" i="1"/>
  <c r="L65" i="6"/>
  <c r="L74" i="6"/>
  <c r="K17" i="2"/>
  <c r="M73" i="6" s="1"/>
  <c r="J73" i="6"/>
  <c r="J17" i="2"/>
  <c r="L73" i="6" s="1"/>
  <c r="M74" i="6"/>
  <c r="I28" i="1" l="1"/>
  <c r="I31" i="1"/>
  <c r="J31" i="1"/>
  <c r="J29" i="1"/>
  <c r="I29" i="1"/>
  <c r="G34" i="1"/>
  <c r="M5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PEREZ SALGADO, NICOLAS RODRIGO</author>
  </authors>
  <commentList>
    <comment ref="B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N°3962-19</t>
        </r>
      </text>
    </comment>
    <comment ref="C1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ex. 3915-19</t>
        </r>
      </text>
    </comment>
    <comment ref="C2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4038-19</t>
        </r>
      </text>
    </comment>
    <comment ref="C2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ex. 3915-19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PEREZ SALGADO, NICOLAS RODRIGO</author>
  </authors>
  <commentList>
    <comment ref="B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N°3962-19</t>
        </r>
      </text>
    </comment>
    <comment ref="B1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ex. 3915-19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PEREZ SALGADO, NICOLAS RODRIGO</author>
  </authors>
  <commentList>
    <comment ref="B1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N°4012-19 LTP Clase A
Res N°4014-19 LTP Clase B</t>
        </r>
      </text>
    </comment>
    <comment ref="C1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417-20
Res 418-20
Res 419-20
Res 420-20
Res 421-20</t>
        </r>
      </text>
    </comment>
    <comment ref="C21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26-20 Rectifica Res 4014-19 incorpora tabla</t>
        </r>
      </text>
    </comment>
    <comment ref="C2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409-20
Res 410-20
Res 411-20
Res 412-20
Res 413-20
Res 414-20
Res 415-20
Res 416-20</t>
        </r>
      </text>
    </comment>
    <comment ref="B28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N°4012-19 LTP Clase A
Res N°4014-19 LTP Clase B</t>
        </r>
      </text>
    </comment>
    <comment ref="C32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625-20 otorga LTP B.
Res 626-20 otorga LTP B.
Res 627-20 otorga LTP B.
Res 628-20 otorga LTP B.
Res 629-20 otorga LTP B.
Res 630-20 otorga LTP B.
Res 631-20 otorga LTP B.
Res 632-20 otorga LTP B.
Res 633-20 otorga LTP B.
Res 634-20 otorga LTP B.
Res 635-20 otorga LTP B.
Res 636-20 otorga LTP B.
Res 637-20 otorga LTP B.</t>
        </r>
      </text>
    </comment>
    <comment ref="C45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625-20 Deja sin efecto res 91-17 que otorga LTP B.
Res 626-20 Deja sin efecto res 92-17 que otorga LTP B.
Res 627-20 Deja sin efecto res 93-17 que otorga LTP B.
Res 628-20 Deja sin efecto res 94-17 que otorga LTP B.
Res 629-20 Deja sin efecto res 95-17 que otorga LTP B.
Res 630-20 Deja sin efecto res 96-17 que otorga LTP B.
Res 631-20 Deja sin efecto res 97-17 que otorga LTP B.
Res 632-20 Deja sin efecto res 98-17 que otorga LTP B.
Res 633-20 Deja sin efecto res 99-17 que otorga LTP B.
Res 634-20 Deja sin efecto res 100-17 que otorga LTP B.
Res 635-20 Deja sin efecto res 101-17 que otorga LTP B.
Res 636-20 Deja sin efecto res 102-17 que otorga LTP B.
Res 637-20 Deja sin efecto res 103-17 que otorga LTP B.</t>
        </r>
      </text>
    </comment>
    <comment ref="B47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N°4012-19 LTP Clase A</t>
        </r>
      </text>
    </comment>
    <comment ref="B54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N°4012-19 LTP Clase A</t>
        </r>
      </text>
    </comment>
  </commentList>
</comments>
</file>

<file path=xl/sharedStrings.xml><?xml version="1.0" encoding="utf-8"?>
<sst xmlns="http://schemas.openxmlformats.org/spreadsheetml/2006/main" count="958" uniqueCount="180">
  <si>
    <t>Información preliminar</t>
  </si>
  <si>
    <t>Fracción</t>
  </si>
  <si>
    <t>Unidad Pesquería</t>
  </si>
  <si>
    <t>Cuota Asignada</t>
  </si>
  <si>
    <t>Movimientos</t>
  </si>
  <si>
    <t>Cuota Efectiva</t>
  </si>
  <si>
    <t>Captura</t>
  </si>
  <si>
    <t>Saldo</t>
  </si>
  <si>
    <t>Consumo</t>
  </si>
  <si>
    <t>XV - I</t>
  </si>
  <si>
    <t>II</t>
  </si>
  <si>
    <t>III</t>
  </si>
  <si>
    <t>IV</t>
  </si>
  <si>
    <t>FA XV - II</t>
  </si>
  <si>
    <t>FA III - IV</t>
  </si>
  <si>
    <t>XV - II</t>
  </si>
  <si>
    <t>III - IV</t>
  </si>
  <si>
    <t>Unidad de pesquería</t>
  </si>
  <si>
    <t>Anchoveta XV - II</t>
  </si>
  <si>
    <t>Ene - Jun</t>
  </si>
  <si>
    <t>Jul - Dic</t>
  </si>
  <si>
    <t>Sardina española XV - II</t>
  </si>
  <si>
    <t>Período</t>
  </si>
  <si>
    <t>Anchoveta III - IV</t>
  </si>
  <si>
    <t>Región</t>
  </si>
  <si>
    <t xml:space="preserve"> Arica y Parinacota - Tarapacá</t>
  </si>
  <si>
    <t xml:space="preserve"> Antofagasta</t>
  </si>
  <si>
    <t xml:space="preserve"> Atacama</t>
  </si>
  <si>
    <t>Asignatario</t>
  </si>
  <si>
    <t>Coquimbo</t>
  </si>
  <si>
    <t>CERCOPESCA</t>
  </si>
  <si>
    <t>Sardina española III - IV</t>
  </si>
  <si>
    <t>Atacama</t>
  </si>
  <si>
    <t>Cuota asignada</t>
  </si>
  <si>
    <t>Cuota efectiva</t>
  </si>
  <si>
    <t>% Consumo</t>
  </si>
  <si>
    <t>Cierre</t>
  </si>
  <si>
    <t>Periodo</t>
  </si>
  <si>
    <t>% Consumido</t>
  </si>
  <si>
    <t>ARICA SEAFOOD PRODUCER S.A.</t>
  </si>
  <si>
    <t>CAMANCHACA S.A</t>
  </si>
  <si>
    <t>SERVICIOS INDUSTRIALES LO ROJAS LTDA</t>
  </si>
  <si>
    <t>CORPESCA S.A</t>
  </si>
  <si>
    <t xml:space="preserve">ALIMENTOS MARINOS S.A.         </t>
  </si>
  <si>
    <t xml:space="preserve">BAHIA CALDERA S.A. PESQ.          </t>
  </si>
  <si>
    <t xml:space="preserve">BLUMAR S.A.                                              </t>
  </si>
  <si>
    <t xml:space="preserve">CAMANCHACA S.A. CIA. PESQ    </t>
  </si>
  <si>
    <t>PESQUERA LITORAL SpA</t>
  </si>
  <si>
    <t xml:space="preserve">ORIZON S.A                                                   </t>
  </si>
  <si>
    <t xml:space="preserve">CAMANCHACA PESCA SUR S.A.  </t>
  </si>
  <si>
    <t xml:space="preserve">LANDES S.A. SOC. PESQ.                           </t>
  </si>
  <si>
    <t>SOCIEDAD COMERCIAL DE SERVICIOS Y TRANSPORTES STA LIMITADA</t>
  </si>
  <si>
    <t>FOODCORP CHILE S.A.</t>
  </si>
  <si>
    <t xml:space="preserve">CARLOS SAEZ ALARCON </t>
  </si>
  <si>
    <t>ALIMENTOS DEL SUR SPA.</t>
  </si>
  <si>
    <t>ATILIO REYES BARRERA</t>
  </si>
  <si>
    <t>PEDRO IRIGOYEN LTOA. INV</t>
  </si>
  <si>
    <t>ABASTECIMIENTO DEL PACIFICO S.A.</t>
  </si>
  <si>
    <t>ERIC ARACENA REYNUABA</t>
  </si>
  <si>
    <t>GIULLIANO REYNUABA SALAS</t>
  </si>
  <si>
    <t>Ene - Dic</t>
  </si>
  <si>
    <t xml:space="preserve">ARICA SEAFOOD PRODUCER S.A.  </t>
  </si>
  <si>
    <t xml:space="preserve">CAMANCHACA S.A. CIA. PESQ      </t>
  </si>
  <si>
    <t xml:space="preserve">CORPESCA S.A.                             </t>
  </si>
  <si>
    <t xml:space="preserve">ALIMENTOS MARINOS S.A.          </t>
  </si>
  <si>
    <t>Ene-Dic</t>
  </si>
  <si>
    <t>BLUMAR S.A.</t>
  </si>
  <si>
    <t>CAMANCHACA S.A. CIA. PESQ.</t>
  </si>
  <si>
    <t>ORIZON S.A.</t>
  </si>
  <si>
    <t>CAMANCHACA PESCA SUR S.A.</t>
  </si>
  <si>
    <t>LANDES S.A. SOC.PESQ.</t>
  </si>
  <si>
    <t>Titular de cuota LTP</t>
  </si>
  <si>
    <t>Traspaso, Cesión, arriendos, etc</t>
  </si>
  <si>
    <t>Captura (t)</t>
  </si>
  <si>
    <t>Saldo (t)</t>
  </si>
  <si>
    <t>RESUMEN ANUAL</t>
  </si>
  <si>
    <t>-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</si>
  <si>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</si>
  <si>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</si>
  <si>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</si>
  <si>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</si>
  <si>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</si>
  <si>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</si>
  <si>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</si>
  <si>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</si>
  <si>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</si>
  <si>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</si>
  <si>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</si>
  <si>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saldo_porcentaje</t>
  </si>
  <si>
    <t>cierre</t>
  </si>
  <si>
    <t>Preliminar</t>
  </si>
  <si>
    <t>año</t>
  </si>
  <si>
    <t>comentario</t>
  </si>
  <si>
    <t>ANCHOVETA</t>
  </si>
  <si>
    <t>XV-II</t>
  </si>
  <si>
    <t>TITULAR LTP</t>
  </si>
  <si>
    <t>ENERO</t>
  </si>
  <si>
    <t>JUNIO</t>
  </si>
  <si>
    <t>JULIO</t>
  </si>
  <si>
    <t>DICIEMBRE</t>
  </si>
  <si>
    <t xml:space="preserve">ENERO </t>
  </si>
  <si>
    <t>III-IV</t>
  </si>
  <si>
    <t>TOTAL ASIGNATARIO LTP</t>
  </si>
  <si>
    <t>SARDINA ESPAÑOLA</t>
  </si>
  <si>
    <t>XV-I</t>
  </si>
  <si>
    <t>MACROZONA</t>
  </si>
  <si>
    <t>MACROZONA XV - I</t>
  </si>
  <si>
    <t>REGIÓN II</t>
  </si>
  <si>
    <t>REGIÓN III</t>
  </si>
  <si>
    <t>RESIDUAL</t>
  </si>
  <si>
    <t>REGIÓN IV</t>
  </si>
  <si>
    <t>REGION</t>
  </si>
  <si>
    <t>ORGANIZACIÓN</t>
  </si>
  <si>
    <t>TOTAL ASIGNATARIO MACROZONA</t>
  </si>
  <si>
    <t>TOTAL ASIGNATARIO REGION</t>
  </si>
  <si>
    <t>INDUSTRIAL</t>
  </si>
  <si>
    <t xml:space="preserve">Anchoveta </t>
  </si>
  <si>
    <t>Anchoveta</t>
  </si>
  <si>
    <t>Sardina española</t>
  </si>
  <si>
    <t>Recurso</t>
  </si>
  <si>
    <t>Investigación</t>
  </si>
  <si>
    <t>Artesanal</t>
  </si>
  <si>
    <t>Imprevisto</t>
  </si>
  <si>
    <t>Anchoveta y Sardina española</t>
  </si>
  <si>
    <t xml:space="preserve">Sardina española </t>
  </si>
  <si>
    <t>Tipo</t>
  </si>
  <si>
    <t>Fecha</t>
  </si>
  <si>
    <t>N° Resolución</t>
  </si>
  <si>
    <t>Embarcación</t>
  </si>
  <si>
    <t>RPA</t>
  </si>
  <si>
    <t>CUOTA</t>
  </si>
  <si>
    <t>CAPTURA</t>
  </si>
  <si>
    <t>SALDO</t>
  </si>
  <si>
    <t>% CONSUMO</t>
  </si>
  <si>
    <t>PROCESOS TECNOLOGICOS DEL BIO BIO SpA</t>
  </si>
  <si>
    <t>OPERACIÓN</t>
  </si>
  <si>
    <t>CUOTA (TONELADAS)</t>
  </si>
  <si>
    <t>XV</t>
  </si>
  <si>
    <t>Cesiones individuales</t>
  </si>
  <si>
    <t>XV - IV</t>
  </si>
  <si>
    <t>S. española</t>
  </si>
  <si>
    <t>TOTAL</t>
  </si>
  <si>
    <t>Fraccionamiento</t>
  </si>
  <si>
    <t>Fauna acompañante</t>
  </si>
  <si>
    <t>Saldo (ton)</t>
  </si>
  <si>
    <t>Captura (ton)</t>
  </si>
  <si>
    <t>I</t>
  </si>
  <si>
    <t>Total P. investigación</t>
  </si>
  <si>
    <t>RESUMEN CONSUMO ANUAL ANCHOVETA Y SARDINA ESPAÑOLA XV-IV AÑO 2020. Dato en toneladas</t>
  </si>
  <si>
    <t>CONTROL CUOTA ANCHOVETA  XV - IV AÑO 2020</t>
  </si>
  <si>
    <t>CONTROL CUOTA SARDINA ESPAÑOLA ARTESANAL XV - IV AÑO 2020</t>
  </si>
  <si>
    <t>CONTROL CUOTA ANCHOVETA Y SARDINA ESPAÑOLA INDUSTRIAL XV - IV AÑO 2020</t>
  </si>
  <si>
    <t>ANCHOVETA 2020</t>
  </si>
  <si>
    <t>SARDINA ESPAÑOLA 2020</t>
  </si>
  <si>
    <t>TOTAL CESIONES 2020</t>
  </si>
  <si>
    <t>Tarapacá</t>
  </si>
  <si>
    <t xml:space="preserve"> Arica y Parinacota</t>
  </si>
  <si>
    <t>REGION I</t>
  </si>
  <si>
    <t>DEL NORTE SPA. SIND. PESQ.</t>
  </si>
  <si>
    <t>ESPACIO PESQUERO SPA.</t>
  </si>
  <si>
    <t>Consumo Humano</t>
  </si>
  <si>
    <t>CONTROL DE CUOTAS CONSUMO HUMANO AÑO 2020</t>
  </si>
  <si>
    <t xml:space="preserve">Adjudicatario </t>
  </si>
  <si>
    <t>Toneladas Asignadas</t>
  </si>
  <si>
    <t xml:space="preserve">Toneladas Capturadas </t>
  </si>
  <si>
    <t xml:space="preserve">Saldo por especie </t>
  </si>
  <si>
    <t>CONTROL DE CUOTAS PESCA DE INVESTIGACIÓN AÑO 2020</t>
  </si>
  <si>
    <t>Resolución</t>
  </si>
  <si>
    <t>Cuota</t>
  </si>
  <si>
    <t>Don Pancracio</t>
  </si>
  <si>
    <t>Doña Bernarda</t>
  </si>
  <si>
    <t>PESCA LITORAL E.I.R.L</t>
  </si>
  <si>
    <t>captura</t>
  </si>
  <si>
    <t>ASOARPES</t>
  </si>
  <si>
    <t>Cuota residual</t>
  </si>
  <si>
    <t>Mar - Jun</t>
  </si>
  <si>
    <t>Ene</t>
  </si>
  <si>
    <t>Arica y Parinacota</t>
  </si>
  <si>
    <t>DON PANCRACIO</t>
  </si>
  <si>
    <t>Región Captura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</si>
</sst>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[$-F800]dddd\,\ mmmm\ dd\,\ yyyy"/>
    <numFmt numFmtId="168" formatCode="yyyy/mm/dd;@"/>
    <numFmt numFmtId="169" formatCode="#\ ##0.000"/>
    <numFmt numFmtId="170" formatCode="#\ ##0.00"/>
    <numFmt numFmtId="171" formatCode="##\ ##0.000"/>
    <numFmt numFmtId="172" formatCode="0.000%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 tint="0.59999389629810485"/>
        <bgColor indexed="64"/>
      </patternFill>
    </fill>
    <fill>
      <gradientFill degree="90">
        <stop position="0">
          <color theme="9"/>
        </stop>
        <stop position="0.5">
          <color theme="9" tint="0.40000610370189521"/>
        </stop>
        <stop position="1">
          <color theme="9"/>
        </stop>
      </gradientFill>
    </fill>
    <fill>
      <patternFill patternType="solid">
        <fgColor theme="8"/>
        <bgColor indexed="64"/>
      </patternFill>
    </fill>
    <fill>
      <gradientFill degree="90">
        <stop position="0">
          <color theme="9" tint="0.59999389629810485"/>
        </stop>
        <stop position="0.5">
          <color theme="9"/>
        </stop>
        <stop position="1">
          <color theme="9" tint="0.59999389629810485"/>
        </stop>
      </gradient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5" tint="0.80001220740379042"/>
        </stop>
        <stop position="0.5">
          <color theme="5" tint="0.40000610370189521"/>
        </stop>
        <stop position="1">
          <color theme="5" tint="0.80001220740379042"/>
        </stop>
      </gradient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339">
    <xf numFmtId="0" fontId="0" fillId="0" borderId="0"/>
    <xf numFmtId="9" fontId="1" fillId="0" borderId="0" applyFont="0" applyFill="0" applyBorder="0" applyAlignment="0" applyProtection="0"/>
    <xf numFmtId="9" fontId="1" fillId="31" borderId="0" applyFont="0" applyBorder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1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5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4" fillId="0" borderId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8" fillId="0" borderId="0" applyFont="0" applyFill="0" applyBorder="0" applyAlignment="0" applyProtection="0"/>
  </cellStyleXfs>
  <cellXfs count="329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Fill="1" applyBorder="1"/>
    <xf numFmtId="0" fontId="0" fillId="0" borderId="4" xfId="0" applyFont="1" applyFill="1" applyBorder="1"/>
    <xf numFmtId="0" fontId="0" fillId="0" borderId="3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Border="1"/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32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169" fontId="0" fillId="0" borderId="1" xfId="0" applyNumberFormat="1" applyFont="1" applyFill="1" applyBorder="1"/>
    <xf numFmtId="9" fontId="0" fillId="0" borderId="0" xfId="1" applyFont="1"/>
    <xf numFmtId="166" fontId="0" fillId="0" borderId="1" xfId="0" applyNumberFormat="1" applyFont="1" applyFill="1" applyBorder="1"/>
    <xf numFmtId="169" fontId="0" fillId="0" borderId="4" xfId="0" applyNumberFormat="1" applyFont="1" applyFill="1" applyBorder="1"/>
    <xf numFmtId="0" fontId="0" fillId="0" borderId="8" xfId="0" applyFont="1" applyFill="1" applyBorder="1"/>
    <xf numFmtId="166" fontId="0" fillId="0" borderId="8" xfId="0" applyNumberFormat="1" applyFont="1" applyFill="1" applyBorder="1"/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169" fontId="0" fillId="0" borderId="3" xfId="0" applyNumberFormat="1" applyFont="1" applyFill="1" applyBorder="1"/>
    <xf numFmtId="0" fontId="0" fillId="0" borderId="5" xfId="0" applyFont="1" applyFill="1" applyBorder="1"/>
    <xf numFmtId="0" fontId="0" fillId="0" borderId="3" xfId="0" applyFont="1" applyFill="1" applyBorder="1" applyAlignment="1">
      <alignment horizontal="left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Border="1"/>
    <xf numFmtId="0" fontId="0" fillId="0" borderId="5" xfId="0" applyFont="1" applyBorder="1"/>
    <xf numFmtId="0" fontId="0" fillId="0" borderId="8" xfId="0" applyFont="1" applyBorder="1"/>
    <xf numFmtId="169" fontId="0" fillId="0" borderId="5" xfId="0" applyNumberFormat="1" applyFont="1" applyFill="1" applyBorder="1"/>
    <xf numFmtId="0" fontId="32" fillId="34" borderId="5" xfId="0" applyFont="1" applyFill="1" applyBorder="1" applyAlignment="1">
      <alignment horizontal="left" vertical="center" wrapText="1"/>
    </xf>
    <xf numFmtId="0" fontId="32" fillId="34" borderId="1" xfId="0" applyFont="1" applyFill="1" applyBorder="1" applyAlignment="1">
      <alignment horizontal="left" vertical="center" wrapText="1"/>
    </xf>
    <xf numFmtId="0" fontId="32" fillId="34" borderId="8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/>
    </xf>
    <xf numFmtId="169" fontId="0" fillId="2" borderId="5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left"/>
    </xf>
    <xf numFmtId="169" fontId="0" fillId="2" borderId="1" xfId="0" applyNumberFormat="1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/>
    </xf>
    <xf numFmtId="169" fontId="0" fillId="2" borderId="8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169" fontId="0" fillId="0" borderId="5" xfId="0" applyNumberFormat="1" applyFont="1" applyBorder="1"/>
    <xf numFmtId="166" fontId="0" fillId="0" borderId="1" xfId="0" applyNumberFormat="1" applyFont="1" applyBorder="1"/>
    <xf numFmtId="169" fontId="0" fillId="0" borderId="1" xfId="0" applyNumberFormat="1" applyFont="1" applyBorder="1"/>
    <xf numFmtId="166" fontId="0" fillId="0" borderId="8" xfId="0" applyNumberFormat="1" applyFont="1" applyBorder="1"/>
    <xf numFmtId="169" fontId="0" fillId="0" borderId="8" xfId="0" applyNumberFormat="1" applyFont="1" applyBorder="1"/>
    <xf numFmtId="169" fontId="0" fillId="0" borderId="8" xfId="0" applyNumberFormat="1" applyFont="1" applyFill="1" applyBorder="1"/>
    <xf numFmtId="9" fontId="0" fillId="0" borderId="16" xfId="1" applyFont="1" applyFill="1" applyBorder="1" applyAlignment="1">
      <alignment horizontal="center"/>
    </xf>
    <xf numFmtId="9" fontId="0" fillId="0" borderId="17" xfId="1" applyFont="1" applyFill="1" applyBorder="1" applyAlignment="1">
      <alignment horizontal="center"/>
    </xf>
    <xf numFmtId="9" fontId="0" fillId="0" borderId="3" xfId="1" applyFont="1" applyFill="1" applyBorder="1" applyAlignment="1">
      <alignment horizontal="center"/>
    </xf>
    <xf numFmtId="9" fontId="0" fillId="0" borderId="14" xfId="1" applyFont="1" applyFill="1" applyBorder="1" applyAlignment="1">
      <alignment horizontal="center"/>
    </xf>
    <xf numFmtId="9" fontId="0" fillId="0" borderId="14" xfId="1" applyFont="1" applyBorder="1" applyAlignment="1">
      <alignment horizontal="center"/>
    </xf>
    <xf numFmtId="9" fontId="0" fillId="0" borderId="16" xfId="1" applyFont="1" applyBorder="1" applyAlignment="1">
      <alignment horizontal="center"/>
    </xf>
    <xf numFmtId="9" fontId="0" fillId="0" borderId="17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169" fontId="0" fillId="0" borderId="7" xfId="0" applyNumberForma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169" fontId="0" fillId="0" borderId="1" xfId="0" applyNumberFormat="1" applyBorder="1"/>
    <xf numFmtId="169" fontId="0" fillId="0" borderId="13" xfId="0" applyNumberFormat="1" applyBorder="1"/>
    <xf numFmtId="169" fontId="0" fillId="0" borderId="5" xfId="0" applyNumberFormat="1" applyBorder="1"/>
    <xf numFmtId="169" fontId="0" fillId="0" borderId="23" xfId="0" applyNumberFormat="1" applyBorder="1"/>
    <xf numFmtId="169" fontId="0" fillId="0" borderId="10" xfId="0" applyNumberFormat="1" applyBorder="1"/>
    <xf numFmtId="169" fontId="0" fillId="0" borderId="8" xfId="0" applyNumberFormat="1" applyBorder="1"/>
    <xf numFmtId="9" fontId="0" fillId="0" borderId="11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32" xfId="1" applyFont="1" applyBorder="1" applyAlignment="1">
      <alignment horizontal="center"/>
    </xf>
    <xf numFmtId="169" fontId="0" fillId="0" borderId="13" xfId="0" applyNumberForma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169" fontId="0" fillId="0" borderId="12" xfId="0" applyNumberFormat="1" applyBorder="1" applyAlignment="1">
      <alignment vertical="center"/>
    </xf>
    <xf numFmtId="9" fontId="0" fillId="0" borderId="34" xfId="1" applyFont="1" applyBorder="1" applyAlignment="1">
      <alignment horizontal="center" vertical="center"/>
    </xf>
    <xf numFmtId="169" fontId="0" fillId="0" borderId="23" xfId="0" applyNumberFormat="1" applyBorder="1" applyAlignment="1">
      <alignment vertical="center"/>
    </xf>
    <xf numFmtId="9" fontId="0" fillId="0" borderId="35" xfId="1" applyFont="1" applyBorder="1" applyAlignment="1">
      <alignment horizontal="center" vertical="center"/>
    </xf>
    <xf numFmtId="169" fontId="0" fillId="0" borderId="10" xfId="0" applyNumberFormat="1" applyBorder="1" applyAlignment="1">
      <alignment vertical="center"/>
    </xf>
    <xf numFmtId="0" fontId="0" fillId="0" borderId="21" xfId="0" applyNumberFormat="1" applyBorder="1" applyAlignment="1">
      <alignment horizontal="center" vertical="center"/>
    </xf>
    <xf numFmtId="169" fontId="0" fillId="0" borderId="21" xfId="0" applyNumberFormat="1" applyBorder="1" applyAlignment="1">
      <alignment vertical="center"/>
    </xf>
    <xf numFmtId="9" fontId="0" fillId="0" borderId="36" xfId="1" applyFont="1" applyBorder="1" applyAlignment="1">
      <alignment horizontal="center" vertical="center"/>
    </xf>
    <xf numFmtId="9" fontId="0" fillId="0" borderId="6" xfId="1" applyFont="1" applyFill="1" applyBorder="1" applyAlignment="1">
      <alignment horizontal="center"/>
    </xf>
    <xf numFmtId="9" fontId="0" fillId="0" borderId="32" xfId="1" applyFont="1" applyFill="1" applyBorder="1" applyAlignment="1">
      <alignment horizontal="center"/>
    </xf>
    <xf numFmtId="9" fontId="0" fillId="0" borderId="9" xfId="1" applyFont="1" applyFill="1" applyBorder="1" applyAlignment="1">
      <alignment horizontal="center"/>
    </xf>
    <xf numFmtId="14" fontId="0" fillId="0" borderId="0" xfId="0" applyNumberFormat="1"/>
    <xf numFmtId="0" fontId="30" fillId="32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 vertical="center" wrapText="1"/>
    </xf>
    <xf numFmtId="0" fontId="0" fillId="0" borderId="0" xfId="0"/>
    <xf numFmtId="0" fontId="29" fillId="4" borderId="1" xfId="0" applyFont="1" applyFill="1" applyBorder="1" applyAlignment="1">
      <alignment horizontal="center" vertical="center"/>
    </xf>
    <xf numFmtId="0" fontId="29" fillId="4" borderId="1" xfId="0" applyNumberFormat="1" applyFont="1" applyFill="1" applyBorder="1" applyAlignment="1">
      <alignment horizontal="center" vertical="center"/>
    </xf>
    <xf numFmtId="9" fontId="29" fillId="4" borderId="1" xfId="1" applyFont="1" applyFill="1" applyBorder="1" applyAlignment="1">
      <alignment horizontal="center" vertical="center"/>
    </xf>
    <xf numFmtId="168" fontId="29" fillId="4" borderId="1" xfId="0" applyNumberFormat="1" applyFont="1" applyFill="1" applyBorder="1" applyAlignment="1">
      <alignment horizontal="center" vertical="center"/>
    </xf>
    <xf numFmtId="0" fontId="31" fillId="3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14" fontId="0" fillId="4" borderId="1" xfId="0" applyNumberFormat="1" applyFill="1" applyBorder="1" applyAlignment="1">
      <alignment horizontal="center" vertical="center"/>
    </xf>
    <xf numFmtId="170" fontId="0" fillId="0" borderId="3" xfId="0" applyNumberFormat="1" applyBorder="1"/>
    <xf numFmtId="170" fontId="0" fillId="0" borderId="1" xfId="0" applyNumberForma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170" fontId="0" fillId="0" borderId="3" xfId="0" applyNumberFormat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169" fontId="0" fillId="0" borderId="3" xfId="0" applyNumberFormat="1" applyBorder="1" applyAlignment="1">
      <alignment horizontal="center"/>
    </xf>
    <xf numFmtId="9" fontId="0" fillId="0" borderId="1" xfId="1" applyFont="1" applyBorder="1" applyAlignment="1">
      <alignment horizontal="center" vertical="center"/>
    </xf>
    <xf numFmtId="2" fontId="0" fillId="0" borderId="0" xfId="0" applyNumberFormat="1"/>
    <xf numFmtId="170" fontId="0" fillId="0" borderId="1" xfId="0" applyNumberFormat="1" applyFill="1" applyBorder="1" applyAlignment="1">
      <alignment horizontal="center" vertical="center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9" fontId="0" fillId="4" borderId="1" xfId="0" applyNumberFormat="1" applyFill="1" applyBorder="1" applyAlignment="1">
      <alignment horizontal="center" vertical="center"/>
    </xf>
    <xf numFmtId="169" fontId="0" fillId="3" borderId="1" xfId="0" applyNumberFormat="1" applyFill="1" applyBorder="1" applyAlignment="1">
      <alignment horizontal="center" vertical="center"/>
    </xf>
    <xf numFmtId="170" fontId="0" fillId="0" borderId="3" xfId="0" applyNumberFormat="1" applyFill="1" applyBorder="1" applyAlignment="1">
      <alignment horizontal="center" vertical="center"/>
    </xf>
    <xf numFmtId="169" fontId="0" fillId="0" borderId="3" xfId="0" applyNumberFormat="1" applyFill="1" applyBorder="1" applyAlignment="1">
      <alignment horizontal="center"/>
    </xf>
    <xf numFmtId="169" fontId="0" fillId="0" borderId="3" xfId="0" applyNumberFormat="1" applyFill="1" applyBorder="1"/>
    <xf numFmtId="169" fontId="0" fillId="4" borderId="1" xfId="0" applyNumberFormat="1" applyFill="1" applyBorder="1" applyAlignment="1">
      <alignment horizontal="right" vertical="center"/>
    </xf>
    <xf numFmtId="169" fontId="2" fillId="4" borderId="1" xfId="0" applyNumberFormat="1" applyFont="1" applyFill="1" applyBorder="1" applyAlignment="1">
      <alignment horizontal="center" vertical="center"/>
    </xf>
    <xf numFmtId="0" fontId="32" fillId="34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9" fontId="0" fillId="3" borderId="4" xfId="0" applyNumberFormat="1" applyFill="1" applyBorder="1" applyAlignment="1">
      <alignment horizontal="center" vertical="center"/>
    </xf>
    <xf numFmtId="9" fontId="0" fillId="3" borderId="4" xfId="1" applyFont="1" applyFill="1" applyBorder="1" applyAlignment="1">
      <alignment horizontal="center" vertical="center"/>
    </xf>
    <xf numFmtId="0" fontId="30" fillId="32" borderId="1" xfId="0" applyFont="1" applyFill="1" applyBorder="1" applyAlignment="1">
      <alignment horizontal="center" vertical="center" wrapText="1"/>
    </xf>
    <xf numFmtId="0" fontId="0" fillId="32" borderId="1" xfId="0" applyFill="1" applyBorder="1" applyAlignment="1">
      <alignment horizontal="center" vertical="center"/>
    </xf>
    <xf numFmtId="0" fontId="0" fillId="32" borderId="1" xfId="0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2" borderId="4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14" fontId="29" fillId="4" borderId="1" xfId="1" applyNumberFormat="1" applyFont="1" applyFill="1" applyBorder="1" applyAlignment="1">
      <alignment horizontal="center" vertical="center"/>
    </xf>
    <xf numFmtId="14" fontId="0" fillId="0" borderId="0" xfId="1" applyNumberFormat="1" applyFont="1" applyAlignment="1">
      <alignment horizontal="center"/>
    </xf>
    <xf numFmtId="9" fontId="0" fillId="0" borderId="1" xfId="1" applyFon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/>
    </xf>
    <xf numFmtId="0" fontId="2" fillId="39" borderId="5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0" fontId="2" fillId="37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72" fontId="0" fillId="0" borderId="3" xfId="1" applyNumberFormat="1" applyFont="1" applyBorder="1" applyAlignment="1">
      <alignment horizontal="center" vertical="center"/>
    </xf>
    <xf numFmtId="172" fontId="0" fillId="3" borderId="1" xfId="1" applyNumberFormat="1" applyFont="1" applyFill="1" applyBorder="1" applyAlignment="1">
      <alignment horizontal="center" vertical="center"/>
    </xf>
    <xf numFmtId="170" fontId="0" fillId="0" borderId="0" xfId="0" applyNumberFormat="1"/>
    <xf numFmtId="172" fontId="0" fillId="4" borderId="1" xfId="1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/>
    <xf numFmtId="166" fontId="0" fillId="0" borderId="5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6" borderId="3" xfId="0" applyFont="1" applyFill="1" applyBorder="1" applyAlignment="1">
      <alignment horizontal="center" vertical="center"/>
    </xf>
    <xf numFmtId="0" fontId="2" fillId="39" borderId="3" xfId="0" applyFon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14" fontId="0" fillId="0" borderId="0" xfId="0" applyNumberFormat="1" applyFont="1" applyFill="1" applyBorder="1"/>
    <xf numFmtId="0" fontId="0" fillId="0" borderId="0" xfId="0" applyFon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9" fontId="0" fillId="0" borderId="0" xfId="1" applyFont="1" applyFill="1" applyBorder="1" applyAlignment="1">
      <alignment horizontal="center" vertical="center"/>
    </xf>
    <xf numFmtId="172" fontId="0" fillId="0" borderId="0" xfId="1" applyNumberFormat="1" applyFont="1" applyFill="1" applyBorder="1" applyAlignment="1">
      <alignment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5" xfId="0" applyFont="1" applyFill="1" applyBorder="1" applyAlignment="1">
      <alignment horizontal="center" vertical="center"/>
    </xf>
    <xf numFmtId="0" fontId="2" fillId="36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6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/>
    <xf numFmtId="0" fontId="2" fillId="40" borderId="15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 wrapText="1"/>
    </xf>
    <xf numFmtId="0" fontId="2" fillId="40" borderId="20" xfId="0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 wrapText="1"/>
    </xf>
    <xf numFmtId="0" fontId="30" fillId="36" borderId="5" xfId="0" applyFont="1" applyFill="1" applyBorder="1" applyAlignment="1">
      <alignment horizontal="left" vertical="center"/>
    </xf>
    <xf numFmtId="0" fontId="30" fillId="36" borderId="1" xfId="0" applyFont="1" applyFill="1" applyBorder="1" applyAlignment="1">
      <alignment horizontal="left" vertical="center" wrapText="1"/>
    </xf>
    <xf numFmtId="0" fontId="30" fillId="36" borderId="1" xfId="0" applyFont="1" applyFill="1" applyBorder="1" applyAlignment="1">
      <alignment horizontal="left" vertical="center"/>
    </xf>
    <xf numFmtId="0" fontId="30" fillId="36" borderId="2" xfId="0" applyFont="1" applyFill="1" applyBorder="1" applyAlignment="1">
      <alignment horizontal="left" vertical="center" wrapText="1"/>
    </xf>
    <xf numFmtId="0" fontId="30" fillId="36" borderId="8" xfId="0" applyFont="1" applyFill="1" applyBorder="1" applyAlignment="1">
      <alignment horizontal="left" vertical="center" wrapText="1"/>
    </xf>
    <xf numFmtId="0" fontId="0" fillId="37" borderId="4" xfId="0" applyFont="1" applyFill="1" applyBorder="1" applyAlignment="1">
      <alignment horizontal="left"/>
    </xf>
    <xf numFmtId="169" fontId="0" fillId="37" borderId="4" xfId="0" applyNumberFormat="1" applyFont="1" applyFill="1" applyBorder="1" applyAlignment="1">
      <alignment horizontal="right" vertical="center"/>
    </xf>
    <xf numFmtId="0" fontId="0" fillId="37" borderId="1" xfId="0" applyFont="1" applyFill="1" applyBorder="1" applyAlignment="1">
      <alignment horizontal="left"/>
    </xf>
    <xf numFmtId="169" fontId="0" fillId="37" borderId="1" xfId="0" applyNumberFormat="1" applyFont="1" applyFill="1" applyBorder="1" applyAlignment="1">
      <alignment horizontal="right" vertical="center"/>
    </xf>
    <xf numFmtId="0" fontId="0" fillId="37" borderId="8" xfId="0" applyFont="1" applyFill="1" applyBorder="1" applyAlignment="1">
      <alignment horizontal="left"/>
    </xf>
    <xf numFmtId="169" fontId="0" fillId="37" borderId="8" xfId="0" applyNumberFormat="1" applyFont="1" applyFill="1" applyBorder="1" applyAlignment="1">
      <alignment horizontal="right" vertical="center"/>
    </xf>
    <xf numFmtId="0" fontId="0" fillId="37" borderId="5" xfId="0" applyFont="1" applyFill="1" applyBorder="1" applyAlignment="1">
      <alignment horizontal="left"/>
    </xf>
    <xf numFmtId="169" fontId="0" fillId="37" borderId="5" xfId="0" applyNumberFormat="1" applyFont="1" applyFill="1" applyBorder="1" applyAlignment="1">
      <alignment horizontal="right" vertical="center"/>
    </xf>
    <xf numFmtId="169" fontId="0" fillId="37" borderId="1" xfId="0" applyNumberFormat="1" applyFill="1" applyBorder="1" applyAlignment="1">
      <alignment horizontal="right" vertical="center"/>
    </xf>
    <xf numFmtId="0" fontId="0" fillId="37" borderId="2" xfId="0" applyFont="1" applyFill="1" applyBorder="1" applyAlignment="1">
      <alignment horizontal="left"/>
    </xf>
    <xf numFmtId="169" fontId="0" fillId="37" borderId="2" xfId="0" applyNumberFormat="1" applyFont="1" applyFill="1" applyBorder="1" applyAlignment="1">
      <alignment horizontal="right" vertical="center"/>
    </xf>
    <xf numFmtId="0" fontId="0" fillId="37" borderId="8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41" borderId="1" xfId="0" applyFont="1" applyFill="1" applyBorder="1" applyAlignment="1">
      <alignment horizontal="center" vertical="center"/>
    </xf>
    <xf numFmtId="172" fontId="0" fillId="0" borderId="0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6" fontId="0" fillId="0" borderId="0" xfId="0" applyNumberFormat="1"/>
    <xf numFmtId="169" fontId="0" fillId="3" borderId="2" xfId="0" applyNumberFormat="1" applyFont="1" applyFill="1" applyBorder="1" applyAlignment="1">
      <alignment horizontal="center" vertical="center" wrapText="1"/>
    </xf>
    <xf numFmtId="169" fontId="0" fillId="3" borderId="2" xfId="0" applyNumberFormat="1" applyFont="1" applyFill="1" applyBorder="1" applyAlignment="1">
      <alignment horizontal="center" vertical="center"/>
    </xf>
    <xf numFmtId="166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42" borderId="0" xfId="0" applyFill="1"/>
    <xf numFmtId="0" fontId="2" fillId="8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41" borderId="1" xfId="0" applyFill="1" applyBorder="1"/>
    <xf numFmtId="169" fontId="0" fillId="41" borderId="1" xfId="0" applyNumberFormat="1" applyFill="1" applyBorder="1" applyAlignment="1">
      <alignment horizontal="right" vertical="center"/>
    </xf>
    <xf numFmtId="169" fontId="0" fillId="41" borderId="1" xfId="0" applyNumberFormat="1" applyFill="1" applyBorder="1" applyAlignment="1">
      <alignment horizontal="center" vertical="center"/>
    </xf>
    <xf numFmtId="9" fontId="0" fillId="41" borderId="1" xfId="1" applyFont="1" applyFill="1" applyBorder="1" applyAlignment="1">
      <alignment horizontal="center" vertical="center"/>
    </xf>
    <xf numFmtId="0" fontId="0" fillId="41" borderId="1" xfId="0" applyFill="1" applyBorder="1" applyAlignment="1">
      <alignment horizontal="center" vertical="center"/>
    </xf>
    <xf numFmtId="169" fontId="0" fillId="5" borderId="1" xfId="0" applyNumberFormat="1" applyFont="1" applyFill="1" applyBorder="1" applyAlignment="1">
      <alignment horizontal="center" vertical="center"/>
    </xf>
    <xf numFmtId="169" fontId="0" fillId="4" borderId="1" xfId="0" applyNumberFormat="1" applyFont="1" applyFill="1" applyBorder="1" applyAlignment="1">
      <alignment horizontal="center" vertical="center"/>
    </xf>
    <xf numFmtId="169" fontId="0" fillId="41" borderId="1" xfId="0" applyNumberFormat="1" applyFont="1" applyFill="1" applyBorder="1" applyAlignment="1">
      <alignment horizontal="center" vertical="center"/>
    </xf>
    <xf numFmtId="0" fontId="0" fillId="0" borderId="0" xfId="0" applyFont="1"/>
    <xf numFmtId="169" fontId="2" fillId="0" borderId="0" xfId="0" applyNumberFormat="1" applyFont="1"/>
    <xf numFmtId="0" fontId="2" fillId="0" borderId="43" xfId="0" applyFont="1" applyBorder="1"/>
    <xf numFmtId="0" fontId="2" fillId="5" borderId="1" xfId="0" applyFont="1" applyFill="1" applyBorder="1"/>
    <xf numFmtId="0" fontId="30" fillId="8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1" fillId="32" borderId="2" xfId="0" applyFont="1" applyFill="1" applyBorder="1" applyAlignment="1">
      <alignment horizontal="center" vertical="center" wrapText="1"/>
    </xf>
    <xf numFmtId="0" fontId="31" fillId="32" borderId="4" xfId="0" applyFont="1" applyFill="1" applyBorder="1" applyAlignment="1">
      <alignment horizontal="center" vertical="center" wrapText="1"/>
    </xf>
    <xf numFmtId="0" fontId="30" fillId="41" borderId="2" xfId="0" applyFont="1" applyFill="1" applyBorder="1" applyAlignment="1">
      <alignment horizontal="center" vertical="center" wrapText="1"/>
    </xf>
    <xf numFmtId="0" fontId="30" fillId="41" borderId="4" xfId="0" applyFont="1" applyFill="1" applyBorder="1" applyAlignment="1">
      <alignment horizontal="center" vertical="center" wrapText="1"/>
    </xf>
    <xf numFmtId="169" fontId="0" fillId="3" borderId="2" xfId="0" applyNumberFormat="1" applyFill="1" applyBorder="1" applyAlignment="1">
      <alignment horizontal="center" vertical="center"/>
    </xf>
    <xf numFmtId="169" fontId="0" fillId="3" borderId="4" xfId="0" applyNumberFormat="1" applyFill="1" applyBorder="1" applyAlignment="1">
      <alignment horizontal="center" vertical="center"/>
    </xf>
    <xf numFmtId="9" fontId="0" fillId="3" borderId="2" xfId="1" applyFont="1" applyFill="1" applyBorder="1" applyAlignment="1">
      <alignment horizontal="center" vertical="center"/>
    </xf>
    <xf numFmtId="9" fontId="0" fillId="3" borderId="4" xfId="1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41" borderId="2" xfId="0" applyFill="1" applyBorder="1" applyAlignment="1">
      <alignment horizontal="center" vertical="center" wrapText="1"/>
    </xf>
    <xf numFmtId="0" fontId="0" fillId="41" borderId="3" xfId="0" applyFill="1" applyBorder="1" applyAlignment="1">
      <alignment horizontal="center" vertical="center" wrapText="1"/>
    </xf>
    <xf numFmtId="0" fontId="0" fillId="41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32" borderId="1" xfId="0" applyFill="1" applyBorder="1" applyAlignment="1">
      <alignment horizontal="center" vertical="center"/>
    </xf>
    <xf numFmtId="0" fontId="0" fillId="32" borderId="1" xfId="0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0" fillId="32" borderId="1" xfId="0" applyFont="1" applyFill="1" applyBorder="1" applyAlignment="1">
      <alignment horizontal="center" vertical="center" wrapText="1"/>
    </xf>
    <xf numFmtId="0" fontId="0" fillId="32" borderId="2" xfId="0" applyFill="1" applyBorder="1" applyAlignment="1">
      <alignment horizontal="center" vertical="center"/>
    </xf>
    <xf numFmtId="0" fontId="0" fillId="32" borderId="4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6" xfId="1" applyFont="1" applyBorder="1" applyAlignment="1">
      <alignment horizontal="center" vertical="center"/>
    </xf>
    <xf numFmtId="9" fontId="0" fillId="0" borderId="17" xfId="1" applyFon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9" fontId="0" fillId="0" borderId="14" xfId="1" applyFont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 textRotation="90"/>
    </xf>
    <xf numFmtId="0" fontId="27" fillId="7" borderId="23" xfId="0" applyFont="1" applyFill="1" applyBorder="1" applyAlignment="1">
      <alignment horizontal="center" vertical="center" textRotation="90"/>
    </xf>
    <xf numFmtId="0" fontId="27" fillId="7" borderId="10" xfId="0" applyFont="1" applyFill="1" applyBorder="1" applyAlignment="1">
      <alignment horizontal="center" vertical="center" textRotation="90"/>
    </xf>
    <xf numFmtId="0" fontId="2" fillId="37" borderId="37" xfId="0" applyFont="1" applyFill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0" fontId="2" fillId="37" borderId="39" xfId="0" applyFont="1" applyFill="1" applyBorder="1" applyAlignment="1">
      <alignment horizontal="center"/>
    </xf>
    <xf numFmtId="171" fontId="0" fillId="0" borderId="13" xfId="0" applyNumberFormat="1" applyBorder="1" applyAlignment="1">
      <alignment horizontal="center" vertical="center"/>
    </xf>
    <xf numFmtId="171" fontId="0" fillId="0" borderId="23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 textRotation="90" wrapText="1"/>
    </xf>
    <xf numFmtId="0" fontId="3" fillId="40" borderId="23" xfId="0" applyFont="1" applyFill="1" applyBorder="1" applyAlignment="1">
      <alignment horizontal="center" vertical="center" textRotation="90" wrapText="1"/>
    </xf>
    <xf numFmtId="0" fontId="3" fillId="40" borderId="42" xfId="0" applyFont="1" applyFill="1" applyBorder="1" applyAlignment="1">
      <alignment horizontal="center" vertical="center" textRotation="90" wrapText="1"/>
    </xf>
    <xf numFmtId="0" fontId="3" fillId="40" borderId="10" xfId="0" applyFont="1" applyFill="1" applyBorder="1" applyAlignment="1">
      <alignment horizontal="center" vertical="center" textRotation="90" wrapText="1"/>
    </xf>
    <xf numFmtId="0" fontId="32" fillId="34" borderId="5" xfId="0" applyFont="1" applyFill="1" applyBorder="1" applyAlignment="1">
      <alignment horizontal="left" vertical="center" wrapText="1"/>
    </xf>
    <xf numFmtId="0" fontId="32" fillId="34" borderId="1" xfId="0" applyFont="1" applyFill="1" applyBorder="1" applyAlignment="1">
      <alignment horizontal="left" vertical="center" wrapText="1"/>
    </xf>
    <xf numFmtId="0" fontId="32" fillId="34" borderId="8" xfId="0" applyFont="1" applyFill="1" applyBorder="1" applyAlignment="1">
      <alignment horizontal="left" vertical="center" wrapText="1"/>
    </xf>
    <xf numFmtId="0" fontId="27" fillId="7" borderId="13" xfId="0" applyFont="1" applyFill="1" applyBorder="1" applyAlignment="1">
      <alignment horizontal="center" vertical="center" textRotation="90" wrapText="1"/>
    </xf>
    <xf numFmtId="0" fontId="27" fillId="7" borderId="23" xfId="0" applyFont="1" applyFill="1" applyBorder="1" applyAlignment="1">
      <alignment horizontal="center" vertical="center" textRotation="90" wrapText="1"/>
    </xf>
    <xf numFmtId="0" fontId="27" fillId="7" borderId="10" xfId="0" applyFont="1" applyFill="1" applyBorder="1" applyAlignment="1">
      <alignment horizontal="center" vertical="center" textRotation="90" wrapText="1"/>
    </xf>
    <xf numFmtId="0" fontId="3" fillId="40" borderId="33" xfId="0" applyFont="1" applyFill="1" applyBorder="1" applyAlignment="1">
      <alignment horizontal="center" vertical="center" textRotation="90" wrapText="1"/>
    </xf>
    <xf numFmtId="0" fontId="30" fillId="36" borderId="4" xfId="0" applyFont="1" applyFill="1" applyBorder="1" applyAlignment="1">
      <alignment horizontal="center" vertical="center" wrapText="1"/>
    </xf>
    <xf numFmtId="0" fontId="30" fillId="36" borderId="1" xfId="0" applyFont="1" applyFill="1" applyBorder="1" applyAlignment="1">
      <alignment horizontal="center" vertical="center" wrapText="1"/>
    </xf>
    <xf numFmtId="0" fontId="30" fillId="36" borderId="1" xfId="0" applyFont="1" applyFill="1" applyBorder="1" applyAlignment="1">
      <alignment horizontal="center" vertical="center"/>
    </xf>
    <xf numFmtId="0" fontId="30" fillId="36" borderId="8" xfId="0" applyFont="1" applyFill="1" applyBorder="1" applyAlignment="1">
      <alignment horizontal="center" vertical="center" wrapText="1"/>
    </xf>
    <xf numFmtId="0" fontId="30" fillId="36" borderId="2" xfId="0" applyFont="1" applyFill="1" applyBorder="1" applyAlignment="1">
      <alignment horizontal="center" vertical="center"/>
    </xf>
    <xf numFmtId="0" fontId="30" fillId="36" borderId="4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 wrapText="1"/>
    </xf>
    <xf numFmtId="0" fontId="2" fillId="38" borderId="0" xfId="0" applyFont="1" applyFill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32" borderId="1" xfId="0" applyFont="1" applyFill="1" applyBorder="1" applyAlignment="1">
      <alignment horizontal="center" vertical="center"/>
    </xf>
    <xf numFmtId="167" fontId="0" fillId="4" borderId="1" xfId="0" applyNumberFormat="1" applyFill="1" applyBorder="1" applyAlignment="1">
      <alignment horizontal="center" vertical="center"/>
    </xf>
    <xf numFmtId="0" fontId="2" fillId="32" borderId="1" xfId="0" applyFont="1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</cellXfs>
  <cellStyles count="339">
    <cellStyle name="20% - Énfasis1 2" xfId="18" xr:uid="{00000000-0005-0000-0000-000000000000}"/>
    <cellStyle name="20% - Énfasis1 2 2" xfId="19" xr:uid="{00000000-0005-0000-0000-000001000000}"/>
    <cellStyle name="20% - Énfasis1 2 3" xfId="20" xr:uid="{00000000-0005-0000-0000-000002000000}"/>
    <cellStyle name="20% - Énfasis1 3" xfId="21" xr:uid="{00000000-0005-0000-0000-000003000000}"/>
    <cellStyle name="20% - Énfasis1 4" xfId="17" xr:uid="{00000000-0005-0000-0000-000004000000}"/>
    <cellStyle name="20% - Énfasis2 2" xfId="23" xr:uid="{00000000-0005-0000-0000-000005000000}"/>
    <cellStyle name="20% - Énfasis2 2 2" xfId="24" xr:uid="{00000000-0005-0000-0000-000006000000}"/>
    <cellStyle name="20% - Énfasis2 2 3" xfId="25" xr:uid="{00000000-0005-0000-0000-000007000000}"/>
    <cellStyle name="20% - Énfasis2 3" xfId="26" xr:uid="{00000000-0005-0000-0000-000008000000}"/>
    <cellStyle name="20% - Énfasis2 4" xfId="22" xr:uid="{00000000-0005-0000-0000-000009000000}"/>
    <cellStyle name="20% - Énfasis3 2" xfId="28" xr:uid="{00000000-0005-0000-0000-00000A000000}"/>
    <cellStyle name="20% - Énfasis3 2 2" xfId="29" xr:uid="{00000000-0005-0000-0000-00000B000000}"/>
    <cellStyle name="20% - Énfasis3 2 3" xfId="30" xr:uid="{00000000-0005-0000-0000-00000C000000}"/>
    <cellStyle name="20% - Énfasis3 3" xfId="31" xr:uid="{00000000-0005-0000-0000-00000D000000}"/>
    <cellStyle name="20% - Énfasis3 4" xfId="27" xr:uid="{00000000-0005-0000-0000-00000E000000}"/>
    <cellStyle name="20% - Énfasis4 2" xfId="33" xr:uid="{00000000-0005-0000-0000-00000F000000}"/>
    <cellStyle name="20% - Énfasis4 2 2" xfId="34" xr:uid="{00000000-0005-0000-0000-000010000000}"/>
    <cellStyle name="20% - Énfasis4 2 3" xfId="35" xr:uid="{00000000-0005-0000-0000-000011000000}"/>
    <cellStyle name="20% - Énfasis4 3" xfId="36" xr:uid="{00000000-0005-0000-0000-000012000000}"/>
    <cellStyle name="20% - Énfasis4 4" xfId="32" xr:uid="{00000000-0005-0000-0000-000013000000}"/>
    <cellStyle name="20% - Énfasis5 2" xfId="38" xr:uid="{00000000-0005-0000-0000-000014000000}"/>
    <cellStyle name="20% - Énfasis5 2 2" xfId="39" xr:uid="{00000000-0005-0000-0000-000015000000}"/>
    <cellStyle name="20% - Énfasis5 2 3" xfId="40" xr:uid="{00000000-0005-0000-0000-000016000000}"/>
    <cellStyle name="20% - Énfasis5 3" xfId="41" xr:uid="{00000000-0005-0000-0000-000017000000}"/>
    <cellStyle name="20% - Énfasis5 4" xfId="37" xr:uid="{00000000-0005-0000-0000-000018000000}"/>
    <cellStyle name="20% - Énfasis6 2" xfId="43" xr:uid="{00000000-0005-0000-0000-000019000000}"/>
    <cellStyle name="20% - Énfasis6 2 2" xfId="44" xr:uid="{00000000-0005-0000-0000-00001A000000}"/>
    <cellStyle name="20% - Énfasis6 2 3" xfId="45" xr:uid="{00000000-0005-0000-0000-00001B000000}"/>
    <cellStyle name="20% - Énfasis6 3" xfId="46" xr:uid="{00000000-0005-0000-0000-00001C000000}"/>
    <cellStyle name="20% - Énfasis6 4" xfId="42" xr:uid="{00000000-0005-0000-0000-00001D000000}"/>
    <cellStyle name="40% - Énfasis1 2" xfId="48" xr:uid="{00000000-0005-0000-0000-00001E000000}"/>
    <cellStyle name="40% - Énfasis1 2 2" xfId="49" xr:uid="{00000000-0005-0000-0000-00001F000000}"/>
    <cellStyle name="40% - Énfasis1 2 3" xfId="50" xr:uid="{00000000-0005-0000-0000-000020000000}"/>
    <cellStyle name="40% - Énfasis1 3" xfId="51" xr:uid="{00000000-0005-0000-0000-000021000000}"/>
    <cellStyle name="40% - Énfasis1 4" xfId="47" xr:uid="{00000000-0005-0000-0000-000022000000}"/>
    <cellStyle name="40% - Énfasis2 2" xfId="53" xr:uid="{00000000-0005-0000-0000-000023000000}"/>
    <cellStyle name="40% - Énfasis2 2 2" xfId="54" xr:uid="{00000000-0005-0000-0000-000024000000}"/>
    <cellStyle name="40% - Énfasis2 2 3" xfId="55" xr:uid="{00000000-0005-0000-0000-000025000000}"/>
    <cellStyle name="40% - Énfasis2 3" xfId="56" xr:uid="{00000000-0005-0000-0000-000026000000}"/>
    <cellStyle name="40% - Énfasis2 4" xfId="52" xr:uid="{00000000-0005-0000-0000-000027000000}"/>
    <cellStyle name="40% - Énfasis3 2" xfId="58" xr:uid="{00000000-0005-0000-0000-000028000000}"/>
    <cellStyle name="40% - Énfasis3 2 2" xfId="59" xr:uid="{00000000-0005-0000-0000-000029000000}"/>
    <cellStyle name="40% - Énfasis3 2 3" xfId="60" xr:uid="{00000000-0005-0000-0000-00002A000000}"/>
    <cellStyle name="40% - Énfasis3 3" xfId="61" xr:uid="{00000000-0005-0000-0000-00002B000000}"/>
    <cellStyle name="40% - Énfasis3 4" xfId="57" xr:uid="{00000000-0005-0000-0000-00002C000000}"/>
    <cellStyle name="40% - Énfasis4 2" xfId="63" xr:uid="{00000000-0005-0000-0000-00002D000000}"/>
    <cellStyle name="40% - Énfasis4 2 2" xfId="64" xr:uid="{00000000-0005-0000-0000-00002E000000}"/>
    <cellStyle name="40% - Énfasis4 2 3" xfId="65" xr:uid="{00000000-0005-0000-0000-00002F000000}"/>
    <cellStyle name="40% - Énfasis4 3" xfId="66" xr:uid="{00000000-0005-0000-0000-000030000000}"/>
    <cellStyle name="40% - Énfasis4 4" xfId="62" xr:uid="{00000000-0005-0000-0000-000031000000}"/>
    <cellStyle name="40% - Énfasis5 2" xfId="68" xr:uid="{00000000-0005-0000-0000-000032000000}"/>
    <cellStyle name="40% - Énfasis5 2 2" xfId="69" xr:uid="{00000000-0005-0000-0000-000033000000}"/>
    <cellStyle name="40% - Énfasis5 2 3" xfId="70" xr:uid="{00000000-0005-0000-0000-000034000000}"/>
    <cellStyle name="40% - Énfasis5 3" xfId="71" xr:uid="{00000000-0005-0000-0000-000035000000}"/>
    <cellStyle name="40% - Énfasis5 4" xfId="67" xr:uid="{00000000-0005-0000-0000-000036000000}"/>
    <cellStyle name="40% - Énfasis6 2" xfId="73" xr:uid="{00000000-0005-0000-0000-000037000000}"/>
    <cellStyle name="40% - Énfasis6 2 2" xfId="74" xr:uid="{00000000-0005-0000-0000-000038000000}"/>
    <cellStyle name="40% - Énfasis6 2 3" xfId="75" xr:uid="{00000000-0005-0000-0000-000039000000}"/>
    <cellStyle name="40% - Énfasis6 3" xfId="76" xr:uid="{00000000-0005-0000-0000-00003A000000}"/>
    <cellStyle name="40% - Énfasis6 4" xfId="72" xr:uid="{00000000-0005-0000-0000-00003B000000}"/>
    <cellStyle name="60% - Énfasis1 2" xfId="78" xr:uid="{00000000-0005-0000-0000-00003C000000}"/>
    <cellStyle name="60% - Énfasis1 2 2" xfId="79" xr:uid="{00000000-0005-0000-0000-00003D000000}"/>
    <cellStyle name="60% - Énfasis1 2 3" xfId="80" xr:uid="{00000000-0005-0000-0000-00003E000000}"/>
    <cellStyle name="60% - Énfasis1 3" xfId="81" xr:uid="{00000000-0005-0000-0000-00003F000000}"/>
    <cellStyle name="60% - Énfasis1 4" xfId="77" xr:uid="{00000000-0005-0000-0000-000040000000}"/>
    <cellStyle name="60% - Énfasis2 2" xfId="83" xr:uid="{00000000-0005-0000-0000-000041000000}"/>
    <cellStyle name="60% - Énfasis2 2 2" xfId="84" xr:uid="{00000000-0005-0000-0000-000042000000}"/>
    <cellStyle name="60% - Énfasis2 2 3" xfId="85" xr:uid="{00000000-0005-0000-0000-000043000000}"/>
    <cellStyle name="60% - Énfasis2 3" xfId="86" xr:uid="{00000000-0005-0000-0000-000044000000}"/>
    <cellStyle name="60% - Énfasis2 4" xfId="82" xr:uid="{00000000-0005-0000-0000-000045000000}"/>
    <cellStyle name="60% - Énfasis3 2" xfId="88" xr:uid="{00000000-0005-0000-0000-000046000000}"/>
    <cellStyle name="60% - Énfasis3 2 2" xfId="89" xr:uid="{00000000-0005-0000-0000-000047000000}"/>
    <cellStyle name="60% - Énfasis3 2 3" xfId="90" xr:uid="{00000000-0005-0000-0000-000048000000}"/>
    <cellStyle name="60% - Énfasis3 3" xfId="91" xr:uid="{00000000-0005-0000-0000-000049000000}"/>
    <cellStyle name="60% - Énfasis3 4" xfId="87" xr:uid="{00000000-0005-0000-0000-00004A000000}"/>
    <cellStyle name="60% - Énfasis4 2" xfId="93" xr:uid="{00000000-0005-0000-0000-00004B000000}"/>
    <cellStyle name="60% - Énfasis4 2 2" xfId="94" xr:uid="{00000000-0005-0000-0000-00004C000000}"/>
    <cellStyle name="60% - Énfasis4 2 3" xfId="95" xr:uid="{00000000-0005-0000-0000-00004D000000}"/>
    <cellStyle name="60% - Énfasis4 3" xfId="96" xr:uid="{00000000-0005-0000-0000-00004E000000}"/>
    <cellStyle name="60% - Énfasis4 4" xfId="92" xr:uid="{00000000-0005-0000-0000-00004F000000}"/>
    <cellStyle name="60% - Énfasis5 2" xfId="98" xr:uid="{00000000-0005-0000-0000-000050000000}"/>
    <cellStyle name="60% - Énfasis5 2 2" xfId="99" xr:uid="{00000000-0005-0000-0000-000051000000}"/>
    <cellStyle name="60% - Énfasis5 2 3" xfId="100" xr:uid="{00000000-0005-0000-0000-000052000000}"/>
    <cellStyle name="60% - Énfasis5 3" xfId="101" xr:uid="{00000000-0005-0000-0000-000053000000}"/>
    <cellStyle name="60% - Énfasis5 4" xfId="97" xr:uid="{00000000-0005-0000-0000-000054000000}"/>
    <cellStyle name="60% - Énfasis6 2" xfId="103" xr:uid="{00000000-0005-0000-0000-000055000000}"/>
    <cellStyle name="60% - Énfasis6 2 2" xfId="104" xr:uid="{00000000-0005-0000-0000-000056000000}"/>
    <cellStyle name="60% - Énfasis6 2 3" xfId="105" xr:uid="{00000000-0005-0000-0000-000057000000}"/>
    <cellStyle name="60% - Énfasis6 3" xfId="106" xr:uid="{00000000-0005-0000-0000-000058000000}"/>
    <cellStyle name="60% - Énfasis6 4" xfId="102" xr:uid="{00000000-0005-0000-0000-000059000000}"/>
    <cellStyle name="Buena 2" xfId="108" xr:uid="{00000000-0005-0000-0000-00005A000000}"/>
    <cellStyle name="Buena 2 2" xfId="109" xr:uid="{00000000-0005-0000-0000-00005B000000}"/>
    <cellStyle name="Buena 2 3" xfId="110" xr:uid="{00000000-0005-0000-0000-00005C000000}"/>
    <cellStyle name="Buena 3" xfId="111" xr:uid="{00000000-0005-0000-0000-00005D000000}"/>
    <cellStyle name="Buena 4" xfId="107" xr:uid="{00000000-0005-0000-0000-00005E000000}"/>
    <cellStyle name="Cálculo 2" xfId="113" xr:uid="{00000000-0005-0000-0000-00005F000000}"/>
    <cellStyle name="Cálculo 2 2" xfId="114" xr:uid="{00000000-0005-0000-0000-000060000000}"/>
    <cellStyle name="Cálculo 2 2 2" xfId="284" xr:uid="{00000000-0005-0000-0000-000061000000}"/>
    <cellStyle name="Cálculo 2 2 3" xfId="287" xr:uid="{00000000-0005-0000-0000-000062000000}"/>
    <cellStyle name="Cálculo 2 3" xfId="115" xr:uid="{00000000-0005-0000-0000-000063000000}"/>
    <cellStyle name="Cálculo 2 3 2" xfId="285" xr:uid="{00000000-0005-0000-0000-000064000000}"/>
    <cellStyle name="Cálculo 2 3 3" xfId="289" xr:uid="{00000000-0005-0000-0000-000065000000}"/>
    <cellStyle name="Cálculo 2 4" xfId="283" xr:uid="{00000000-0005-0000-0000-000066000000}"/>
    <cellStyle name="Cálculo 2 5" xfId="290" xr:uid="{00000000-0005-0000-0000-000067000000}"/>
    <cellStyle name="Cálculo 3" xfId="116" xr:uid="{00000000-0005-0000-0000-000068000000}"/>
    <cellStyle name="Cálculo 3 2" xfId="286" xr:uid="{00000000-0005-0000-0000-000069000000}"/>
    <cellStyle name="Cálculo 3 3" xfId="288" xr:uid="{00000000-0005-0000-0000-00006A000000}"/>
    <cellStyle name="Cálculo 4" xfId="112" xr:uid="{00000000-0005-0000-0000-00006B000000}"/>
    <cellStyle name="Cálculo 4 2" xfId="282" xr:uid="{00000000-0005-0000-0000-00006C000000}"/>
    <cellStyle name="Cálculo 4 3" xfId="291" xr:uid="{00000000-0005-0000-0000-00006D000000}"/>
    <cellStyle name="Celda de comprobación 2" xfId="118" xr:uid="{00000000-0005-0000-0000-00006E000000}"/>
    <cellStyle name="Celda de comprobación 2 2" xfId="119" xr:uid="{00000000-0005-0000-0000-00006F000000}"/>
    <cellStyle name="Celda de comprobación 2 3" xfId="120" xr:uid="{00000000-0005-0000-0000-000070000000}"/>
    <cellStyle name="Celda de comprobación 3" xfId="121" xr:uid="{00000000-0005-0000-0000-000071000000}"/>
    <cellStyle name="Celda de comprobación 4" xfId="117" xr:uid="{00000000-0005-0000-0000-000072000000}"/>
    <cellStyle name="Celda vinculada 2" xfId="123" xr:uid="{00000000-0005-0000-0000-000073000000}"/>
    <cellStyle name="Celda vinculada 2 2" xfId="124" xr:uid="{00000000-0005-0000-0000-000074000000}"/>
    <cellStyle name="Celda vinculada 2 3" xfId="125" xr:uid="{00000000-0005-0000-0000-000075000000}"/>
    <cellStyle name="Celda vinculada 3" xfId="126" xr:uid="{00000000-0005-0000-0000-000076000000}"/>
    <cellStyle name="Celda vinculada 4" xfId="122" xr:uid="{00000000-0005-0000-0000-000077000000}"/>
    <cellStyle name="Encabezado 4 2" xfId="128" xr:uid="{00000000-0005-0000-0000-000078000000}"/>
    <cellStyle name="Encabezado 4 2 2" xfId="129" xr:uid="{00000000-0005-0000-0000-000079000000}"/>
    <cellStyle name="Encabezado 4 2 3" xfId="130" xr:uid="{00000000-0005-0000-0000-00007A000000}"/>
    <cellStyle name="Encabezado 4 3" xfId="131" xr:uid="{00000000-0005-0000-0000-00007B000000}"/>
    <cellStyle name="Encabezado 4 4" xfId="127" xr:uid="{00000000-0005-0000-0000-00007C000000}"/>
    <cellStyle name="Énfasis1 2" xfId="133" xr:uid="{00000000-0005-0000-0000-00007D000000}"/>
    <cellStyle name="Énfasis1 2 2" xfId="134" xr:uid="{00000000-0005-0000-0000-00007E000000}"/>
    <cellStyle name="Énfasis1 2 3" xfId="135" xr:uid="{00000000-0005-0000-0000-00007F000000}"/>
    <cellStyle name="Énfasis1 3" xfId="136" xr:uid="{00000000-0005-0000-0000-000080000000}"/>
    <cellStyle name="Énfasis1 4" xfId="132" xr:uid="{00000000-0005-0000-0000-000081000000}"/>
    <cellStyle name="Énfasis2 2" xfId="138" xr:uid="{00000000-0005-0000-0000-000082000000}"/>
    <cellStyle name="Énfasis2 2 2" xfId="139" xr:uid="{00000000-0005-0000-0000-000083000000}"/>
    <cellStyle name="Énfasis2 2 3" xfId="140" xr:uid="{00000000-0005-0000-0000-000084000000}"/>
    <cellStyle name="Énfasis2 3" xfId="141" xr:uid="{00000000-0005-0000-0000-000085000000}"/>
    <cellStyle name="Énfasis2 4" xfId="137" xr:uid="{00000000-0005-0000-0000-000086000000}"/>
    <cellStyle name="Énfasis3 2" xfId="143" xr:uid="{00000000-0005-0000-0000-000087000000}"/>
    <cellStyle name="Énfasis3 2 2" xfId="144" xr:uid="{00000000-0005-0000-0000-000088000000}"/>
    <cellStyle name="Énfasis3 2 3" xfId="145" xr:uid="{00000000-0005-0000-0000-000089000000}"/>
    <cellStyle name="Énfasis3 3" xfId="146" xr:uid="{00000000-0005-0000-0000-00008A000000}"/>
    <cellStyle name="Énfasis3 4" xfId="142" xr:uid="{00000000-0005-0000-0000-00008B000000}"/>
    <cellStyle name="Énfasis4 2" xfId="148" xr:uid="{00000000-0005-0000-0000-00008C000000}"/>
    <cellStyle name="Énfasis4 2 2" xfId="149" xr:uid="{00000000-0005-0000-0000-00008D000000}"/>
    <cellStyle name="Énfasis4 2 3" xfId="150" xr:uid="{00000000-0005-0000-0000-00008E000000}"/>
    <cellStyle name="Énfasis4 3" xfId="151" xr:uid="{00000000-0005-0000-0000-00008F000000}"/>
    <cellStyle name="Énfasis4 4" xfId="147" xr:uid="{00000000-0005-0000-0000-000090000000}"/>
    <cellStyle name="Énfasis5 2" xfId="153" xr:uid="{00000000-0005-0000-0000-000091000000}"/>
    <cellStyle name="Énfasis5 2 2" xfId="154" xr:uid="{00000000-0005-0000-0000-000092000000}"/>
    <cellStyle name="Énfasis5 2 3" xfId="155" xr:uid="{00000000-0005-0000-0000-000093000000}"/>
    <cellStyle name="Énfasis5 3" xfId="156" xr:uid="{00000000-0005-0000-0000-000094000000}"/>
    <cellStyle name="Énfasis5 4" xfId="152" xr:uid="{00000000-0005-0000-0000-000095000000}"/>
    <cellStyle name="Énfasis6 2" xfId="158" xr:uid="{00000000-0005-0000-0000-000096000000}"/>
    <cellStyle name="Énfasis6 2 2" xfId="159" xr:uid="{00000000-0005-0000-0000-000097000000}"/>
    <cellStyle name="Énfasis6 2 3" xfId="160" xr:uid="{00000000-0005-0000-0000-000098000000}"/>
    <cellStyle name="Énfasis6 3" xfId="161" xr:uid="{00000000-0005-0000-0000-000099000000}"/>
    <cellStyle name="Énfasis6 4" xfId="157" xr:uid="{00000000-0005-0000-0000-00009A000000}"/>
    <cellStyle name="Entrada 2" xfId="163" xr:uid="{00000000-0005-0000-0000-00009B000000}"/>
    <cellStyle name="Entrada 2 2" xfId="164" xr:uid="{00000000-0005-0000-0000-00009C000000}"/>
    <cellStyle name="Entrada 2 2 2" xfId="294" xr:uid="{00000000-0005-0000-0000-00009D000000}"/>
    <cellStyle name="Entrada 2 2 3" xfId="277" xr:uid="{00000000-0005-0000-0000-00009E000000}"/>
    <cellStyle name="Entrada 2 3" xfId="165" xr:uid="{00000000-0005-0000-0000-00009F000000}"/>
    <cellStyle name="Entrada 2 3 2" xfId="295" xr:uid="{00000000-0005-0000-0000-0000A0000000}"/>
    <cellStyle name="Entrada 2 3 3" xfId="279" xr:uid="{00000000-0005-0000-0000-0000A1000000}"/>
    <cellStyle name="Entrada 2 4" xfId="293" xr:uid="{00000000-0005-0000-0000-0000A2000000}"/>
    <cellStyle name="Entrada 2 5" xfId="280" xr:uid="{00000000-0005-0000-0000-0000A3000000}"/>
    <cellStyle name="Entrada 3" xfId="166" xr:uid="{00000000-0005-0000-0000-0000A4000000}"/>
    <cellStyle name="Entrada 3 2" xfId="296" xr:uid="{00000000-0005-0000-0000-0000A5000000}"/>
    <cellStyle name="Entrada 3 3" xfId="278" xr:uid="{00000000-0005-0000-0000-0000A6000000}"/>
    <cellStyle name="Entrada 4" xfId="162" xr:uid="{00000000-0005-0000-0000-0000A7000000}"/>
    <cellStyle name="Entrada 4 2" xfId="292" xr:uid="{00000000-0005-0000-0000-0000A8000000}"/>
    <cellStyle name="Entrada 4 3" xfId="281" xr:uid="{00000000-0005-0000-0000-0000A9000000}"/>
    <cellStyle name="Excel Built-in Normal" xfId="167" xr:uid="{00000000-0005-0000-0000-0000AA000000}"/>
    <cellStyle name="Incorrecto 2" xfId="169" xr:uid="{00000000-0005-0000-0000-0000AB000000}"/>
    <cellStyle name="Incorrecto 2 2" xfId="170" xr:uid="{00000000-0005-0000-0000-0000AC000000}"/>
    <cellStyle name="Incorrecto 2 3" xfId="171" xr:uid="{00000000-0005-0000-0000-0000AD000000}"/>
    <cellStyle name="Incorrecto 3" xfId="172" xr:uid="{00000000-0005-0000-0000-0000AE000000}"/>
    <cellStyle name="Incorrecto 4" xfId="168" xr:uid="{00000000-0005-0000-0000-0000AF000000}"/>
    <cellStyle name="Millares 2" xfId="174" xr:uid="{00000000-0005-0000-0000-0000B0000000}"/>
    <cellStyle name="Millares 2 2" xfId="175" xr:uid="{00000000-0005-0000-0000-0000B1000000}"/>
    <cellStyle name="Millares 2 3" xfId="176" xr:uid="{00000000-0005-0000-0000-0000B2000000}"/>
    <cellStyle name="Millares 3" xfId="173" xr:uid="{00000000-0005-0000-0000-0000B3000000}"/>
    <cellStyle name="Moneda 2" xfId="177" xr:uid="{00000000-0005-0000-0000-0000B4000000}"/>
    <cellStyle name="Neutral 2" xfId="179" xr:uid="{00000000-0005-0000-0000-0000B5000000}"/>
    <cellStyle name="Neutral 2 2" xfId="180" xr:uid="{00000000-0005-0000-0000-0000B6000000}"/>
    <cellStyle name="Neutral 2 3" xfId="181" xr:uid="{00000000-0005-0000-0000-0000B7000000}"/>
    <cellStyle name="Neutral 3" xfId="182" xr:uid="{00000000-0005-0000-0000-0000B8000000}"/>
    <cellStyle name="Neutral 4" xfId="178" xr:uid="{00000000-0005-0000-0000-0000B9000000}"/>
    <cellStyle name="Normal" xfId="0" builtinId="0"/>
    <cellStyle name="Normal 11" xfId="183" xr:uid="{00000000-0005-0000-0000-0000BB000000}"/>
    <cellStyle name="Normal 11 2" xfId="184" xr:uid="{00000000-0005-0000-0000-0000BC000000}"/>
    <cellStyle name="Normal 11 3" xfId="185" xr:uid="{00000000-0005-0000-0000-0000BD000000}"/>
    <cellStyle name="Normal 12" xfId="186" xr:uid="{00000000-0005-0000-0000-0000BE000000}"/>
    <cellStyle name="Normal 12 2" xfId="187" xr:uid="{00000000-0005-0000-0000-0000BF000000}"/>
    <cellStyle name="Normal 12 3" xfId="188" xr:uid="{00000000-0005-0000-0000-0000C0000000}"/>
    <cellStyle name="Normal 13" xfId="318" xr:uid="{00000000-0005-0000-0000-0000C1000000}"/>
    <cellStyle name="Normal 14" xfId="319" xr:uid="{00000000-0005-0000-0000-0000C2000000}"/>
    <cellStyle name="Normal 15" xfId="320" xr:uid="{00000000-0005-0000-0000-0000C3000000}"/>
    <cellStyle name="Normal 16" xfId="189" xr:uid="{00000000-0005-0000-0000-0000C4000000}"/>
    <cellStyle name="Normal 18" xfId="190" xr:uid="{00000000-0005-0000-0000-0000C5000000}"/>
    <cellStyle name="Normal 18 2" xfId="191" xr:uid="{00000000-0005-0000-0000-0000C6000000}"/>
    <cellStyle name="Normal 19" xfId="192" xr:uid="{00000000-0005-0000-0000-0000C7000000}"/>
    <cellStyle name="Normal 2" xfId="7" xr:uid="{00000000-0005-0000-0000-0000C8000000}"/>
    <cellStyle name="Normal 2 2" xfId="12" xr:uid="{00000000-0005-0000-0000-0000C9000000}"/>
    <cellStyle name="Normal 2 2 2" xfId="194" xr:uid="{00000000-0005-0000-0000-0000CA000000}"/>
    <cellStyle name="Normal 2 3" xfId="195" xr:uid="{00000000-0005-0000-0000-0000CB000000}"/>
    <cellStyle name="Normal 2 3 2" xfId="196" xr:uid="{00000000-0005-0000-0000-0000CC000000}"/>
    <cellStyle name="Normal 2 4" xfId="197" xr:uid="{00000000-0005-0000-0000-0000CD000000}"/>
    <cellStyle name="Normal 2 5" xfId="193" xr:uid="{00000000-0005-0000-0000-0000CE000000}"/>
    <cellStyle name="Normal 2 6" xfId="11" xr:uid="{00000000-0005-0000-0000-0000CF000000}"/>
    <cellStyle name="Normal 20" xfId="198" xr:uid="{00000000-0005-0000-0000-0000D0000000}"/>
    <cellStyle name="Normal 20 2" xfId="199" xr:uid="{00000000-0005-0000-0000-0000D1000000}"/>
    <cellStyle name="Normal 21" xfId="200" xr:uid="{00000000-0005-0000-0000-0000D2000000}"/>
    <cellStyle name="Normal 22" xfId="321" xr:uid="{00000000-0005-0000-0000-0000D3000000}"/>
    <cellStyle name="Normal 23" xfId="322" xr:uid="{00000000-0005-0000-0000-0000D4000000}"/>
    <cellStyle name="Normal 24" xfId="201" xr:uid="{00000000-0005-0000-0000-0000D5000000}"/>
    <cellStyle name="Normal 25" xfId="323" xr:uid="{00000000-0005-0000-0000-0000D6000000}"/>
    <cellStyle name="Normal 26" xfId="324" xr:uid="{00000000-0005-0000-0000-0000D7000000}"/>
    <cellStyle name="Normal 27" xfId="325" xr:uid="{00000000-0005-0000-0000-0000D8000000}"/>
    <cellStyle name="Normal 28" xfId="326" xr:uid="{00000000-0005-0000-0000-0000D9000000}"/>
    <cellStyle name="Normal 29" xfId="327" xr:uid="{00000000-0005-0000-0000-0000DA000000}"/>
    <cellStyle name="Normal 3" xfId="3" xr:uid="{00000000-0005-0000-0000-0000DB000000}"/>
    <cellStyle name="Normal 3 2" xfId="202" xr:uid="{00000000-0005-0000-0000-0000DC000000}"/>
    <cellStyle name="Normal 3 3" xfId="266" xr:uid="{00000000-0005-0000-0000-0000DD000000}"/>
    <cellStyle name="Normal 3 4" xfId="13" xr:uid="{00000000-0005-0000-0000-0000DE000000}"/>
    <cellStyle name="Normal 30" xfId="328" xr:uid="{00000000-0005-0000-0000-0000DF000000}"/>
    <cellStyle name="Normal 31" xfId="329" xr:uid="{00000000-0005-0000-0000-0000E0000000}"/>
    <cellStyle name="Normal 32" xfId="330" xr:uid="{00000000-0005-0000-0000-0000E1000000}"/>
    <cellStyle name="Normal 33" xfId="331" xr:uid="{00000000-0005-0000-0000-0000E2000000}"/>
    <cellStyle name="Normal 34" xfId="332" xr:uid="{00000000-0005-0000-0000-0000E3000000}"/>
    <cellStyle name="Normal 35" xfId="333" xr:uid="{00000000-0005-0000-0000-0000E4000000}"/>
    <cellStyle name="Normal 36" xfId="334" xr:uid="{00000000-0005-0000-0000-0000E5000000}"/>
    <cellStyle name="Normal 37" xfId="335" xr:uid="{00000000-0005-0000-0000-0000E6000000}"/>
    <cellStyle name="Normal 38" xfId="336" xr:uid="{00000000-0005-0000-0000-0000E7000000}"/>
    <cellStyle name="Normal 4" xfId="4" xr:uid="{00000000-0005-0000-0000-0000E8000000}"/>
    <cellStyle name="Normal 4 2" xfId="204" xr:uid="{00000000-0005-0000-0000-0000E9000000}"/>
    <cellStyle name="Normal 4 3" xfId="203" xr:uid="{00000000-0005-0000-0000-0000EA000000}"/>
    <cellStyle name="Normal 40" xfId="337" xr:uid="{00000000-0005-0000-0000-0000EB000000}"/>
    <cellStyle name="Normal 5" xfId="9" xr:uid="{00000000-0005-0000-0000-0000EC000000}"/>
    <cellStyle name="Normal 5 2" xfId="206" xr:uid="{00000000-0005-0000-0000-0000ED000000}"/>
    <cellStyle name="Normal 5 3" xfId="205" xr:uid="{00000000-0005-0000-0000-0000EE000000}"/>
    <cellStyle name="Normal 6" xfId="207" xr:uid="{00000000-0005-0000-0000-0000EF000000}"/>
    <cellStyle name="Normal 6 2" xfId="208" xr:uid="{00000000-0005-0000-0000-0000F0000000}"/>
    <cellStyle name="Normal 7" xfId="5" xr:uid="{00000000-0005-0000-0000-0000F1000000}"/>
    <cellStyle name="Normal 7 2" xfId="210" xr:uid="{00000000-0005-0000-0000-0000F2000000}"/>
    <cellStyle name="Normal 7 3" xfId="209" xr:uid="{00000000-0005-0000-0000-0000F3000000}"/>
    <cellStyle name="Normal 8" xfId="16" xr:uid="{00000000-0005-0000-0000-0000F4000000}"/>
    <cellStyle name="Notas 2" xfId="212" xr:uid="{00000000-0005-0000-0000-0000F5000000}"/>
    <cellStyle name="Notas 2 2" xfId="213" xr:uid="{00000000-0005-0000-0000-0000F6000000}"/>
    <cellStyle name="Notas 2 2 2" xfId="299" xr:uid="{00000000-0005-0000-0000-0000F7000000}"/>
    <cellStyle name="Notas 2 2 3" xfId="274" xr:uid="{00000000-0005-0000-0000-0000F8000000}"/>
    <cellStyle name="Notas 2 3" xfId="214" xr:uid="{00000000-0005-0000-0000-0000F9000000}"/>
    <cellStyle name="Notas 2 3 2" xfId="300" xr:uid="{00000000-0005-0000-0000-0000FA000000}"/>
    <cellStyle name="Notas 2 3 3" xfId="272" xr:uid="{00000000-0005-0000-0000-0000FB000000}"/>
    <cellStyle name="Notas 2 4" xfId="298" xr:uid="{00000000-0005-0000-0000-0000FC000000}"/>
    <cellStyle name="Notas 2 5" xfId="275" xr:uid="{00000000-0005-0000-0000-0000FD000000}"/>
    <cellStyle name="Notas 3" xfId="215" xr:uid="{00000000-0005-0000-0000-0000FE000000}"/>
    <cellStyle name="Notas 3 2" xfId="301" xr:uid="{00000000-0005-0000-0000-0000FF000000}"/>
    <cellStyle name="Notas 3 3" xfId="273" xr:uid="{00000000-0005-0000-0000-000000010000}"/>
    <cellStyle name="Notas 4" xfId="211" xr:uid="{00000000-0005-0000-0000-000001010000}"/>
    <cellStyle name="Notas 4 2" xfId="297" xr:uid="{00000000-0005-0000-0000-000002010000}"/>
    <cellStyle name="Notas 4 3" xfId="276" xr:uid="{00000000-0005-0000-0000-000003010000}"/>
    <cellStyle name="Porcentaje" xfId="1" builtinId="5"/>
    <cellStyle name="Porcentaje 2" xfId="14" xr:uid="{00000000-0005-0000-0000-000005010000}"/>
    <cellStyle name="Porcentaje 3" xfId="15" xr:uid="{00000000-0005-0000-0000-000006010000}"/>
    <cellStyle name="Porcentual 10" xfId="2" xr:uid="{00000000-0005-0000-0000-000007010000}"/>
    <cellStyle name="Porcentual 14" xfId="6" xr:uid="{00000000-0005-0000-0000-000008010000}"/>
    <cellStyle name="Porcentual 2" xfId="8" xr:uid="{00000000-0005-0000-0000-000009010000}"/>
    <cellStyle name="Porcentual 2 2" xfId="217" xr:uid="{00000000-0005-0000-0000-00000A010000}"/>
    <cellStyle name="Porcentual 2 3" xfId="218" xr:uid="{00000000-0005-0000-0000-00000B010000}"/>
    <cellStyle name="Porcentual 2 4" xfId="338" xr:uid="{00000000-0005-0000-0000-00000C010000}"/>
    <cellStyle name="Porcentual 3" xfId="10" xr:uid="{00000000-0005-0000-0000-00000D010000}"/>
    <cellStyle name="Porcentual 3 2" xfId="219" xr:uid="{00000000-0005-0000-0000-00000E010000}"/>
    <cellStyle name="Porcentual 4" xfId="220" xr:uid="{00000000-0005-0000-0000-00000F010000}"/>
    <cellStyle name="Porcentual 5" xfId="221" xr:uid="{00000000-0005-0000-0000-000010010000}"/>
    <cellStyle name="Porcentual 6" xfId="222" xr:uid="{00000000-0005-0000-0000-000011010000}"/>
    <cellStyle name="Porcentual 7" xfId="223" xr:uid="{00000000-0005-0000-0000-000012010000}"/>
    <cellStyle name="Porcentual 7 2" xfId="224" xr:uid="{00000000-0005-0000-0000-000013010000}"/>
    <cellStyle name="Porcentual 7 3" xfId="225" xr:uid="{00000000-0005-0000-0000-000014010000}"/>
    <cellStyle name="Porcentual 8" xfId="216" xr:uid="{00000000-0005-0000-0000-000015010000}"/>
    <cellStyle name="Porcentual 9" xfId="317" xr:uid="{00000000-0005-0000-0000-000016010000}"/>
    <cellStyle name="Salida 2" xfId="227" xr:uid="{00000000-0005-0000-0000-000017010000}"/>
    <cellStyle name="Salida 2 2" xfId="228" xr:uid="{00000000-0005-0000-0000-000018010000}"/>
    <cellStyle name="Salida 2 2 2" xfId="304" xr:uid="{00000000-0005-0000-0000-000019010000}"/>
    <cellStyle name="Salida 2 2 3" xfId="267" xr:uid="{00000000-0005-0000-0000-00001A010000}"/>
    <cellStyle name="Salida 2 3" xfId="229" xr:uid="{00000000-0005-0000-0000-00001B010000}"/>
    <cellStyle name="Salida 2 3 2" xfId="305" xr:uid="{00000000-0005-0000-0000-00001C010000}"/>
    <cellStyle name="Salida 2 3 3" xfId="269" xr:uid="{00000000-0005-0000-0000-00001D010000}"/>
    <cellStyle name="Salida 2 4" xfId="303" xr:uid="{00000000-0005-0000-0000-00001E010000}"/>
    <cellStyle name="Salida 2 5" xfId="270" xr:uid="{00000000-0005-0000-0000-00001F010000}"/>
    <cellStyle name="Salida 3" xfId="230" xr:uid="{00000000-0005-0000-0000-000020010000}"/>
    <cellStyle name="Salida 3 2" xfId="306" xr:uid="{00000000-0005-0000-0000-000021010000}"/>
    <cellStyle name="Salida 3 3" xfId="268" xr:uid="{00000000-0005-0000-0000-000022010000}"/>
    <cellStyle name="Salida 4" xfId="226" xr:uid="{00000000-0005-0000-0000-000023010000}"/>
    <cellStyle name="Salida 4 2" xfId="302" xr:uid="{00000000-0005-0000-0000-000024010000}"/>
    <cellStyle name="Salida 4 3" xfId="271" xr:uid="{00000000-0005-0000-0000-000025010000}"/>
    <cellStyle name="Texto de advertencia 2" xfId="232" xr:uid="{00000000-0005-0000-0000-000026010000}"/>
    <cellStyle name="Texto de advertencia 2 2" xfId="233" xr:uid="{00000000-0005-0000-0000-000027010000}"/>
    <cellStyle name="Texto de advertencia 2 3" xfId="234" xr:uid="{00000000-0005-0000-0000-000028010000}"/>
    <cellStyle name="Texto de advertencia 3" xfId="235" xr:uid="{00000000-0005-0000-0000-000029010000}"/>
    <cellStyle name="Texto de advertencia 4" xfId="231" xr:uid="{00000000-0005-0000-0000-00002A010000}"/>
    <cellStyle name="Texto explicativo 2" xfId="237" xr:uid="{00000000-0005-0000-0000-00002B010000}"/>
    <cellStyle name="Texto explicativo 2 2" xfId="238" xr:uid="{00000000-0005-0000-0000-00002C010000}"/>
    <cellStyle name="Texto explicativo 2 3" xfId="239" xr:uid="{00000000-0005-0000-0000-00002D010000}"/>
    <cellStyle name="Texto explicativo 3" xfId="240" xr:uid="{00000000-0005-0000-0000-00002E010000}"/>
    <cellStyle name="Texto explicativo 4" xfId="236" xr:uid="{00000000-0005-0000-0000-00002F010000}"/>
    <cellStyle name="Título 1 2" xfId="243" xr:uid="{00000000-0005-0000-0000-000030010000}"/>
    <cellStyle name="Título 1 2 2" xfId="244" xr:uid="{00000000-0005-0000-0000-000031010000}"/>
    <cellStyle name="Título 1 2 3" xfId="245" xr:uid="{00000000-0005-0000-0000-000032010000}"/>
    <cellStyle name="Título 1 3" xfId="246" xr:uid="{00000000-0005-0000-0000-000033010000}"/>
    <cellStyle name="Título 1 4" xfId="242" xr:uid="{00000000-0005-0000-0000-000034010000}"/>
    <cellStyle name="Título 2 2" xfId="248" xr:uid="{00000000-0005-0000-0000-000035010000}"/>
    <cellStyle name="Título 2 2 2" xfId="249" xr:uid="{00000000-0005-0000-0000-000036010000}"/>
    <cellStyle name="Título 2 2 3" xfId="250" xr:uid="{00000000-0005-0000-0000-000037010000}"/>
    <cellStyle name="Título 2 3" xfId="251" xr:uid="{00000000-0005-0000-0000-000038010000}"/>
    <cellStyle name="Título 2 4" xfId="247" xr:uid="{00000000-0005-0000-0000-000039010000}"/>
    <cellStyle name="Título 3 2" xfId="253" xr:uid="{00000000-0005-0000-0000-00003A010000}"/>
    <cellStyle name="Título 3 2 2" xfId="254" xr:uid="{00000000-0005-0000-0000-00003B010000}"/>
    <cellStyle name="Título 3 2 3" xfId="255" xr:uid="{00000000-0005-0000-0000-00003C010000}"/>
    <cellStyle name="Título 3 3" xfId="256" xr:uid="{00000000-0005-0000-0000-00003D010000}"/>
    <cellStyle name="Título 3 4" xfId="252" xr:uid="{00000000-0005-0000-0000-00003E010000}"/>
    <cellStyle name="Título 4" xfId="257" xr:uid="{00000000-0005-0000-0000-00003F010000}"/>
    <cellStyle name="Título 4 2" xfId="258" xr:uid="{00000000-0005-0000-0000-000040010000}"/>
    <cellStyle name="Título 4 3" xfId="259" xr:uid="{00000000-0005-0000-0000-000041010000}"/>
    <cellStyle name="Título 5" xfId="260" xr:uid="{00000000-0005-0000-0000-000042010000}"/>
    <cellStyle name="Título 6" xfId="241" xr:uid="{00000000-0005-0000-0000-000043010000}"/>
    <cellStyle name="Total 2" xfId="262" xr:uid="{00000000-0005-0000-0000-000044010000}"/>
    <cellStyle name="Total 2 2" xfId="263" xr:uid="{00000000-0005-0000-0000-000045010000}"/>
    <cellStyle name="Total 2 2 2" xfId="309" xr:uid="{00000000-0005-0000-0000-000046010000}"/>
    <cellStyle name="Total 2 2 3" xfId="314" xr:uid="{00000000-0005-0000-0000-000047010000}"/>
    <cellStyle name="Total 2 3" xfId="264" xr:uid="{00000000-0005-0000-0000-000048010000}"/>
    <cellStyle name="Total 2 3 2" xfId="310" xr:uid="{00000000-0005-0000-0000-000049010000}"/>
    <cellStyle name="Total 2 3 3" xfId="315" xr:uid="{00000000-0005-0000-0000-00004A010000}"/>
    <cellStyle name="Total 2 4" xfId="308" xr:uid="{00000000-0005-0000-0000-00004B010000}"/>
    <cellStyle name="Total 2 5" xfId="313" xr:uid="{00000000-0005-0000-0000-00004C010000}"/>
    <cellStyle name="Total 3" xfId="265" xr:uid="{00000000-0005-0000-0000-00004D010000}"/>
    <cellStyle name="Total 3 2" xfId="311" xr:uid="{00000000-0005-0000-0000-00004E010000}"/>
    <cellStyle name="Total 3 3" xfId="316" xr:uid="{00000000-0005-0000-0000-00004F010000}"/>
    <cellStyle name="Total 4" xfId="261" xr:uid="{00000000-0005-0000-0000-000050010000}"/>
    <cellStyle name="Total 4 2" xfId="307" xr:uid="{00000000-0005-0000-0000-000051010000}"/>
    <cellStyle name="Total 4 3" xfId="312" xr:uid="{00000000-0005-0000-0000-000052010000}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E6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4"/>
  <sheetViews>
    <sheetView tabSelected="1" workbookViewId="0">
      <selection activeCell="J32" sqref="J32"/>
    </sheetView>
  </sheetViews>
  <sheetFormatPr baseColWidth="10" defaultRowHeight="14.4"/>
  <cols>
    <col min="2" max="2" width="18.77734375" bestFit="1" customWidth="1"/>
    <col min="3" max="3" width="29.5546875" customWidth="1"/>
    <col min="4" max="4" width="21" bestFit="1" customWidth="1"/>
    <col min="5" max="5" width="14.5546875" bestFit="1" customWidth="1"/>
    <col min="6" max="6" width="12.77734375" bestFit="1" customWidth="1"/>
    <col min="7" max="7" width="13.77734375" customWidth="1"/>
    <col min="9" max="9" width="11.77734375" bestFit="1" customWidth="1"/>
  </cols>
  <sheetData>
    <row r="2" spans="2:10">
      <c r="B2" s="247" t="s">
        <v>148</v>
      </c>
      <c r="C2" s="247"/>
      <c r="D2" s="247"/>
      <c r="E2" s="247"/>
      <c r="F2" s="247"/>
      <c r="G2" s="247"/>
      <c r="H2" s="247"/>
      <c r="I2" s="247"/>
      <c r="J2" s="247"/>
    </row>
    <row r="3" spans="2:10">
      <c r="B3" s="247"/>
      <c r="C3" s="247"/>
      <c r="D3" s="247"/>
      <c r="E3" s="247"/>
      <c r="F3" s="247"/>
      <c r="G3" s="247"/>
      <c r="H3" s="247"/>
      <c r="I3" s="247"/>
      <c r="J3" s="247"/>
    </row>
    <row r="4" spans="2:10">
      <c r="C4" s="249">
        <v>43915</v>
      </c>
      <c r="D4" s="249"/>
      <c r="E4" s="249"/>
      <c r="F4" s="249"/>
      <c r="G4" s="249"/>
      <c r="H4" s="249"/>
      <c r="I4" s="249"/>
      <c r="J4" s="249"/>
    </row>
    <row r="5" spans="2:10">
      <c r="C5" s="250" t="s">
        <v>0</v>
      </c>
      <c r="D5" s="250"/>
      <c r="E5" s="250"/>
      <c r="F5" s="250"/>
      <c r="G5" s="250"/>
      <c r="H5" s="250"/>
      <c r="I5" s="250"/>
      <c r="J5" s="250"/>
    </row>
    <row r="8" spans="2:10">
      <c r="B8" s="13" t="s">
        <v>1</v>
      </c>
      <c r="C8" s="13" t="s">
        <v>119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8</v>
      </c>
    </row>
    <row r="9" spans="2:10" ht="15" customHeight="1">
      <c r="B9" s="251" t="s">
        <v>121</v>
      </c>
      <c r="C9" s="248" t="s">
        <v>117</v>
      </c>
      <c r="D9" s="14" t="s">
        <v>137</v>
      </c>
      <c r="E9" s="115">
        <f>'Artesanal Anchoveta XV-IV'!F7+'Artesanal Anchoveta XV-IV'!F8+'Artesanal Anchoveta XV-IV'!F9+'Artesanal Anchoveta XV-IV'!F10+'Artesanal Anchoveta XV-IV'!F11</f>
        <v>67616.999999999985</v>
      </c>
      <c r="F9" s="145">
        <f>'Artesanal Anchoveta XV-IV'!G7+'Artesanal Anchoveta XV-IV'!G8+'Artesanal Anchoveta XV-IV'!G9+'Artesanal Anchoveta XV-IV'!G10+'Artesanal Anchoveta XV-IV'!G11</f>
        <v>0</v>
      </c>
      <c r="G9" s="222">
        <f>E9+F9</f>
        <v>67616.999999999985</v>
      </c>
      <c r="H9" s="107">
        <f>'Artesanal Anchoveta XV-IV'!I7+'Artesanal Anchoveta XV-IV'!I8+'Artesanal Anchoveta XV-IV'!I9+'Artesanal Anchoveta XV-IV'!I10+'Artesanal Anchoveta XV-IV'!I11</f>
        <v>15264.396999999999</v>
      </c>
      <c r="I9" s="107">
        <f t="shared" ref="I9:I21" si="0">+G9-H9</f>
        <v>52352.602999999988</v>
      </c>
      <c r="J9" s="113">
        <f t="shared" ref="J9:J21" si="1">+H9/G9</f>
        <v>0.22574791842288186</v>
      </c>
    </row>
    <row r="10" spans="2:10" s="103" customFormat="1" ht="15" customHeight="1">
      <c r="B10" s="251"/>
      <c r="C10" s="248"/>
      <c r="D10" s="14" t="s">
        <v>146</v>
      </c>
      <c r="E10" s="115">
        <f>'Artesanal Anchoveta XV-IV'!F12+'Artesanal Anchoveta XV-IV'!F13+'Artesanal Anchoveta XV-IV'!F14+'Artesanal Anchoveta XV-IV'!F15</f>
        <v>15782</v>
      </c>
      <c r="F10" s="145">
        <f>'Artesanal Anchoveta XV-IV'!G12+'Artesanal Anchoveta XV-IV'!G13+'Artesanal Anchoveta XV-IV'!G14+'Artesanal Anchoveta XV-IV'!G15</f>
        <v>0</v>
      </c>
      <c r="G10" s="223">
        <f>E10+F10</f>
        <v>15782</v>
      </c>
      <c r="H10" s="107">
        <f>+'Artesanal Anchoveta XV-IV'!P12</f>
        <v>487.76</v>
      </c>
      <c r="I10" s="107">
        <f t="shared" ref="I10" si="2">+G10-H10</f>
        <v>15294.24</v>
      </c>
      <c r="J10" s="113">
        <f t="shared" ref="J10" si="3">+H10/G10</f>
        <v>3.0906095551894563E-2</v>
      </c>
    </row>
    <row r="11" spans="2:10">
      <c r="B11" s="251"/>
      <c r="C11" s="248"/>
      <c r="D11" s="14" t="s">
        <v>10</v>
      </c>
      <c r="E11" s="115">
        <f>+'Artesanal Anchoveta XV-IV'!M16</f>
        <v>31503</v>
      </c>
      <c r="F11" s="145">
        <f>+'Artesanal Anchoveta XV-IV'!N16</f>
        <v>0</v>
      </c>
      <c r="G11" s="107">
        <f>+'Artesanal Anchoveta XV-IV'!O16</f>
        <v>31503</v>
      </c>
      <c r="H11" s="107">
        <f>+'Artesanal Anchoveta XV-IV'!P16</f>
        <v>8959.4350000000013</v>
      </c>
      <c r="I11" s="107">
        <f t="shared" si="0"/>
        <v>22543.564999999999</v>
      </c>
      <c r="J11" s="113">
        <f t="shared" si="1"/>
        <v>0.28439942227724346</v>
      </c>
    </row>
    <row r="12" spans="2:10" s="1" customFormat="1">
      <c r="B12" s="251"/>
      <c r="C12" s="248"/>
      <c r="D12" s="14" t="s">
        <v>11</v>
      </c>
      <c r="E12" s="115">
        <f>+'Artesanal Anchoveta XV-IV'!M19</f>
        <v>31478</v>
      </c>
      <c r="F12" s="145">
        <f>+'Artesanal Anchoveta XV-IV'!N19</f>
        <v>0</v>
      </c>
      <c r="G12" s="107">
        <f>+'Artesanal Anchoveta XV-IV'!O19</f>
        <v>31478</v>
      </c>
      <c r="H12" s="107">
        <f>+'Artesanal Anchoveta XV-IV'!P19</f>
        <v>9336.7139999999927</v>
      </c>
      <c r="I12" s="107">
        <f t="shared" si="0"/>
        <v>22141.286000000007</v>
      </c>
      <c r="J12" s="113">
        <f t="shared" si="1"/>
        <v>0.29661077577990952</v>
      </c>
    </row>
    <row r="13" spans="2:10" ht="15" customHeight="1">
      <c r="B13" s="251"/>
      <c r="C13" s="248"/>
      <c r="D13" s="14" t="s">
        <v>12</v>
      </c>
      <c r="E13" s="115">
        <f>+'Artesanal Anchoveta XV-IV'!F20+'Artesanal Anchoveta XV-IV'!F21</f>
        <v>13491</v>
      </c>
      <c r="F13" s="145">
        <f>+'Artesanal Anchoveta XV-IV'!G20+'Artesanal Anchoveta XV-IV'!G21</f>
        <v>0</v>
      </c>
      <c r="G13" s="107">
        <f>+'Artesanal Anchoveta XV-IV'!H20+'Artesanal Anchoveta XV-IV'!H21</f>
        <v>13491</v>
      </c>
      <c r="H13" s="107">
        <f>+'Artesanal Anchoveta XV-IV'!I20+'Artesanal Anchoveta XV-IV'!I21</f>
        <v>5198.908000000004</v>
      </c>
      <c r="I13" s="107">
        <f t="shared" si="0"/>
        <v>8292.0919999999969</v>
      </c>
      <c r="J13" s="113">
        <f t="shared" si="1"/>
        <v>0.38536120376547356</v>
      </c>
    </row>
    <row r="14" spans="2:10">
      <c r="B14" s="251"/>
      <c r="C14" s="248"/>
      <c r="D14" s="14" t="s">
        <v>13</v>
      </c>
      <c r="E14" s="115">
        <f>+'Artesanal Anchoveta XV-IV'!F18</f>
        <v>1000</v>
      </c>
      <c r="F14" s="115">
        <f>+'Artesanal Anchoveta XV-IV'!G18</f>
        <v>0</v>
      </c>
      <c r="G14" s="115">
        <f>+'Artesanal Anchoveta XV-IV'!H18</f>
        <v>1000</v>
      </c>
      <c r="H14" s="115">
        <f>+'Artesanal Anchoveta XV-IV'!I18</f>
        <v>0</v>
      </c>
      <c r="I14" s="107">
        <f t="shared" si="0"/>
        <v>1000</v>
      </c>
      <c r="J14" s="113">
        <f t="shared" si="1"/>
        <v>0</v>
      </c>
    </row>
    <row r="15" spans="2:10">
      <c r="B15" s="251"/>
      <c r="C15" s="248"/>
      <c r="D15" s="14" t="s">
        <v>14</v>
      </c>
      <c r="E15" s="115">
        <f>+'Artesanal Anchoveta XV-IV'!F22</f>
        <v>500</v>
      </c>
      <c r="F15" s="115">
        <f>+'Artesanal Anchoveta XV-IV'!G22</f>
        <v>0</v>
      </c>
      <c r="G15" s="115">
        <f>+'Artesanal Anchoveta XV-IV'!H22</f>
        <v>500</v>
      </c>
      <c r="H15" s="115">
        <f>+'Artesanal Anchoveta XV-IV'!I22</f>
        <v>0</v>
      </c>
      <c r="I15" s="107">
        <f t="shared" si="0"/>
        <v>500</v>
      </c>
      <c r="J15" s="113">
        <f t="shared" si="1"/>
        <v>0</v>
      </c>
    </row>
    <row r="16" spans="2:10" ht="15" customHeight="1">
      <c r="B16" s="251"/>
      <c r="C16" s="248" t="s">
        <v>118</v>
      </c>
      <c r="D16" s="14" t="s">
        <v>9</v>
      </c>
      <c r="E16" s="115">
        <f>+'Artesanal S.española XV-IV'!M7</f>
        <v>630</v>
      </c>
      <c r="F16" s="146">
        <f>+'Artesanal S.española XV-IV'!N7</f>
        <v>0</v>
      </c>
      <c r="G16" s="115">
        <f>+'Artesanal S.española XV-IV'!O7</f>
        <v>630</v>
      </c>
      <c r="H16" s="115">
        <f>+'Artesanal S.española XV-IV'!P7</f>
        <v>0</v>
      </c>
      <c r="I16" s="115">
        <f t="shared" si="0"/>
        <v>630</v>
      </c>
      <c r="J16" s="143">
        <f t="shared" si="1"/>
        <v>0</v>
      </c>
    </row>
    <row r="17" spans="2:10">
      <c r="B17" s="251"/>
      <c r="C17" s="248"/>
      <c r="D17" s="14" t="s">
        <v>10</v>
      </c>
      <c r="E17" s="115">
        <f>+'Artesanal S.española XV-IV'!M9</f>
        <v>2385</v>
      </c>
      <c r="F17" s="146">
        <f>+'Artesanal S.española XV-IV'!N9</f>
        <v>0</v>
      </c>
      <c r="G17" s="115">
        <f>+'Artesanal S.española XV-IV'!O9</f>
        <v>2385</v>
      </c>
      <c r="H17" s="115">
        <f>+'Artesanal S.española XV-IV'!P9</f>
        <v>242.32599999999996</v>
      </c>
      <c r="I17" s="115">
        <f t="shared" si="0"/>
        <v>2142.674</v>
      </c>
      <c r="J17" s="143">
        <f t="shared" si="1"/>
        <v>0.10160419287211739</v>
      </c>
    </row>
    <row r="18" spans="2:10">
      <c r="B18" s="251"/>
      <c r="C18" s="248"/>
      <c r="D18" s="14" t="s">
        <v>11</v>
      </c>
      <c r="E18" s="115">
        <f>+'Artesanal S.española XV-IV'!M12</f>
        <v>387.5</v>
      </c>
      <c r="F18" s="146">
        <f>+'Artesanal S.española XV-IV'!N12</f>
        <v>0</v>
      </c>
      <c r="G18" s="115">
        <f>+'Artesanal S.española XV-IV'!O12</f>
        <v>387.5</v>
      </c>
      <c r="H18" s="115">
        <f>+'Artesanal S.española XV-IV'!P12</f>
        <v>74.331000000000003</v>
      </c>
      <c r="I18" s="115">
        <f t="shared" si="0"/>
        <v>313.16899999999998</v>
      </c>
      <c r="J18" s="143">
        <f t="shared" si="1"/>
        <v>0.19182193548387097</v>
      </c>
    </row>
    <row r="19" spans="2:10">
      <c r="B19" s="251"/>
      <c r="C19" s="248"/>
      <c r="D19" s="14" t="s">
        <v>12</v>
      </c>
      <c r="E19" s="115">
        <f>+'Artesanal S.española XV-IV'!M13</f>
        <v>387.5</v>
      </c>
      <c r="F19" s="146">
        <f>+'Artesanal S.española XV-IV'!N13</f>
        <v>0</v>
      </c>
      <c r="G19" s="115">
        <f>+'Artesanal S.española XV-IV'!O13</f>
        <v>387.5</v>
      </c>
      <c r="H19" s="115">
        <f>+'Artesanal S.española XV-IV'!P13</f>
        <v>62.364000000000011</v>
      </c>
      <c r="I19" s="115">
        <f t="shared" si="0"/>
        <v>325.13599999999997</v>
      </c>
      <c r="J19" s="143">
        <f t="shared" si="1"/>
        <v>0.16093935483870972</v>
      </c>
    </row>
    <row r="20" spans="2:10">
      <c r="B20" s="251"/>
      <c r="C20" s="248"/>
      <c r="D20" s="14" t="s">
        <v>13</v>
      </c>
      <c r="E20" s="115">
        <f>+'Artesanal S.española XV-IV'!F11</f>
        <v>500</v>
      </c>
      <c r="F20" s="115">
        <f>+'Artesanal S.española XV-IV'!G11</f>
        <v>0</v>
      </c>
      <c r="G20" s="115">
        <f>+'Artesanal S.española XV-IV'!H11</f>
        <v>500</v>
      </c>
      <c r="H20" s="115">
        <f>+'Artesanal S.española XV-IV'!I11</f>
        <v>0</v>
      </c>
      <c r="I20" s="107">
        <f t="shared" si="0"/>
        <v>500</v>
      </c>
      <c r="J20" s="113">
        <f t="shared" si="1"/>
        <v>0</v>
      </c>
    </row>
    <row r="21" spans="2:10">
      <c r="B21" s="251"/>
      <c r="C21" s="248"/>
      <c r="D21" s="14" t="s">
        <v>14</v>
      </c>
      <c r="E21" s="115">
        <f>+'Artesanal S.española XV-IV'!F14</f>
        <v>100</v>
      </c>
      <c r="F21" s="115">
        <f>+'Artesanal S.española XV-IV'!G14</f>
        <v>0</v>
      </c>
      <c r="G21" s="115">
        <f>+'Artesanal S.española XV-IV'!H14</f>
        <v>100</v>
      </c>
      <c r="H21" s="115">
        <f>+'Artesanal S.española XV-IV'!I14</f>
        <v>0</v>
      </c>
      <c r="I21" s="107">
        <f t="shared" si="0"/>
        <v>100</v>
      </c>
      <c r="J21" s="113">
        <f t="shared" si="1"/>
        <v>0</v>
      </c>
    </row>
    <row r="22" spans="2:10" s="1" customFormat="1" ht="28.5" customHeight="1">
      <c r="B22" s="13" t="s">
        <v>120</v>
      </c>
      <c r="C22" s="253" t="s">
        <v>123</v>
      </c>
      <c r="D22" s="252" t="s">
        <v>15</v>
      </c>
      <c r="E22" s="115">
        <v>200</v>
      </c>
      <c r="F22" s="145">
        <v>0</v>
      </c>
      <c r="G22" s="107">
        <f t="shared" ref="G22:G27" si="4">+E22+F22</f>
        <v>200</v>
      </c>
      <c r="H22" s="107">
        <f>+'P. Investigación'!H9+'P. Investigación'!H12+'P. Investigación'!H19</f>
        <v>0</v>
      </c>
      <c r="I22" s="107">
        <f>+G22-H22</f>
        <v>200</v>
      </c>
      <c r="J22" s="113">
        <f>+H22/G22</f>
        <v>0</v>
      </c>
    </row>
    <row r="23" spans="2:10" s="103" customFormat="1" ht="18.75" customHeight="1">
      <c r="B23" s="207" t="s">
        <v>160</v>
      </c>
      <c r="C23" s="254"/>
      <c r="D23" s="252"/>
      <c r="E23" s="115">
        <v>7843</v>
      </c>
      <c r="F23" s="145"/>
      <c r="G23" s="107">
        <f t="shared" si="4"/>
        <v>7843</v>
      </c>
      <c r="H23" s="107"/>
      <c r="I23" s="107">
        <f>+G23-H23</f>
        <v>7843</v>
      </c>
      <c r="J23" s="113">
        <f>+H23/G23</f>
        <v>0</v>
      </c>
    </row>
    <row r="24" spans="2:10" s="1" customFormat="1">
      <c r="B24" s="13" t="s">
        <v>122</v>
      </c>
      <c r="C24" s="102" t="s">
        <v>117</v>
      </c>
      <c r="D24" s="252"/>
      <c r="E24" s="115">
        <v>7843</v>
      </c>
      <c r="F24" s="145"/>
      <c r="G24" s="115">
        <f t="shared" si="4"/>
        <v>7843</v>
      </c>
      <c r="H24" s="107">
        <v>0</v>
      </c>
      <c r="I24" s="107">
        <v>0</v>
      </c>
      <c r="J24" s="113">
        <v>0</v>
      </c>
    </row>
    <row r="25" spans="2:10" s="1" customFormat="1">
      <c r="B25" s="13" t="s">
        <v>120</v>
      </c>
      <c r="C25" s="102" t="s">
        <v>116</v>
      </c>
      <c r="D25" s="252" t="s">
        <v>16</v>
      </c>
      <c r="E25" s="115">
        <v>70</v>
      </c>
      <c r="F25" s="145">
        <v>0</v>
      </c>
      <c r="G25" s="107">
        <f t="shared" si="4"/>
        <v>70</v>
      </c>
      <c r="H25" s="107">
        <f>+'P. Investigación'!H6+'P. Investigación'!H7+'P. Investigación'!H8</f>
        <v>8.3000000000000004E-2</v>
      </c>
      <c r="I25" s="107">
        <f>+G25-H25</f>
        <v>69.917000000000002</v>
      </c>
      <c r="J25" s="113">
        <f>+H25/G25</f>
        <v>1.1857142857142858E-3</v>
      </c>
    </row>
    <row r="26" spans="2:10" s="103" customFormat="1">
      <c r="B26" s="207" t="s">
        <v>160</v>
      </c>
      <c r="C26" s="102" t="s">
        <v>117</v>
      </c>
      <c r="D26" s="252"/>
      <c r="E26" s="115">
        <v>919</v>
      </c>
      <c r="F26" s="145"/>
      <c r="G26" s="107">
        <f t="shared" si="4"/>
        <v>919</v>
      </c>
      <c r="H26" s="107"/>
      <c r="I26" s="107">
        <f>+G26-H26</f>
        <v>919</v>
      </c>
      <c r="J26" s="113">
        <f>+H26/G26</f>
        <v>0</v>
      </c>
    </row>
    <row r="27" spans="2:10" s="1" customFormat="1">
      <c r="B27" s="13" t="s">
        <v>120</v>
      </c>
      <c r="C27" s="102" t="s">
        <v>118</v>
      </c>
      <c r="D27" s="252"/>
      <c r="E27" s="115">
        <v>0</v>
      </c>
      <c r="F27" s="145">
        <v>0</v>
      </c>
      <c r="G27" s="107">
        <f t="shared" si="4"/>
        <v>0</v>
      </c>
      <c r="H27" s="107">
        <v>0</v>
      </c>
      <c r="I27" s="107">
        <v>0</v>
      </c>
      <c r="J27" s="113">
        <v>0</v>
      </c>
    </row>
    <row r="28" spans="2:10">
      <c r="B28" s="251" t="s">
        <v>115</v>
      </c>
      <c r="C28" s="248" t="s">
        <v>116</v>
      </c>
      <c r="D28" s="17" t="s">
        <v>15</v>
      </c>
      <c r="E28" s="115">
        <f>+Industrial!K27</f>
        <v>645993.75599999994</v>
      </c>
      <c r="F28" s="145">
        <f>+Industrial!L27</f>
        <v>0</v>
      </c>
      <c r="G28" s="107">
        <f>+Industrial!M27</f>
        <v>645993.75599999994</v>
      </c>
      <c r="H28" s="107">
        <f>+Industrial!N27</f>
        <v>9821.3500000000022</v>
      </c>
      <c r="I28" s="107">
        <f>+G28-H28</f>
        <v>636172.40599999996</v>
      </c>
      <c r="J28" s="113">
        <f>+H28/G28</f>
        <v>1.5203475124610961E-2</v>
      </c>
    </row>
    <row r="29" spans="2:10">
      <c r="B29" s="251"/>
      <c r="C29" s="248"/>
      <c r="D29" s="17" t="s">
        <v>16</v>
      </c>
      <c r="E29" s="115">
        <f>+Industrial!K46</f>
        <v>44741.498999999974</v>
      </c>
      <c r="F29" s="145">
        <f>+Industrial!L46</f>
        <v>0</v>
      </c>
      <c r="G29" s="107">
        <f>+Industrial!M46</f>
        <v>44741.498999999974</v>
      </c>
      <c r="H29" s="107">
        <f>+Industrial!N46</f>
        <v>0</v>
      </c>
      <c r="I29" s="107">
        <f t="shared" ref="I29:I31" si="5">+G29-H29</f>
        <v>44741.498999999974</v>
      </c>
      <c r="J29" s="113">
        <f>+H29/G29</f>
        <v>0</v>
      </c>
    </row>
    <row r="30" spans="2:10">
      <c r="B30" s="251"/>
      <c r="C30" s="248" t="s">
        <v>124</v>
      </c>
      <c r="D30" s="17" t="s">
        <v>15</v>
      </c>
      <c r="E30" s="115">
        <f>+Industrial!K53</f>
        <v>1484.9989999999998</v>
      </c>
      <c r="F30" s="145">
        <f>+Industrial!L53</f>
        <v>0</v>
      </c>
      <c r="G30" s="107">
        <f>+Industrial!M53</f>
        <v>1484.9989999999998</v>
      </c>
      <c r="H30" s="107">
        <f>+Industrial!N53</f>
        <v>262.29500000000002</v>
      </c>
      <c r="I30" s="107">
        <f t="shared" si="5"/>
        <v>1222.7039999999997</v>
      </c>
      <c r="J30" s="113">
        <f>+H30/G30</f>
        <v>0.1766297485722213</v>
      </c>
    </row>
    <row r="31" spans="2:10">
      <c r="B31" s="251"/>
      <c r="C31" s="248"/>
      <c r="D31" s="17" t="s">
        <v>16</v>
      </c>
      <c r="E31" s="115">
        <f>+Industrial!K63</f>
        <v>875.00099999999986</v>
      </c>
      <c r="F31" s="145">
        <f>+Industrial!L63</f>
        <v>0</v>
      </c>
      <c r="G31" s="107">
        <f>+Industrial!M63</f>
        <v>875.00099999999986</v>
      </c>
      <c r="H31" s="107">
        <f>+Industrial!N63</f>
        <v>0</v>
      </c>
      <c r="I31" s="107">
        <f t="shared" si="5"/>
        <v>875.00099999999986</v>
      </c>
      <c r="J31" s="113">
        <f>+H31/G31</f>
        <v>0</v>
      </c>
    </row>
    <row r="32" spans="2:10" s="103" customFormat="1">
      <c r="B32" s="244" t="s">
        <v>138</v>
      </c>
      <c r="C32" s="149" t="s">
        <v>117</v>
      </c>
      <c r="D32" s="245" t="s">
        <v>139</v>
      </c>
      <c r="E32" s="115">
        <v>0</v>
      </c>
      <c r="F32" s="145">
        <f>+'Cesiones individuales'!S5</f>
        <v>0</v>
      </c>
      <c r="G32" s="107">
        <f>+'Cesiones individuales'!S5</f>
        <v>0</v>
      </c>
      <c r="H32" s="107">
        <f>+'Cesiones individuales'!T5</f>
        <v>0</v>
      </c>
      <c r="I32" s="107">
        <f>+'Cesiones individuales'!U5</f>
        <v>0</v>
      </c>
      <c r="J32" s="113" t="e">
        <f>+'Cesiones individuales'!V5</f>
        <v>#DIV/0!</v>
      </c>
    </row>
    <row r="33" spans="2:10" s="103" customFormat="1">
      <c r="B33" s="244"/>
      <c r="C33" s="149" t="s">
        <v>118</v>
      </c>
      <c r="D33" s="246"/>
      <c r="E33" s="115">
        <v>0</v>
      </c>
      <c r="F33" s="145">
        <f>+'Cesiones individuales'!S6</f>
        <v>0</v>
      </c>
      <c r="G33" s="107">
        <f>+'Cesiones individuales'!S6</f>
        <v>0</v>
      </c>
      <c r="H33" s="107">
        <f>+'Cesiones individuales'!T6</f>
        <v>0</v>
      </c>
      <c r="I33" s="107">
        <f>+'Cesiones individuales'!U6</f>
        <v>0</v>
      </c>
      <c r="J33" s="113" t="e">
        <f>+'Cesiones individuales'!V6</f>
        <v>#DIV/0!</v>
      </c>
    </row>
    <row r="34" spans="2:10">
      <c r="E34" s="116">
        <f>SUM(E9:E33)</f>
        <v>875731.25499999989</v>
      </c>
      <c r="F34" s="110">
        <f>SUM(F9:F33)</f>
        <v>0</v>
      </c>
      <c r="G34" s="157">
        <f>SUM(G9:G33)</f>
        <v>875731.25499999989</v>
      </c>
    </row>
  </sheetData>
  <mergeCells count="14">
    <mergeCell ref="B32:B33"/>
    <mergeCell ref="D32:D33"/>
    <mergeCell ref="B2:J3"/>
    <mergeCell ref="C30:C31"/>
    <mergeCell ref="C4:J4"/>
    <mergeCell ref="C5:J5"/>
    <mergeCell ref="B28:B31"/>
    <mergeCell ref="B9:B21"/>
    <mergeCell ref="D22:D24"/>
    <mergeCell ref="D25:D27"/>
    <mergeCell ref="C9:C15"/>
    <mergeCell ref="C16:C21"/>
    <mergeCell ref="C28:C29"/>
    <mergeCell ref="C22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30"/>
  <sheetViews>
    <sheetView topLeftCell="B10" zoomScale="98" zoomScaleNormal="98" workbookViewId="0">
      <selection activeCell="K27" sqref="K26:K27"/>
    </sheetView>
  </sheetViews>
  <sheetFormatPr baseColWidth="10" defaultRowHeight="14.4"/>
  <cols>
    <col min="1" max="1" width="2.77734375" customWidth="1"/>
    <col min="2" max="2" width="22.77734375" customWidth="1"/>
    <col min="3" max="3" width="21.5546875" customWidth="1"/>
    <col min="4" max="4" width="19.77734375" style="1" customWidth="1"/>
    <col min="5" max="5" width="8.77734375" bestFit="1" customWidth="1"/>
    <col min="6" max="6" width="12.21875" customWidth="1"/>
    <col min="7" max="7" width="12.77734375" bestFit="1" customWidth="1"/>
    <col min="13" max="13" width="12" customWidth="1"/>
  </cols>
  <sheetData>
    <row r="2" spans="2:18">
      <c r="B2" s="261" t="s">
        <v>149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2:18" s="22" customFormat="1"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</row>
    <row r="4" spans="2:18">
      <c r="B4" s="249">
        <f>+Resumen!C4</f>
        <v>43915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2:18">
      <c r="M5" s="275" t="s">
        <v>75</v>
      </c>
      <c r="N5" s="275"/>
      <c r="O5" s="275"/>
      <c r="P5" s="275"/>
      <c r="Q5" s="275"/>
      <c r="R5" s="275"/>
    </row>
    <row r="6" spans="2:18" ht="28.8">
      <c r="B6" s="12" t="s">
        <v>17</v>
      </c>
      <c r="C6" s="230" t="s">
        <v>142</v>
      </c>
      <c r="D6" s="230" t="s">
        <v>28</v>
      </c>
      <c r="E6" s="13" t="s">
        <v>22</v>
      </c>
      <c r="F6" s="12" t="s">
        <v>33</v>
      </c>
      <c r="G6" s="13" t="s">
        <v>4</v>
      </c>
      <c r="H6" s="12" t="s">
        <v>34</v>
      </c>
      <c r="I6" s="136" t="s">
        <v>145</v>
      </c>
      <c r="J6" s="136" t="s">
        <v>144</v>
      </c>
      <c r="K6" s="13" t="s">
        <v>35</v>
      </c>
      <c r="L6" s="13" t="s">
        <v>36</v>
      </c>
      <c r="M6" s="19" t="s">
        <v>33</v>
      </c>
      <c r="N6" s="20" t="s">
        <v>4</v>
      </c>
      <c r="O6" s="20" t="s">
        <v>34</v>
      </c>
      <c r="P6" s="20" t="s">
        <v>6</v>
      </c>
      <c r="Q6" s="20" t="s">
        <v>7</v>
      </c>
      <c r="R6" s="20" t="s">
        <v>35</v>
      </c>
    </row>
    <row r="7" spans="2:18" s="103" customFormat="1">
      <c r="B7" s="221"/>
      <c r="C7" s="268" t="s">
        <v>156</v>
      </c>
      <c r="D7" s="118" t="s">
        <v>177</v>
      </c>
      <c r="E7" s="231" t="s">
        <v>176</v>
      </c>
      <c r="F7" s="123">
        <v>2677.3649999999998</v>
      </c>
      <c r="G7" s="118"/>
      <c r="H7" s="118">
        <f>F7+G7</f>
        <v>2677.3649999999998</v>
      </c>
      <c r="I7" s="237">
        <v>2677.3649999999998</v>
      </c>
      <c r="J7" s="118">
        <f>H7-I7</f>
        <v>0</v>
      </c>
      <c r="K7" s="18">
        <f>I7/H7</f>
        <v>1</v>
      </c>
      <c r="L7" s="118"/>
      <c r="M7" s="225">
        <f>F7</f>
        <v>2677.3649999999998</v>
      </c>
      <c r="N7" s="226">
        <f>G7</f>
        <v>0</v>
      </c>
      <c r="O7" s="227">
        <f>M7+N7</f>
        <v>2677.3649999999998</v>
      </c>
      <c r="P7" s="226">
        <f>I7</f>
        <v>2677.3649999999998</v>
      </c>
      <c r="Q7" s="228"/>
      <c r="R7" s="228"/>
    </row>
    <row r="8" spans="2:18" ht="15" customHeight="1">
      <c r="B8" s="262" t="s">
        <v>18</v>
      </c>
      <c r="C8" s="269"/>
      <c r="D8" s="118" t="s">
        <v>173</v>
      </c>
      <c r="E8" s="231" t="s">
        <v>175</v>
      </c>
      <c r="F8" s="123">
        <v>44960.25</v>
      </c>
      <c r="G8" s="118"/>
      <c r="H8" s="118">
        <f>+F8+G8</f>
        <v>44960.25</v>
      </c>
      <c r="I8" s="237">
        <f>9958.434+1215.762</f>
        <v>11174.196</v>
      </c>
      <c r="J8" s="118">
        <f>+H8-I8</f>
        <v>33786.054000000004</v>
      </c>
      <c r="K8" s="158">
        <f>+I8/H8</f>
        <v>0.24853500592189767</v>
      </c>
      <c r="L8" s="105"/>
      <c r="M8" s="257">
        <f>+F8+F9</f>
        <v>60782.004999999997</v>
      </c>
      <c r="N8" s="257">
        <f>+G8+G9</f>
        <v>0</v>
      </c>
      <c r="O8" s="257">
        <f>+M8+N8</f>
        <v>60782.004999999997</v>
      </c>
      <c r="P8" s="257">
        <f>+I8+I9</f>
        <v>11174.196</v>
      </c>
      <c r="Q8" s="257">
        <f>+O8-P8</f>
        <v>49607.808999999994</v>
      </c>
      <c r="R8" s="259">
        <f>+P8/O8</f>
        <v>0.18384052977521884</v>
      </c>
    </row>
    <row r="9" spans="2:18" s="1" customFormat="1">
      <c r="B9" s="263"/>
      <c r="C9" s="269"/>
      <c r="D9" s="118"/>
      <c r="E9" s="231" t="s">
        <v>20</v>
      </c>
      <c r="F9" s="123">
        <v>15821.754999999999</v>
      </c>
      <c r="G9" s="118"/>
      <c r="H9" s="118">
        <f>+J8+F9+G9</f>
        <v>49607.809000000001</v>
      </c>
      <c r="I9" s="118"/>
      <c r="J9" s="118">
        <f>+H9-I9</f>
        <v>49607.809000000001</v>
      </c>
      <c r="K9" s="18">
        <f>+I9/H9</f>
        <v>0</v>
      </c>
      <c r="L9" s="17"/>
      <c r="M9" s="258"/>
      <c r="N9" s="258"/>
      <c r="O9" s="258"/>
      <c r="P9" s="258"/>
      <c r="Q9" s="258"/>
      <c r="R9" s="260"/>
    </row>
    <row r="10" spans="2:18" s="103" customFormat="1">
      <c r="B10" s="263"/>
      <c r="C10" s="269"/>
      <c r="D10" s="118" t="s">
        <v>174</v>
      </c>
      <c r="E10" s="231" t="s">
        <v>175</v>
      </c>
      <c r="F10" s="123">
        <v>3075.3850000000002</v>
      </c>
      <c r="G10" s="118"/>
      <c r="H10" s="118">
        <f>+F10+G10</f>
        <v>3075.3850000000002</v>
      </c>
      <c r="I10" s="237">
        <v>1412.836</v>
      </c>
      <c r="J10" s="118">
        <f t="shared" ref="J10:J15" si="0">+H10-I10</f>
        <v>1662.5490000000002</v>
      </c>
      <c r="K10" s="18">
        <f t="shared" ref="K10:K16" si="1">+I10/H10</f>
        <v>0.45940134324645532</v>
      </c>
      <c r="L10" s="220"/>
      <c r="M10" s="257">
        <f t="shared" ref="M10" si="2">+F10+F11</f>
        <v>4157.63</v>
      </c>
      <c r="N10" s="257">
        <f t="shared" ref="N10" si="3">+G10+G11</f>
        <v>0</v>
      </c>
      <c r="O10" s="257">
        <f t="shared" ref="O10" si="4">+M10+N10</f>
        <v>4157.63</v>
      </c>
      <c r="P10" s="257">
        <f>+I10+I11</f>
        <v>1412.836</v>
      </c>
      <c r="Q10" s="257">
        <f>+O10-P10</f>
        <v>2744.7939999999999</v>
      </c>
      <c r="R10" s="259">
        <f t="shared" ref="R10" si="5">+P10/O10</f>
        <v>0.33981763649001956</v>
      </c>
    </row>
    <row r="11" spans="2:18" s="103" customFormat="1">
      <c r="B11" s="263"/>
      <c r="C11" s="270"/>
      <c r="D11" s="118"/>
      <c r="E11" s="231" t="s">
        <v>20</v>
      </c>
      <c r="F11" s="123">
        <v>1082.2449999999999</v>
      </c>
      <c r="G11" s="118"/>
      <c r="H11" s="118">
        <f>+J10+F11+G11</f>
        <v>2744.7939999999999</v>
      </c>
      <c r="I11" s="238"/>
      <c r="J11" s="118">
        <f t="shared" si="0"/>
        <v>2744.7939999999999</v>
      </c>
      <c r="K11" s="18">
        <f t="shared" si="1"/>
        <v>0</v>
      </c>
      <c r="L11" s="220"/>
      <c r="M11" s="258"/>
      <c r="N11" s="258"/>
      <c r="O11" s="258"/>
      <c r="P11" s="258"/>
      <c r="Q11" s="258"/>
      <c r="R11" s="260"/>
    </row>
    <row r="12" spans="2:18" s="103" customFormat="1">
      <c r="B12" s="263"/>
      <c r="C12" s="265" t="s">
        <v>155</v>
      </c>
      <c r="D12" s="255" t="s">
        <v>173</v>
      </c>
      <c r="E12" s="232" t="s">
        <v>19</v>
      </c>
      <c r="F12" s="233">
        <v>11669.392</v>
      </c>
      <c r="G12" s="234"/>
      <c r="H12" s="234">
        <f>+F12+G12</f>
        <v>11669.392</v>
      </c>
      <c r="I12" s="237">
        <v>487.76</v>
      </c>
      <c r="J12" s="234">
        <f t="shared" si="0"/>
        <v>11181.632</v>
      </c>
      <c r="K12" s="235">
        <f t="shared" si="1"/>
        <v>4.1798235932086265E-2</v>
      </c>
      <c r="L12" s="236"/>
      <c r="M12" s="257">
        <f t="shared" ref="M12" si="6">+F12+F13</f>
        <v>15559.189</v>
      </c>
      <c r="N12" s="257">
        <f t="shared" ref="N12" si="7">+G12+G13</f>
        <v>0</v>
      </c>
      <c r="O12" s="257">
        <f t="shared" ref="O12" si="8">+M12+N12</f>
        <v>15559.189</v>
      </c>
      <c r="P12" s="257">
        <f>+I12+I13</f>
        <v>487.76</v>
      </c>
      <c r="Q12" s="257">
        <f>+O12-P12</f>
        <v>15071.429</v>
      </c>
      <c r="R12" s="259">
        <f t="shared" ref="R12" si="9">+P12/O12</f>
        <v>3.1348677620665191E-2</v>
      </c>
    </row>
    <row r="13" spans="2:18" s="103" customFormat="1">
      <c r="B13" s="263"/>
      <c r="C13" s="266"/>
      <c r="D13" s="256"/>
      <c r="E13" s="232" t="s">
        <v>20</v>
      </c>
      <c r="F13" s="233">
        <v>3889.797</v>
      </c>
      <c r="G13" s="234"/>
      <c r="H13" s="234">
        <f>+J12+F13+G13</f>
        <v>15071.429</v>
      </c>
      <c r="I13" s="239"/>
      <c r="J13" s="234">
        <f t="shared" si="0"/>
        <v>15071.429</v>
      </c>
      <c r="K13" s="235">
        <f t="shared" si="1"/>
        <v>0</v>
      </c>
      <c r="L13" s="236"/>
      <c r="M13" s="258"/>
      <c r="N13" s="258"/>
      <c r="O13" s="258"/>
      <c r="P13" s="258"/>
      <c r="Q13" s="258"/>
      <c r="R13" s="260"/>
    </row>
    <row r="14" spans="2:18" s="103" customFormat="1">
      <c r="B14" s="263"/>
      <c r="C14" s="266"/>
      <c r="D14" s="255" t="s">
        <v>174</v>
      </c>
      <c r="E14" s="232" t="s">
        <v>19</v>
      </c>
      <c r="F14" s="233">
        <v>167.108</v>
      </c>
      <c r="G14" s="234"/>
      <c r="H14" s="234">
        <f>+F14+G14</f>
        <v>167.108</v>
      </c>
      <c r="I14" s="239"/>
      <c r="J14" s="234">
        <f t="shared" si="0"/>
        <v>167.108</v>
      </c>
      <c r="K14" s="235">
        <f t="shared" si="1"/>
        <v>0</v>
      </c>
      <c r="L14" s="236"/>
      <c r="M14" s="257">
        <f t="shared" ref="M14" si="10">+F14+F15</f>
        <v>222.81100000000001</v>
      </c>
      <c r="N14" s="257">
        <f t="shared" ref="N14" si="11">+G14+G15</f>
        <v>0</v>
      </c>
      <c r="O14" s="257">
        <f t="shared" ref="O14" si="12">+M14+N14</f>
        <v>222.81100000000001</v>
      </c>
      <c r="P14" s="257">
        <f>+I14+I15</f>
        <v>0</v>
      </c>
      <c r="Q14" s="257">
        <f>+O14-P14</f>
        <v>222.81100000000001</v>
      </c>
      <c r="R14" s="259">
        <f t="shared" ref="R14" si="13">+P14/O14</f>
        <v>0</v>
      </c>
    </row>
    <row r="15" spans="2:18" s="103" customFormat="1">
      <c r="B15" s="263"/>
      <c r="C15" s="267"/>
      <c r="D15" s="256"/>
      <c r="E15" s="232" t="s">
        <v>20</v>
      </c>
      <c r="F15" s="233">
        <v>55.703000000000003</v>
      </c>
      <c r="G15" s="234"/>
      <c r="H15" s="234">
        <f>+J14+F15+G15</f>
        <v>222.81100000000001</v>
      </c>
      <c r="I15" s="239"/>
      <c r="J15" s="234">
        <f t="shared" si="0"/>
        <v>222.81100000000001</v>
      </c>
      <c r="K15" s="235">
        <f t="shared" si="1"/>
        <v>0</v>
      </c>
      <c r="L15" s="236"/>
      <c r="M15" s="258"/>
      <c r="N15" s="258"/>
      <c r="O15" s="258"/>
      <c r="P15" s="258"/>
      <c r="Q15" s="258"/>
      <c r="R15" s="260"/>
    </row>
    <row r="16" spans="2:18">
      <c r="B16" s="263"/>
      <c r="C16" s="272" t="s">
        <v>26</v>
      </c>
      <c r="D16" s="276" t="s">
        <v>107</v>
      </c>
      <c r="E16" s="16" t="s">
        <v>19</v>
      </c>
      <c r="F16" s="123">
        <v>23627</v>
      </c>
      <c r="G16" s="118"/>
      <c r="H16" s="118">
        <f>+F16+G16</f>
        <v>23627</v>
      </c>
      <c r="I16" s="240">
        <v>8959.4350000000013</v>
      </c>
      <c r="J16" s="118">
        <f t="shared" ref="J16:J21" si="14">+H16-I16</f>
        <v>14667.564999999999</v>
      </c>
      <c r="K16" s="18">
        <f t="shared" si="1"/>
        <v>0.3792032420535828</v>
      </c>
      <c r="L16" s="105"/>
      <c r="M16" s="257">
        <f>+F16+F17</f>
        <v>31503</v>
      </c>
      <c r="N16" s="257">
        <f>+G16+G17</f>
        <v>0</v>
      </c>
      <c r="O16" s="257">
        <f>+M16+N16</f>
        <v>31503</v>
      </c>
      <c r="P16" s="257">
        <f>+I16+I17</f>
        <v>8959.4350000000013</v>
      </c>
      <c r="Q16" s="257">
        <f>+O16-P16</f>
        <v>22543.564999999999</v>
      </c>
      <c r="R16" s="259">
        <f>+P16/O16</f>
        <v>0.28439942227724346</v>
      </c>
    </row>
    <row r="17" spans="2:18">
      <c r="B17" s="263"/>
      <c r="C17" s="272"/>
      <c r="D17" s="276"/>
      <c r="E17" s="16" t="s">
        <v>20</v>
      </c>
      <c r="F17" s="123">
        <v>7876</v>
      </c>
      <c r="G17" s="118"/>
      <c r="H17" s="118">
        <f>+J16+F17+G17</f>
        <v>22543.564999999999</v>
      </c>
      <c r="I17" s="238"/>
      <c r="J17" s="118">
        <f t="shared" si="14"/>
        <v>22543.564999999999</v>
      </c>
      <c r="K17" s="158">
        <f t="shared" ref="K17:K21" si="15">+I17/H17</f>
        <v>0</v>
      </c>
      <c r="L17" s="105"/>
      <c r="M17" s="258"/>
      <c r="N17" s="258"/>
      <c r="O17" s="258"/>
      <c r="P17" s="258"/>
      <c r="Q17" s="258"/>
      <c r="R17" s="260"/>
    </row>
    <row r="18" spans="2:18" s="103" customFormat="1">
      <c r="B18" s="264"/>
      <c r="C18" s="135" t="s">
        <v>143</v>
      </c>
      <c r="D18" s="133" t="s">
        <v>15</v>
      </c>
      <c r="E18" s="16" t="s">
        <v>60</v>
      </c>
      <c r="F18" s="123">
        <v>1000</v>
      </c>
      <c r="G18" s="118"/>
      <c r="H18" s="118">
        <f>+F18+G18</f>
        <v>1000</v>
      </c>
      <c r="I18" s="238"/>
      <c r="J18" s="118">
        <f>+H18-I18</f>
        <v>1000</v>
      </c>
      <c r="K18" s="18">
        <f>+I18/H18</f>
        <v>0</v>
      </c>
      <c r="L18" s="105"/>
      <c r="M18" s="131">
        <f>+F18</f>
        <v>1000</v>
      </c>
      <c r="N18" s="131">
        <f t="shared" ref="N18:P18" si="16">+G18</f>
        <v>0</v>
      </c>
      <c r="O18" s="131">
        <f t="shared" si="16"/>
        <v>1000</v>
      </c>
      <c r="P18" s="131">
        <f t="shared" si="16"/>
        <v>0</v>
      </c>
      <c r="Q18" s="131">
        <f>+O18-P18</f>
        <v>1000</v>
      </c>
      <c r="R18" s="132">
        <f>+P18/O18</f>
        <v>0</v>
      </c>
    </row>
    <row r="19" spans="2:18">
      <c r="B19" s="273" t="s">
        <v>23</v>
      </c>
      <c r="C19" s="15" t="s">
        <v>27</v>
      </c>
      <c r="D19" s="95" t="s">
        <v>108</v>
      </c>
      <c r="E19" s="16" t="s">
        <v>60</v>
      </c>
      <c r="F19" s="123">
        <v>31478</v>
      </c>
      <c r="G19" s="118"/>
      <c r="H19" s="118">
        <f>+F19+G19</f>
        <v>31478</v>
      </c>
      <c r="I19" s="240">
        <v>9336.7139999999927</v>
      </c>
      <c r="J19" s="118">
        <f t="shared" si="14"/>
        <v>22141.286000000007</v>
      </c>
      <c r="K19" s="158">
        <f t="shared" si="15"/>
        <v>0.29661077577990952</v>
      </c>
      <c r="L19" s="17"/>
      <c r="M19" s="119">
        <f>+F19</f>
        <v>31478</v>
      </c>
      <c r="N19" s="119">
        <f>+G19</f>
        <v>0</v>
      </c>
      <c r="O19" s="119">
        <f>+M19+N19</f>
        <v>31478</v>
      </c>
      <c r="P19" s="119">
        <f>+I19</f>
        <v>9336.7139999999927</v>
      </c>
      <c r="Q19" s="119">
        <f>+O19-P19</f>
        <v>22141.286000000007</v>
      </c>
      <c r="R19" s="21">
        <f>+P19/O19</f>
        <v>0.29661077577990952</v>
      </c>
    </row>
    <row r="20" spans="2:18">
      <c r="B20" s="274"/>
      <c r="C20" s="271" t="s">
        <v>29</v>
      </c>
      <c r="D20" s="95" t="s">
        <v>30</v>
      </c>
      <c r="E20" s="16" t="s">
        <v>60</v>
      </c>
      <c r="F20" s="123">
        <v>13446.74</v>
      </c>
      <c r="G20" s="118"/>
      <c r="H20" s="118">
        <f t="shared" ref="H20:H21" si="17">+F20+G20</f>
        <v>13446.74</v>
      </c>
      <c r="I20" s="240">
        <v>5198.908000000004</v>
      </c>
      <c r="J20" s="118">
        <f t="shared" si="14"/>
        <v>8247.8319999999949</v>
      </c>
      <c r="K20" s="158">
        <f t="shared" si="15"/>
        <v>0.38662962175218707</v>
      </c>
      <c r="L20" s="17"/>
      <c r="M20" s="119">
        <f>+F20</f>
        <v>13446.74</v>
      </c>
      <c r="N20" s="119">
        <f>+G20</f>
        <v>0</v>
      </c>
      <c r="O20" s="119">
        <f t="shared" ref="O20:O21" si="18">+M20+N20</f>
        <v>13446.74</v>
      </c>
      <c r="P20" s="119">
        <f t="shared" ref="P20:P22" si="19">+I20</f>
        <v>5198.908000000004</v>
      </c>
      <c r="Q20" s="119">
        <f t="shared" ref="Q20:Q21" si="20">+O20-P20</f>
        <v>8247.8319999999949</v>
      </c>
      <c r="R20" s="21">
        <f t="shared" ref="R20:R21" si="21">+P20/O20</f>
        <v>0.38662962175218707</v>
      </c>
    </row>
    <row r="21" spans="2:18">
      <c r="B21" s="274"/>
      <c r="C21" s="271"/>
      <c r="D21" s="95" t="s">
        <v>109</v>
      </c>
      <c r="E21" s="16" t="s">
        <v>60</v>
      </c>
      <c r="F21" s="123">
        <v>44.26</v>
      </c>
      <c r="G21" s="118"/>
      <c r="H21" s="118">
        <f t="shared" si="17"/>
        <v>44.26</v>
      </c>
      <c r="I21" s="238"/>
      <c r="J21" s="118">
        <f t="shared" si="14"/>
        <v>44.26</v>
      </c>
      <c r="K21" s="18">
        <f t="shared" si="15"/>
        <v>0</v>
      </c>
      <c r="L21" s="17"/>
      <c r="M21" s="119">
        <f t="shared" ref="M21" si="22">+F21</f>
        <v>44.26</v>
      </c>
      <c r="N21" s="119">
        <f t="shared" ref="N21:N22" si="23">+G21</f>
        <v>0</v>
      </c>
      <c r="O21" s="119">
        <f t="shared" si="18"/>
        <v>44.26</v>
      </c>
      <c r="P21" s="119">
        <f t="shared" si="19"/>
        <v>0</v>
      </c>
      <c r="Q21" s="119">
        <f t="shared" si="20"/>
        <v>44.26</v>
      </c>
      <c r="R21" s="21">
        <f t="shared" si="21"/>
        <v>0</v>
      </c>
    </row>
    <row r="22" spans="2:18" s="103" customFormat="1">
      <c r="B22" s="274"/>
      <c r="C22" s="134" t="s">
        <v>143</v>
      </c>
      <c r="D22" s="95" t="s">
        <v>16</v>
      </c>
      <c r="E22" s="16" t="s">
        <v>60</v>
      </c>
      <c r="F22" s="123">
        <v>500</v>
      </c>
      <c r="G22" s="118"/>
      <c r="H22" s="118">
        <f>+F22+G22</f>
        <v>500</v>
      </c>
      <c r="I22" s="238"/>
      <c r="J22" s="118">
        <f>+H22-I22</f>
        <v>500</v>
      </c>
      <c r="K22" s="18">
        <f>+I22/H22</f>
        <v>0</v>
      </c>
      <c r="L22" s="130"/>
      <c r="M22" s="119">
        <f>+F22</f>
        <v>500</v>
      </c>
      <c r="N22" s="119">
        <f t="shared" si="23"/>
        <v>0</v>
      </c>
      <c r="O22" s="119">
        <f t="shared" ref="O22" si="24">+H22</f>
        <v>500</v>
      </c>
      <c r="P22" s="119">
        <f t="shared" si="19"/>
        <v>0</v>
      </c>
      <c r="Q22" s="119">
        <f>+O22-P22</f>
        <v>500</v>
      </c>
      <c r="R22" s="21">
        <f>+P22/O22</f>
        <v>0</v>
      </c>
    </row>
    <row r="23" spans="2:18">
      <c r="B23" s="3"/>
      <c r="F23" s="139"/>
      <c r="I23" s="241">
        <f>SUM(I7:I22)</f>
        <v>39247.214</v>
      </c>
    </row>
    <row r="29" spans="2:18">
      <c r="B29" s="103"/>
    </row>
    <row r="30" spans="2:18">
      <c r="B30" s="103"/>
      <c r="N30" s="224"/>
    </row>
  </sheetData>
  <mergeCells count="42">
    <mergeCell ref="C20:C21"/>
    <mergeCell ref="C16:C17"/>
    <mergeCell ref="B19:B22"/>
    <mergeCell ref="B4:R4"/>
    <mergeCell ref="M5:R5"/>
    <mergeCell ref="M8:M9"/>
    <mergeCell ref="M16:M17"/>
    <mergeCell ref="N8:N9"/>
    <mergeCell ref="O8:O9"/>
    <mergeCell ref="D16:D17"/>
    <mergeCell ref="D12:D13"/>
    <mergeCell ref="M12:M13"/>
    <mergeCell ref="N12:N13"/>
    <mergeCell ref="P10:P11"/>
    <mergeCell ref="Q10:Q11"/>
    <mergeCell ref="B2:R3"/>
    <mergeCell ref="P8:P9"/>
    <mergeCell ref="Q8:Q9"/>
    <mergeCell ref="R8:R9"/>
    <mergeCell ref="O16:O17"/>
    <mergeCell ref="P16:P17"/>
    <mergeCell ref="Q16:Q17"/>
    <mergeCell ref="R16:R17"/>
    <mergeCell ref="N16:N17"/>
    <mergeCell ref="B8:B18"/>
    <mergeCell ref="O12:O13"/>
    <mergeCell ref="P12:P13"/>
    <mergeCell ref="Q12:Q13"/>
    <mergeCell ref="R12:R13"/>
    <mergeCell ref="C12:C15"/>
    <mergeCell ref="C7:C11"/>
    <mergeCell ref="D14:D15"/>
    <mergeCell ref="M10:M11"/>
    <mergeCell ref="N10:N11"/>
    <mergeCell ref="O10:O11"/>
    <mergeCell ref="R10:R11"/>
    <mergeCell ref="M14:M15"/>
    <mergeCell ref="N14:N15"/>
    <mergeCell ref="O14:O15"/>
    <mergeCell ref="P14:P15"/>
    <mergeCell ref="Q14:Q15"/>
    <mergeCell ref="R14:R15"/>
  </mergeCells>
  <conditionalFormatting sqref="J8:J22">
    <cfRule type="cellIs" dxfId="10" priority="3" operator="lessThan">
      <formula>0</formula>
    </cfRule>
  </conditionalFormatting>
  <conditionalFormatting sqref="R19:R22 R8:R17 K8:K22">
    <cfRule type="cellIs" dxfId="9" priority="2" operator="greaterThan">
      <formula>0.9</formula>
    </cfRule>
  </conditionalFormatting>
  <pageMargins left="0.7" right="0.7" top="0.75" bottom="0.75" header="0.3" footer="0.3"/>
  <pageSetup paperSize="9" orientation="portrait" r:id="rId1"/>
  <ignoredErrors>
    <ignoredError sqref="H19 O19:O21 O16:O17 H16:H17 H12 O8:O9 H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15"/>
  <sheetViews>
    <sheetView workbookViewId="0">
      <selection activeCell="J9" sqref="J9"/>
    </sheetView>
  </sheetViews>
  <sheetFormatPr baseColWidth="10" defaultRowHeight="14.4"/>
  <cols>
    <col min="1" max="1" width="3" customWidth="1"/>
    <col min="2" max="2" width="17.21875" customWidth="1"/>
    <col min="3" max="3" width="19.21875" customWidth="1"/>
    <col min="4" max="4" width="18.21875" customWidth="1"/>
    <col min="5" max="5" width="8.77734375" bestFit="1" customWidth="1"/>
    <col min="6" max="6" width="9" bestFit="1" customWidth="1"/>
    <col min="7" max="7" width="12.77734375" bestFit="1" customWidth="1"/>
    <col min="8" max="8" width="9" bestFit="1" customWidth="1"/>
    <col min="9" max="9" width="8" bestFit="1" customWidth="1"/>
    <col min="10" max="10" width="9" bestFit="1" customWidth="1"/>
    <col min="13" max="13" width="9" bestFit="1" customWidth="1"/>
    <col min="14" max="14" width="12.77734375" bestFit="1" customWidth="1"/>
    <col min="15" max="15" width="9" bestFit="1" customWidth="1"/>
    <col min="16" max="16" width="8" bestFit="1" customWidth="1"/>
    <col min="17" max="17" width="9" bestFit="1" customWidth="1"/>
    <col min="18" max="18" width="10.77734375" customWidth="1"/>
  </cols>
  <sheetData>
    <row r="2" spans="2:18">
      <c r="B2" s="261" t="s">
        <v>150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2:18"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</row>
    <row r="4" spans="2:18">
      <c r="B4" s="249">
        <f>+Resumen!C4</f>
        <v>43915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2:18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275" t="s">
        <v>75</v>
      </c>
      <c r="N5" s="275"/>
      <c r="O5" s="275"/>
      <c r="P5" s="275"/>
      <c r="Q5" s="275"/>
      <c r="R5" s="275"/>
    </row>
    <row r="6" spans="2:18" ht="28.8">
      <c r="B6" s="128" t="s">
        <v>17</v>
      </c>
      <c r="C6" s="129" t="s">
        <v>142</v>
      </c>
      <c r="D6" s="126" t="s">
        <v>28</v>
      </c>
      <c r="E6" s="126" t="s">
        <v>22</v>
      </c>
      <c r="F6" s="128" t="s">
        <v>33</v>
      </c>
      <c r="G6" s="126" t="s">
        <v>4</v>
      </c>
      <c r="H6" s="128" t="s">
        <v>34</v>
      </c>
      <c r="I6" s="126" t="s">
        <v>6</v>
      </c>
      <c r="J6" s="126" t="s">
        <v>7</v>
      </c>
      <c r="K6" s="126" t="s">
        <v>35</v>
      </c>
      <c r="L6" s="126" t="s">
        <v>36</v>
      </c>
      <c r="M6" s="19" t="s">
        <v>33</v>
      </c>
      <c r="N6" s="20" t="s">
        <v>4</v>
      </c>
      <c r="O6" s="19" t="s">
        <v>34</v>
      </c>
      <c r="P6" s="20" t="s">
        <v>6</v>
      </c>
      <c r="Q6" s="20" t="s">
        <v>7</v>
      </c>
      <c r="R6" s="19" t="s">
        <v>35</v>
      </c>
    </row>
    <row r="7" spans="2:18" ht="15" customHeight="1">
      <c r="B7" s="262" t="s">
        <v>21</v>
      </c>
      <c r="C7" s="272" t="s">
        <v>25</v>
      </c>
      <c r="D7" s="276" t="s">
        <v>106</v>
      </c>
      <c r="E7" s="16" t="s">
        <v>19</v>
      </c>
      <c r="F7" s="123">
        <v>473</v>
      </c>
      <c r="G7" s="118"/>
      <c r="H7" s="118">
        <f>+F7+G7</f>
        <v>473</v>
      </c>
      <c r="I7" s="118"/>
      <c r="J7" s="118">
        <f t="shared" ref="J7:J13" si="0">+H7-I7</f>
        <v>473</v>
      </c>
      <c r="K7" s="18">
        <f t="shared" ref="K7:K14" si="1">+I7/H7</f>
        <v>0</v>
      </c>
      <c r="L7" s="127"/>
      <c r="M7" s="257">
        <f>+F7+F8</f>
        <v>630</v>
      </c>
      <c r="N7" s="257">
        <f>+G7+G8</f>
        <v>0</v>
      </c>
      <c r="O7" s="257">
        <f>+M7+N7</f>
        <v>630</v>
      </c>
      <c r="P7" s="257">
        <f t="shared" ref="P7" si="2">+I7+I8</f>
        <v>0</v>
      </c>
      <c r="Q7" s="257">
        <f t="shared" ref="Q7" si="3">+O7-P7</f>
        <v>630</v>
      </c>
      <c r="R7" s="259">
        <f t="shared" ref="R7" si="4">+P7/O7</f>
        <v>0</v>
      </c>
    </row>
    <row r="8" spans="2:18">
      <c r="B8" s="263"/>
      <c r="C8" s="272"/>
      <c r="D8" s="276"/>
      <c r="E8" s="16" t="s">
        <v>20</v>
      </c>
      <c r="F8" s="123">
        <v>157</v>
      </c>
      <c r="G8" s="118"/>
      <c r="H8" s="118">
        <f>+J7+F8+G8</f>
        <v>630</v>
      </c>
      <c r="I8" s="124"/>
      <c r="J8" s="118">
        <f t="shared" si="0"/>
        <v>630</v>
      </c>
      <c r="K8" s="18">
        <f t="shared" si="1"/>
        <v>0</v>
      </c>
      <c r="L8" s="127"/>
      <c r="M8" s="258"/>
      <c r="N8" s="258"/>
      <c r="O8" s="258"/>
      <c r="P8" s="258"/>
      <c r="Q8" s="258"/>
      <c r="R8" s="260"/>
    </row>
    <row r="9" spans="2:18">
      <c r="B9" s="263"/>
      <c r="C9" s="277" t="s">
        <v>26</v>
      </c>
      <c r="D9" s="276" t="s">
        <v>107</v>
      </c>
      <c r="E9" s="231" t="s">
        <v>19</v>
      </c>
      <c r="F9" s="123">
        <v>1789</v>
      </c>
      <c r="G9" s="118"/>
      <c r="H9" s="118">
        <f>+F9+G9</f>
        <v>1789</v>
      </c>
      <c r="I9" s="103">
        <v>242.32599999999996</v>
      </c>
      <c r="J9" s="118">
        <f t="shared" si="0"/>
        <v>1546.674</v>
      </c>
      <c r="K9" s="18">
        <f t="shared" si="1"/>
        <v>0.13545332588038009</v>
      </c>
      <c r="L9" s="127"/>
      <c r="M9" s="257">
        <f>+F9+F10</f>
        <v>2385</v>
      </c>
      <c r="N9" s="257">
        <f t="shared" ref="N9" si="5">+G9+G10</f>
        <v>0</v>
      </c>
      <c r="O9" s="257">
        <f t="shared" ref="O9" si="6">+M9+N9</f>
        <v>2385</v>
      </c>
      <c r="P9" s="257">
        <f t="shared" ref="P9" si="7">+I9+I10</f>
        <v>242.32599999999996</v>
      </c>
      <c r="Q9" s="257">
        <f t="shared" ref="Q9" si="8">+O9-P9</f>
        <v>2142.674</v>
      </c>
      <c r="R9" s="259">
        <f>+P9/O9</f>
        <v>0.10160419287211739</v>
      </c>
    </row>
    <row r="10" spans="2:18">
      <c r="B10" s="263"/>
      <c r="C10" s="278"/>
      <c r="D10" s="276"/>
      <c r="E10" s="16" t="s">
        <v>20</v>
      </c>
      <c r="F10" s="123">
        <v>596</v>
      </c>
      <c r="G10" s="118"/>
      <c r="H10" s="118">
        <f>+J9+F10+G10</f>
        <v>2142.674</v>
      </c>
      <c r="I10" s="124"/>
      <c r="J10" s="118">
        <f t="shared" si="0"/>
        <v>2142.674</v>
      </c>
      <c r="K10" s="18">
        <f t="shared" si="1"/>
        <v>0</v>
      </c>
      <c r="L10" s="127"/>
      <c r="M10" s="258"/>
      <c r="N10" s="258"/>
      <c r="O10" s="258"/>
      <c r="P10" s="258"/>
      <c r="Q10" s="258"/>
      <c r="R10" s="260"/>
    </row>
    <row r="11" spans="2:18" s="103" customFormat="1">
      <c r="B11" s="264"/>
      <c r="C11" s="138" t="s">
        <v>143</v>
      </c>
      <c r="D11" s="133" t="s">
        <v>15</v>
      </c>
      <c r="E11" s="16" t="s">
        <v>60</v>
      </c>
      <c r="F11" s="123">
        <v>500</v>
      </c>
      <c r="G11" s="118"/>
      <c r="H11" s="118">
        <f>+F11+G11</f>
        <v>500</v>
      </c>
      <c r="I11" s="124"/>
      <c r="J11" s="118">
        <f>+H11-I11</f>
        <v>500</v>
      </c>
      <c r="K11" s="18">
        <f>+I11/H11</f>
        <v>0</v>
      </c>
      <c r="L11" s="130"/>
      <c r="M11" s="131">
        <f>+F11</f>
        <v>500</v>
      </c>
      <c r="N11" s="131">
        <f t="shared" ref="N11:P11" si="9">+G11</f>
        <v>0</v>
      </c>
      <c r="O11" s="131">
        <f t="shared" si="9"/>
        <v>500</v>
      </c>
      <c r="P11" s="131">
        <f t="shared" si="9"/>
        <v>0</v>
      </c>
      <c r="Q11" s="131">
        <f>+O11-P11</f>
        <v>500</v>
      </c>
      <c r="R11" s="132">
        <f>+P11/O11</f>
        <v>0</v>
      </c>
    </row>
    <row r="12" spans="2:18" ht="15" customHeight="1">
      <c r="B12" s="279" t="s">
        <v>31</v>
      </c>
      <c r="C12" s="15" t="s">
        <v>32</v>
      </c>
      <c r="D12" s="95" t="s">
        <v>108</v>
      </c>
      <c r="E12" s="16" t="s">
        <v>60</v>
      </c>
      <c r="F12" s="123">
        <v>387.5</v>
      </c>
      <c r="G12" s="118"/>
      <c r="H12" s="118">
        <f t="shared" ref="H12:H13" si="10">+F12+G12</f>
        <v>387.5</v>
      </c>
      <c r="I12" s="103">
        <v>74.331000000000003</v>
      </c>
      <c r="J12" s="118">
        <f t="shared" si="0"/>
        <v>313.16899999999998</v>
      </c>
      <c r="K12" s="158">
        <f t="shared" si="1"/>
        <v>0.19182193548387097</v>
      </c>
      <c r="L12" s="127"/>
      <c r="M12" s="119">
        <f t="shared" ref="M12:N13" si="11">+F12</f>
        <v>387.5</v>
      </c>
      <c r="N12" s="119">
        <f t="shared" si="11"/>
        <v>0</v>
      </c>
      <c r="O12" s="119">
        <f t="shared" ref="O12:O13" si="12">+M12+N12</f>
        <v>387.5</v>
      </c>
      <c r="P12" s="119">
        <f t="shared" ref="P12:P13" si="13">+I12</f>
        <v>74.331000000000003</v>
      </c>
      <c r="Q12" s="119">
        <f t="shared" ref="Q12:Q13" si="14">+O12-P12</f>
        <v>313.16899999999998</v>
      </c>
      <c r="R12" s="156">
        <f t="shared" ref="R12:R13" si="15">+P12/O12</f>
        <v>0.19182193548387097</v>
      </c>
    </row>
    <row r="13" spans="2:18">
      <c r="B13" s="279"/>
      <c r="C13" s="15" t="s">
        <v>29</v>
      </c>
      <c r="D13" s="95" t="s">
        <v>110</v>
      </c>
      <c r="E13" s="16" t="s">
        <v>60</v>
      </c>
      <c r="F13" s="123">
        <v>387.5</v>
      </c>
      <c r="G13" s="118"/>
      <c r="H13" s="118">
        <f t="shared" si="10"/>
        <v>387.5</v>
      </c>
      <c r="I13" s="103">
        <v>62.364000000000011</v>
      </c>
      <c r="J13" s="118">
        <f t="shared" si="0"/>
        <v>325.13599999999997</v>
      </c>
      <c r="K13" s="18">
        <f t="shared" si="1"/>
        <v>0.16093935483870972</v>
      </c>
      <c r="L13" s="127"/>
      <c r="M13" s="119">
        <f t="shared" si="11"/>
        <v>387.5</v>
      </c>
      <c r="N13" s="119">
        <f t="shared" si="11"/>
        <v>0</v>
      </c>
      <c r="O13" s="119">
        <f t="shared" si="12"/>
        <v>387.5</v>
      </c>
      <c r="P13" s="119">
        <f t="shared" si="13"/>
        <v>62.364000000000011</v>
      </c>
      <c r="Q13" s="119">
        <f t="shared" si="14"/>
        <v>325.13599999999997</v>
      </c>
      <c r="R13" s="156">
        <f t="shared" si="15"/>
        <v>0.16093935483870972</v>
      </c>
    </row>
    <row r="14" spans="2:18" s="103" customFormat="1">
      <c r="B14" s="279"/>
      <c r="C14" s="15" t="s">
        <v>143</v>
      </c>
      <c r="D14" s="95" t="s">
        <v>16</v>
      </c>
      <c r="E14" s="16" t="s">
        <v>60</v>
      </c>
      <c r="F14" s="123">
        <v>100</v>
      </c>
      <c r="G14" s="118"/>
      <c r="H14" s="118">
        <f>+F14+G14</f>
        <v>100</v>
      </c>
      <c r="I14" s="124">
        <v>0</v>
      </c>
      <c r="J14" s="118">
        <f>+H14-I14</f>
        <v>100</v>
      </c>
      <c r="K14" s="18">
        <f t="shared" si="1"/>
        <v>0</v>
      </c>
      <c r="L14" s="130"/>
      <c r="M14" s="119">
        <f t="shared" ref="M14" si="16">+F14</f>
        <v>100</v>
      </c>
      <c r="N14" s="119">
        <f t="shared" ref="N14" si="17">+G14</f>
        <v>0</v>
      </c>
      <c r="O14" s="119">
        <f t="shared" ref="O14" si="18">+M14+N14</f>
        <v>100</v>
      </c>
      <c r="P14" s="119">
        <f t="shared" ref="P14" si="19">+I14</f>
        <v>0</v>
      </c>
      <c r="Q14" s="119">
        <f t="shared" ref="Q14" si="20">+O14-P14</f>
        <v>100</v>
      </c>
      <c r="R14" s="21">
        <f t="shared" ref="R14" si="21">+P14/O14</f>
        <v>0</v>
      </c>
    </row>
    <row r="15" spans="2:18">
      <c r="F15" s="140"/>
      <c r="I15" s="241">
        <f>SUM(I7:I14)</f>
        <v>379.02100000000002</v>
      </c>
    </row>
  </sheetData>
  <mergeCells count="21">
    <mergeCell ref="O9:O10"/>
    <mergeCell ref="P9:P10"/>
    <mergeCell ref="Q9:Q10"/>
    <mergeCell ref="R9:R10"/>
    <mergeCell ref="B12:B14"/>
    <mergeCell ref="B2:R3"/>
    <mergeCell ref="B4:R4"/>
    <mergeCell ref="M5:R5"/>
    <mergeCell ref="C7:C8"/>
    <mergeCell ref="D7:D8"/>
    <mergeCell ref="M7:M8"/>
    <mergeCell ref="N7:N8"/>
    <mergeCell ref="O7:O8"/>
    <mergeCell ref="P7:P8"/>
    <mergeCell ref="B7:B11"/>
    <mergeCell ref="Q7:Q8"/>
    <mergeCell ref="R7:R8"/>
    <mergeCell ref="C9:C10"/>
    <mergeCell ref="D9:D10"/>
    <mergeCell ref="M9:M10"/>
    <mergeCell ref="N9:N10"/>
  </mergeCells>
  <conditionalFormatting sqref="J7:J11">
    <cfRule type="cellIs" dxfId="8" priority="6" operator="lessThan">
      <formula>0</formula>
    </cfRule>
  </conditionalFormatting>
  <conditionalFormatting sqref="K7:K11">
    <cfRule type="cellIs" dxfId="7" priority="5" operator="greaterThan">
      <formula>0.9</formula>
    </cfRule>
  </conditionalFormatting>
  <conditionalFormatting sqref="R7:R11">
    <cfRule type="cellIs" dxfId="6" priority="4" operator="greaterThan">
      <formula>0.9</formula>
    </cfRule>
  </conditionalFormatting>
  <conditionalFormatting sqref="J12:J14">
    <cfRule type="cellIs" dxfId="5" priority="3" operator="lessThan">
      <formula>0</formula>
    </cfRule>
  </conditionalFormatting>
  <conditionalFormatting sqref="K12:K14">
    <cfRule type="cellIs" dxfId="4" priority="2" operator="greaterThan">
      <formula>0.9</formula>
    </cfRule>
  </conditionalFormatting>
  <conditionalFormatting sqref="R12:R14">
    <cfRule type="cellIs" dxfId="3" priority="1" operator="greaterThan">
      <formula>0.9</formula>
    </cfRule>
  </conditionalFormatting>
  <pageMargins left="0.7" right="0.7" top="0.75" bottom="0.75" header="0.3" footer="0.3"/>
  <ignoredErrors>
    <ignoredError sqref="O7:O14 H8:H9 H10" formula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69"/>
  <sheetViews>
    <sheetView topLeftCell="A4" zoomScale="96" zoomScaleNormal="96" workbookViewId="0">
      <pane ySplit="7" topLeftCell="A79" activePane="bottomLeft" state="frozen"/>
      <selection activeCell="A4" sqref="A4"/>
      <selection pane="bottomLeft" activeCell="H51" sqref="H51"/>
    </sheetView>
  </sheetViews>
  <sheetFormatPr baseColWidth="10" defaultRowHeight="14.4"/>
  <cols>
    <col min="3" max="3" width="35.5546875" customWidth="1"/>
    <col min="5" max="5" width="12" bestFit="1" customWidth="1"/>
    <col min="6" max="6" width="13.5546875" customWidth="1"/>
    <col min="7" max="7" width="18.88671875" customWidth="1"/>
    <col min="9" max="9" width="12" bestFit="1" customWidth="1"/>
    <col min="10" max="10" width="13" style="27" bestFit="1" customWidth="1"/>
    <col min="11" max="11" width="14.5546875" customWidth="1"/>
    <col min="12" max="12" width="11.5546875" bestFit="1" customWidth="1"/>
    <col min="13" max="13" width="11.77734375" bestFit="1" customWidth="1"/>
    <col min="14" max="14" width="11.44140625" style="3"/>
    <col min="16" max="16" width="13" bestFit="1" customWidth="1"/>
  </cols>
  <sheetData>
    <row r="1" spans="2:16">
      <c r="J1"/>
    </row>
    <row r="2" spans="2:16">
      <c r="J2"/>
    </row>
    <row r="3" spans="2:16">
      <c r="J3"/>
    </row>
    <row r="4" spans="2:16" s="103" customFormat="1">
      <c r="N4" s="3"/>
    </row>
    <row r="5" spans="2:16" s="103" customFormat="1">
      <c r="B5" s="319" t="s">
        <v>151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</row>
    <row r="6" spans="2:16" s="103" customFormat="1"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</row>
    <row r="7" spans="2:16" s="103" customFormat="1">
      <c r="B7" s="249">
        <f>+Resumen!C4</f>
        <v>43915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</row>
    <row r="8" spans="2:16" s="103" customFormat="1" ht="15" thickBot="1">
      <c r="N8" s="3"/>
    </row>
    <row r="9" spans="2:16" ht="15" thickBot="1">
      <c r="E9" s="295" t="s">
        <v>136</v>
      </c>
      <c r="F9" s="296"/>
      <c r="G9" s="297"/>
      <c r="H9" s="295" t="s">
        <v>135</v>
      </c>
      <c r="I9" s="296"/>
      <c r="J9" s="297"/>
      <c r="K9" s="295" t="s">
        <v>75</v>
      </c>
      <c r="L9" s="296"/>
      <c r="M9" s="296"/>
      <c r="N9" s="296"/>
      <c r="O9" s="296"/>
      <c r="P9" s="297"/>
    </row>
    <row r="10" spans="2:16" ht="58.2" thickBot="1">
      <c r="B10" s="184" t="s">
        <v>17</v>
      </c>
      <c r="C10" s="185" t="s">
        <v>71</v>
      </c>
      <c r="D10" s="186" t="s">
        <v>37</v>
      </c>
      <c r="E10" s="187" t="s">
        <v>33</v>
      </c>
      <c r="F10" s="187" t="s">
        <v>72</v>
      </c>
      <c r="G10" s="187" t="s">
        <v>34</v>
      </c>
      <c r="H10" s="186" t="s">
        <v>73</v>
      </c>
      <c r="I10" s="186" t="s">
        <v>74</v>
      </c>
      <c r="J10" s="188" t="s">
        <v>38</v>
      </c>
      <c r="K10" s="189" t="s">
        <v>33</v>
      </c>
      <c r="L10" s="187" t="s">
        <v>72</v>
      </c>
      <c r="M10" s="187" t="s">
        <v>34</v>
      </c>
      <c r="N10" s="186" t="s">
        <v>73</v>
      </c>
      <c r="O10" s="186" t="s">
        <v>74</v>
      </c>
      <c r="P10" s="188" t="s">
        <v>38</v>
      </c>
    </row>
    <row r="11" spans="2:16">
      <c r="B11" s="311" t="s">
        <v>18</v>
      </c>
      <c r="C11" s="312" t="s">
        <v>39</v>
      </c>
      <c r="D11" s="195" t="s">
        <v>19</v>
      </c>
      <c r="E11" s="196">
        <f>3133.264</f>
        <v>3133.2640000000001</v>
      </c>
      <c r="F11" s="5"/>
      <c r="G11" s="29">
        <f>+E11+F11</f>
        <v>3133.2640000000001</v>
      </c>
      <c r="H11" s="5"/>
      <c r="I11" s="29">
        <f t="shared" ref="I11:I26" si="0">+G11-H11</f>
        <v>3133.2640000000001</v>
      </c>
      <c r="J11" s="93">
        <f>+H11/G11</f>
        <v>0</v>
      </c>
      <c r="K11" s="298">
        <f>+E11+E12</f>
        <v>4177.6880000000001</v>
      </c>
      <c r="L11" s="289">
        <f>+F11+F12</f>
        <v>0</v>
      </c>
      <c r="M11" s="290">
        <f>+K11+L11</f>
        <v>4177.6880000000001</v>
      </c>
      <c r="N11" s="289">
        <f>+H11+H12</f>
        <v>0</v>
      </c>
      <c r="O11" s="290">
        <f>+M11-N11</f>
        <v>4177.6880000000001</v>
      </c>
      <c r="P11" s="291">
        <v>0</v>
      </c>
    </row>
    <row r="12" spans="2:16" s="7" customFormat="1">
      <c r="B12" s="302"/>
      <c r="C12" s="313"/>
      <c r="D12" s="197" t="s">
        <v>20</v>
      </c>
      <c r="E12" s="198">
        <f>1044.424</f>
        <v>1044.424</v>
      </c>
      <c r="F12" s="4"/>
      <c r="G12" s="28">
        <f>+I11+E12+F12</f>
        <v>4177.6880000000001</v>
      </c>
      <c r="H12" s="4"/>
      <c r="I12" s="28">
        <f t="shared" si="0"/>
        <v>4177.6880000000001</v>
      </c>
      <c r="J12" s="91">
        <v>0</v>
      </c>
      <c r="K12" s="299"/>
      <c r="L12" s="280"/>
      <c r="M12" s="280"/>
      <c r="N12" s="280"/>
      <c r="O12" s="280"/>
      <c r="P12" s="283"/>
    </row>
    <row r="13" spans="2:16">
      <c r="B13" s="302"/>
      <c r="C13" s="314" t="s">
        <v>40</v>
      </c>
      <c r="D13" s="197" t="s">
        <v>19</v>
      </c>
      <c r="E13" s="198">
        <f>86936.53+1957.556+1957.556+1957.556+1957.556+1957.556+1957.556+1957.556+1957.556</f>
        <v>102596.97799999997</v>
      </c>
      <c r="F13" s="4"/>
      <c r="G13" s="26">
        <f>+E13+F13</f>
        <v>102596.97799999997</v>
      </c>
      <c r="H13" s="229">
        <v>1667.9500000000003</v>
      </c>
      <c r="I13" s="26">
        <f t="shared" si="0"/>
        <v>100929.02799999998</v>
      </c>
      <c r="J13" s="91">
        <f t="shared" ref="J13:J26" si="1">+H13/G13</f>
        <v>1.6257301457748598E-2</v>
      </c>
      <c r="K13" s="299">
        <f>+E13+E14</f>
        <v>136796.04099999997</v>
      </c>
      <c r="L13" s="280">
        <f>+F13+F14</f>
        <v>0</v>
      </c>
      <c r="M13" s="282">
        <f t="shared" ref="M13" si="2">+K13+L13</f>
        <v>136796.04099999997</v>
      </c>
      <c r="N13" s="280">
        <f>+H13+H14</f>
        <v>1667.9500000000003</v>
      </c>
      <c r="O13" s="282">
        <f t="shared" ref="O13" si="3">+M13-N13</f>
        <v>135128.09099999996</v>
      </c>
      <c r="P13" s="283">
        <f t="shared" ref="P13" si="4">+N13/M13</f>
        <v>1.2192969824324088E-2</v>
      </c>
    </row>
    <row r="14" spans="2:16" s="7" customFormat="1">
      <c r="B14" s="302"/>
      <c r="C14" s="314"/>
      <c r="D14" s="197" t="s">
        <v>20</v>
      </c>
      <c r="E14" s="198">
        <f>28978.903+652.52+652.52+652.52+652.52+652.52+652.52+652.52+652.52</f>
        <v>34199.062999999995</v>
      </c>
      <c r="F14" s="4"/>
      <c r="G14" s="28">
        <f>+I13+E14+F14</f>
        <v>135128.09099999996</v>
      </c>
      <c r="H14" s="163"/>
      <c r="I14" s="28">
        <f t="shared" si="0"/>
        <v>135128.09099999996</v>
      </c>
      <c r="J14" s="91">
        <f>+H14/G14</f>
        <v>0</v>
      </c>
      <c r="K14" s="299"/>
      <c r="L14" s="280"/>
      <c r="M14" s="280"/>
      <c r="N14" s="280"/>
      <c r="O14" s="280"/>
      <c r="P14" s="283"/>
    </row>
    <row r="15" spans="2:16" s="103" customFormat="1">
      <c r="B15" s="302"/>
      <c r="C15" s="316" t="s">
        <v>158</v>
      </c>
      <c r="D15" s="197" t="s">
        <v>19</v>
      </c>
      <c r="E15" s="198">
        <f>734.084+734.084+734.084+734.084+734.084+734.084+734.084+1957.556</f>
        <v>7096.1440000000002</v>
      </c>
      <c r="F15" s="4"/>
      <c r="G15" s="26">
        <f>+E15+F15</f>
        <v>7096.1440000000002</v>
      </c>
      <c r="H15" s="4"/>
      <c r="I15" s="26">
        <f t="shared" ref="I15:I16" si="5">+G15-H15</f>
        <v>7096.1440000000002</v>
      </c>
      <c r="J15" s="91">
        <f t="shared" ref="J15" si="6">+H15/G15</f>
        <v>0</v>
      </c>
      <c r="K15" s="299">
        <f>+E15+E16</f>
        <v>9461.5290000000005</v>
      </c>
      <c r="L15" s="280">
        <f>+F15+F16</f>
        <v>0</v>
      </c>
      <c r="M15" s="282">
        <f t="shared" ref="M15" si="7">+K15+L15</f>
        <v>9461.5290000000005</v>
      </c>
      <c r="N15" s="280">
        <f>+H15+H16</f>
        <v>0</v>
      </c>
      <c r="O15" s="282">
        <f t="shared" ref="O15" si="8">+M15-N15</f>
        <v>9461.5290000000005</v>
      </c>
      <c r="P15" s="283">
        <f t="shared" ref="P15" si="9">+N15/M15</f>
        <v>0</v>
      </c>
    </row>
    <row r="16" spans="2:16" s="103" customFormat="1">
      <c r="B16" s="302"/>
      <c r="C16" s="317"/>
      <c r="D16" s="197" t="s">
        <v>20</v>
      </c>
      <c r="E16" s="198">
        <f>244.695+244.695+244.695+244.695+244.695+244.695+244.695+652.52</f>
        <v>2365.3849999999998</v>
      </c>
      <c r="F16" s="4"/>
      <c r="G16" s="28">
        <f>+I15+E16+F16</f>
        <v>9461.5290000000005</v>
      </c>
      <c r="H16" s="163"/>
      <c r="I16" s="28">
        <f t="shared" si="5"/>
        <v>9461.5290000000005</v>
      </c>
      <c r="J16" s="91">
        <f>+H16/G16</f>
        <v>0</v>
      </c>
      <c r="K16" s="299"/>
      <c r="L16" s="280"/>
      <c r="M16" s="280"/>
      <c r="N16" s="280"/>
      <c r="O16" s="280"/>
      <c r="P16" s="283"/>
    </row>
    <row r="17" spans="2:16" s="103" customFormat="1">
      <c r="B17" s="302"/>
      <c r="C17" s="316" t="s">
        <v>159</v>
      </c>
      <c r="D17" s="197" t="s">
        <v>19</v>
      </c>
      <c r="E17" s="198">
        <f>734.084+1957.556</f>
        <v>2691.64</v>
      </c>
      <c r="F17" s="4"/>
      <c r="G17" s="26">
        <f>+E17+F17</f>
        <v>2691.64</v>
      </c>
      <c r="H17" s="163"/>
      <c r="I17" s="26">
        <f t="shared" ref="I17:I18" si="10">+G17-H17</f>
        <v>2691.64</v>
      </c>
      <c r="J17" s="91">
        <f t="shared" ref="J17" si="11">+H17/G17</f>
        <v>0</v>
      </c>
      <c r="K17" s="299">
        <f>+E17+E18</f>
        <v>3588.8549999999996</v>
      </c>
      <c r="L17" s="280">
        <f>+F17+F18</f>
        <v>0</v>
      </c>
      <c r="M17" s="282">
        <f t="shared" ref="M17" si="12">+K17+L17</f>
        <v>3588.8549999999996</v>
      </c>
      <c r="N17" s="280">
        <f>+H17+H18</f>
        <v>0</v>
      </c>
      <c r="O17" s="282">
        <f t="shared" ref="O17" si="13">+M17-N17</f>
        <v>3588.8549999999996</v>
      </c>
      <c r="P17" s="283">
        <f t="shared" ref="P17" si="14">+N17/M17</f>
        <v>0</v>
      </c>
    </row>
    <row r="18" spans="2:16" s="103" customFormat="1">
      <c r="B18" s="302"/>
      <c r="C18" s="317"/>
      <c r="D18" s="197" t="s">
        <v>20</v>
      </c>
      <c r="E18" s="198">
        <f>244.695+652.52</f>
        <v>897.21499999999992</v>
      </c>
      <c r="F18" s="4"/>
      <c r="G18" s="28">
        <f>+I17+E18+F18</f>
        <v>3588.8549999999996</v>
      </c>
      <c r="H18" s="163"/>
      <c r="I18" s="28">
        <f t="shared" si="10"/>
        <v>3588.8549999999996</v>
      </c>
      <c r="J18" s="91">
        <f>+H18/G18</f>
        <v>0</v>
      </c>
      <c r="K18" s="299"/>
      <c r="L18" s="280"/>
      <c r="M18" s="280"/>
      <c r="N18" s="280"/>
      <c r="O18" s="280"/>
      <c r="P18" s="283"/>
    </row>
    <row r="19" spans="2:16" ht="15" customHeight="1">
      <c r="B19" s="302"/>
      <c r="C19" s="313" t="s">
        <v>41</v>
      </c>
      <c r="D19" s="197" t="s">
        <v>19</v>
      </c>
      <c r="E19" s="198">
        <v>0</v>
      </c>
      <c r="F19" s="4"/>
      <c r="G19" s="26">
        <f>+E19+F19</f>
        <v>0</v>
      </c>
      <c r="H19" s="4"/>
      <c r="I19" s="26">
        <f t="shared" si="0"/>
        <v>0</v>
      </c>
      <c r="J19" s="91" t="e">
        <f t="shared" si="1"/>
        <v>#DIV/0!</v>
      </c>
      <c r="K19" s="299">
        <f>+E19+E20</f>
        <v>0</v>
      </c>
      <c r="L19" s="280">
        <f>+F19+F20</f>
        <v>0</v>
      </c>
      <c r="M19" s="282">
        <f t="shared" ref="M19" si="15">+K19+L19</f>
        <v>0</v>
      </c>
      <c r="N19" s="280">
        <f>+H19+H20</f>
        <v>0</v>
      </c>
      <c r="O19" s="282">
        <f t="shared" ref="O19" si="16">+M19-N19</f>
        <v>0</v>
      </c>
      <c r="P19" s="283" t="e">
        <f t="shared" ref="P19" si="17">+N19/M19</f>
        <v>#DIV/0!</v>
      </c>
    </row>
    <row r="20" spans="2:16" s="7" customFormat="1">
      <c r="B20" s="302"/>
      <c r="C20" s="313"/>
      <c r="D20" s="197" t="s">
        <v>20</v>
      </c>
      <c r="E20" s="198">
        <v>0</v>
      </c>
      <c r="F20" s="4"/>
      <c r="G20" s="28">
        <f>+I19+E20+F20</f>
        <v>0</v>
      </c>
      <c r="H20" s="4"/>
      <c r="I20" s="28">
        <f t="shared" si="0"/>
        <v>0</v>
      </c>
      <c r="J20" s="91" t="e">
        <f t="shared" si="1"/>
        <v>#DIV/0!</v>
      </c>
      <c r="K20" s="299"/>
      <c r="L20" s="280"/>
      <c r="M20" s="280"/>
      <c r="N20" s="280"/>
      <c r="O20" s="280"/>
      <c r="P20" s="283"/>
    </row>
    <row r="21" spans="2:16" s="7" customFormat="1">
      <c r="B21" s="302"/>
      <c r="C21" s="313" t="s">
        <v>134</v>
      </c>
      <c r="D21" s="197" t="s">
        <v>19</v>
      </c>
      <c r="E21" s="198">
        <f>244.695+244.695+244.695+244.695+244.695+244.695+244.695+244.695+244.695+244.695+489.389+489.389+489.389+489.389+489.389+489.389+489.389+489.389+489.389+734.084+489.389</f>
        <v>8074.9240000000009</v>
      </c>
      <c r="F21" s="4"/>
      <c r="G21" s="26">
        <f>+E21+F21</f>
        <v>8074.9240000000009</v>
      </c>
      <c r="H21" s="4"/>
      <c r="I21" s="26">
        <f t="shared" si="0"/>
        <v>8074.9240000000009</v>
      </c>
      <c r="J21" s="91">
        <f t="shared" si="1"/>
        <v>0</v>
      </c>
      <c r="K21" s="299">
        <f>+E21+E22</f>
        <v>10766.569000000001</v>
      </c>
      <c r="L21" s="280">
        <f>+F21+F22</f>
        <v>0</v>
      </c>
      <c r="M21" s="282">
        <f t="shared" ref="M21" si="18">+K21+L21</f>
        <v>10766.569000000001</v>
      </c>
      <c r="N21" s="280">
        <f>+H21+H22</f>
        <v>0</v>
      </c>
      <c r="O21" s="282">
        <f t="shared" ref="O21" si="19">+M21-N21</f>
        <v>10766.569000000001</v>
      </c>
      <c r="P21" s="283">
        <f t="shared" ref="P21" si="20">+N21/M21</f>
        <v>0</v>
      </c>
    </row>
    <row r="22" spans="2:16" ht="15" customHeight="1">
      <c r="B22" s="302"/>
      <c r="C22" s="313"/>
      <c r="D22" s="197" t="s">
        <v>20</v>
      </c>
      <c r="E22" s="198">
        <f>81.565+81.565+81.565+81.565+81.565+81.565+81.565+81.565+81.565+81.565+163.13+163.13+163.13+163.13+163.13+163.13+163.13+163.13+163.13+244.695+163.13</f>
        <v>2691.6450000000009</v>
      </c>
      <c r="F22" s="4"/>
      <c r="G22" s="28">
        <f>+I21+E22+F22</f>
        <v>10766.569000000001</v>
      </c>
      <c r="H22" s="4"/>
      <c r="I22" s="28">
        <f t="shared" si="0"/>
        <v>10766.569000000001</v>
      </c>
      <c r="J22" s="91">
        <f t="shared" si="1"/>
        <v>0</v>
      </c>
      <c r="K22" s="299"/>
      <c r="L22" s="280"/>
      <c r="M22" s="280"/>
      <c r="N22" s="280"/>
      <c r="O22" s="280"/>
      <c r="P22" s="283"/>
    </row>
    <row r="23" spans="2:16" s="103" customFormat="1" ht="15" customHeight="1">
      <c r="B23" s="302"/>
      <c r="C23" s="318" t="s">
        <v>171</v>
      </c>
      <c r="D23" s="197" t="s">
        <v>19</v>
      </c>
      <c r="E23" s="198">
        <f>1468.167+1468.167+1468.167+1468.167+978.778+978.778+978.778+978.778</f>
        <v>9787.7800000000007</v>
      </c>
      <c r="F23" s="4"/>
      <c r="G23" s="26">
        <f>+E23+F23</f>
        <v>9787.7800000000007</v>
      </c>
      <c r="H23" s="4"/>
      <c r="I23" s="26">
        <f t="shared" si="0"/>
        <v>9787.7800000000007</v>
      </c>
      <c r="J23" s="91">
        <f t="shared" si="1"/>
        <v>0</v>
      </c>
      <c r="K23" s="299">
        <f>+E23+E24</f>
        <v>13050.380000000001</v>
      </c>
      <c r="L23" s="280">
        <f>+F23+F24</f>
        <v>0</v>
      </c>
      <c r="M23" s="282">
        <f t="shared" ref="M23" si="21">+K23+L23</f>
        <v>13050.380000000001</v>
      </c>
      <c r="N23" s="280">
        <f>+H23+H24</f>
        <v>0</v>
      </c>
      <c r="O23" s="282">
        <f t="shared" ref="O23" si="22">+M23-N23</f>
        <v>13050.380000000001</v>
      </c>
      <c r="P23" s="283">
        <f t="shared" ref="P23" si="23">+N23/M23</f>
        <v>0</v>
      </c>
    </row>
    <row r="24" spans="2:16" s="103" customFormat="1" ht="15" customHeight="1">
      <c r="B24" s="302"/>
      <c r="C24" s="312"/>
      <c r="D24" s="197" t="s">
        <v>20</v>
      </c>
      <c r="E24" s="198">
        <f>489.39+489.39+489.39+489.39+326.26+326.26+326.26+326.26</f>
        <v>3262.6000000000004</v>
      </c>
      <c r="F24" s="4"/>
      <c r="G24" s="28">
        <f>+I23+E24+F24</f>
        <v>13050.380000000001</v>
      </c>
      <c r="H24" s="4"/>
      <c r="I24" s="28">
        <f t="shared" si="0"/>
        <v>13050.380000000001</v>
      </c>
      <c r="J24" s="91">
        <f t="shared" si="1"/>
        <v>0</v>
      </c>
      <c r="K24" s="299"/>
      <c r="L24" s="280"/>
      <c r="M24" s="280"/>
      <c r="N24" s="280"/>
      <c r="O24" s="280"/>
      <c r="P24" s="283"/>
    </row>
    <row r="25" spans="2:16" s="7" customFormat="1">
      <c r="B25" s="302"/>
      <c r="C25" s="313" t="s">
        <v>42</v>
      </c>
      <c r="D25" s="197" t="s">
        <v>19</v>
      </c>
      <c r="E25" s="198">
        <f>350380.257+734.084</f>
        <v>351114.34099999996</v>
      </c>
      <c r="F25" s="4"/>
      <c r="G25" s="26">
        <f>+E25+F25</f>
        <v>351114.34099999996</v>
      </c>
      <c r="H25" s="242">
        <v>8153.4000000000024</v>
      </c>
      <c r="I25" s="26">
        <f t="shared" si="0"/>
        <v>342960.94099999993</v>
      </c>
      <c r="J25" s="91">
        <f t="shared" si="1"/>
        <v>2.3221495245048972E-2</v>
      </c>
      <c r="K25" s="299">
        <f>+E25+E26</f>
        <v>468152.69399999996</v>
      </c>
      <c r="L25" s="280">
        <f>+F25+F26</f>
        <v>0</v>
      </c>
      <c r="M25" s="282">
        <f t="shared" ref="M25" si="24">+K25+L25</f>
        <v>468152.69399999996</v>
      </c>
      <c r="N25" s="280">
        <f>+H25+H26</f>
        <v>8153.4000000000024</v>
      </c>
      <c r="O25" s="282">
        <f t="shared" ref="O25" si="25">+M25-N25</f>
        <v>459999.29399999994</v>
      </c>
      <c r="P25" s="283">
        <f t="shared" ref="P25" si="26">+N25/M25</f>
        <v>1.7416112530156673E-2</v>
      </c>
    </row>
    <row r="26" spans="2:16" ht="15" thickBot="1">
      <c r="B26" s="304"/>
      <c r="C26" s="315"/>
      <c r="D26" s="199" t="s">
        <v>20</v>
      </c>
      <c r="E26" s="200">
        <f>116793.658+244.695</f>
        <v>117038.353</v>
      </c>
      <c r="F26" s="30"/>
      <c r="G26" s="31">
        <f>+I25+E26+F26</f>
        <v>459999.29399999994</v>
      </c>
      <c r="H26" s="164"/>
      <c r="I26" s="31">
        <f t="shared" si="0"/>
        <v>459999.29399999994</v>
      </c>
      <c r="J26" s="92">
        <f t="shared" si="1"/>
        <v>0</v>
      </c>
      <c r="K26" s="300"/>
      <c r="L26" s="281"/>
      <c r="M26" s="281"/>
      <c r="N26" s="281"/>
      <c r="O26" s="281"/>
      <c r="P26" s="284"/>
    </row>
    <row r="27" spans="2:16" s="8" customFormat="1" ht="15" thickBot="1">
      <c r="B27" s="32"/>
      <c r="C27" s="33"/>
      <c r="D27" s="34"/>
      <c r="E27" s="159">
        <f>SUM(E11:E26)</f>
        <v>645993.75599999994</v>
      </c>
      <c r="F27" s="6">
        <f>SUM(F11:F26)</f>
        <v>0</v>
      </c>
      <c r="G27" s="35"/>
      <c r="H27" s="6">
        <f>SUM(H11:H26)</f>
        <v>9821.3500000000022</v>
      </c>
      <c r="I27" s="6"/>
      <c r="J27" s="64"/>
      <c r="K27" s="122">
        <f>SUM(K11:K26)</f>
        <v>645993.75599999994</v>
      </c>
      <c r="L27" s="144">
        <f>SUM(L11:L26)</f>
        <v>0</v>
      </c>
      <c r="M27" s="106">
        <f t="shared" ref="M27:O27" si="27">SUM(M11:M26)</f>
        <v>645993.75599999994</v>
      </c>
      <c r="N27" s="109">
        <f t="shared" si="27"/>
        <v>9821.3500000000022</v>
      </c>
      <c r="O27" s="106">
        <f t="shared" si="27"/>
        <v>636172.40599999996</v>
      </c>
      <c r="P27" s="108">
        <f>+N27/M27</f>
        <v>1.5203475124610961E-2</v>
      </c>
    </row>
    <row r="28" spans="2:16" ht="20.100000000000001" customHeight="1">
      <c r="B28" s="301" t="s">
        <v>23</v>
      </c>
      <c r="C28" s="190" t="s">
        <v>57</v>
      </c>
      <c r="D28" s="201" t="s">
        <v>60</v>
      </c>
      <c r="E28" s="202">
        <f>113.673+181.876+181.876</f>
        <v>477.42499999999995</v>
      </c>
      <c r="F28" s="160"/>
      <c r="G28" s="43">
        <f>+E28+F28</f>
        <v>477.42499999999995</v>
      </c>
      <c r="H28" s="36"/>
      <c r="I28" s="43">
        <f>+G28-H28</f>
        <v>477.42499999999995</v>
      </c>
      <c r="J28" s="65">
        <f>+H28/G28</f>
        <v>0</v>
      </c>
      <c r="K28" s="81">
        <f>+E28</f>
        <v>477.42499999999995</v>
      </c>
      <c r="L28" s="82">
        <f>+F28</f>
        <v>0</v>
      </c>
      <c r="M28" s="83">
        <f>+K28+L28</f>
        <v>477.42499999999995</v>
      </c>
      <c r="N28" s="82">
        <f>+H28</f>
        <v>0</v>
      </c>
      <c r="O28" s="83">
        <f>+M28-N28</f>
        <v>477.42499999999995</v>
      </c>
      <c r="P28" s="84">
        <f>+N28/M28</f>
        <v>0</v>
      </c>
    </row>
    <row r="29" spans="2:16" ht="20.100000000000001" customHeight="1">
      <c r="B29" s="302"/>
      <c r="C29" s="191" t="s">
        <v>54</v>
      </c>
      <c r="D29" s="197" t="s">
        <v>60</v>
      </c>
      <c r="E29" s="198">
        <v>0</v>
      </c>
      <c r="F29" s="161"/>
      <c r="G29" s="26">
        <f t="shared" ref="G29:G45" si="28">+E29+F29</f>
        <v>0</v>
      </c>
      <c r="H29" s="4"/>
      <c r="I29" s="26">
        <f t="shared" ref="I29:I45" si="29">+G29-H29</f>
        <v>0</v>
      </c>
      <c r="J29" s="62">
        <v>0</v>
      </c>
      <c r="K29" s="85">
        <f t="shared" ref="K29" si="30">+E29</f>
        <v>0</v>
      </c>
      <c r="L29" s="71">
        <f t="shared" ref="L29" si="31">+F29</f>
        <v>0</v>
      </c>
      <c r="M29" s="70">
        <f t="shared" ref="M29:M45" si="32">+K29+L29</f>
        <v>0</v>
      </c>
      <c r="N29" s="71">
        <f t="shared" ref="N29" si="33">+H29</f>
        <v>0</v>
      </c>
      <c r="O29" s="70">
        <f t="shared" ref="O29:O45" si="34">+M29-N29</f>
        <v>0</v>
      </c>
      <c r="P29" s="86">
        <v>0</v>
      </c>
    </row>
    <row r="30" spans="2:16" ht="20.100000000000001" customHeight="1">
      <c r="B30" s="302"/>
      <c r="C30" s="191" t="s">
        <v>43</v>
      </c>
      <c r="D30" s="197" t="s">
        <v>60</v>
      </c>
      <c r="E30" s="198">
        <f>2546.137</f>
        <v>2546.1370000000002</v>
      </c>
      <c r="F30" s="161"/>
      <c r="G30" s="26">
        <f t="shared" si="28"/>
        <v>2546.1370000000002</v>
      </c>
      <c r="H30" s="4"/>
      <c r="I30" s="26">
        <f t="shared" si="29"/>
        <v>2546.1370000000002</v>
      </c>
      <c r="J30" s="62">
        <f t="shared" ref="J30:J45" si="35">+H30/G30</f>
        <v>0</v>
      </c>
      <c r="K30" s="85">
        <f t="shared" ref="K30:K45" si="36">+E30</f>
        <v>2546.1370000000002</v>
      </c>
      <c r="L30" s="71">
        <f t="shared" ref="L30:L45" si="37">+F30</f>
        <v>0</v>
      </c>
      <c r="M30" s="70">
        <f t="shared" si="32"/>
        <v>2546.1370000000002</v>
      </c>
      <c r="N30" s="71">
        <f t="shared" ref="N30:N45" si="38">+H30</f>
        <v>0</v>
      </c>
      <c r="O30" s="70">
        <f t="shared" si="34"/>
        <v>2546.1370000000002</v>
      </c>
      <c r="P30" s="86">
        <f t="shared" ref="P30:P45" si="39">+N30/M30</f>
        <v>0</v>
      </c>
    </row>
    <row r="31" spans="2:16" ht="20.100000000000001" customHeight="1">
      <c r="B31" s="302"/>
      <c r="C31" s="192" t="s">
        <v>55</v>
      </c>
      <c r="D31" s="197" t="s">
        <v>60</v>
      </c>
      <c r="E31" s="198">
        <f>113.673+113.673+113.673</f>
        <v>341.01900000000001</v>
      </c>
      <c r="F31" s="161"/>
      <c r="G31" s="26">
        <f t="shared" si="28"/>
        <v>341.01900000000001</v>
      </c>
      <c r="H31" s="4"/>
      <c r="I31" s="26">
        <f t="shared" si="29"/>
        <v>341.01900000000001</v>
      </c>
      <c r="J31" s="62">
        <f t="shared" si="35"/>
        <v>0</v>
      </c>
      <c r="K31" s="85">
        <f t="shared" si="36"/>
        <v>341.01900000000001</v>
      </c>
      <c r="L31" s="71">
        <f t="shared" si="37"/>
        <v>0</v>
      </c>
      <c r="M31" s="70">
        <f t="shared" si="32"/>
        <v>341.01900000000001</v>
      </c>
      <c r="N31" s="71">
        <f t="shared" si="38"/>
        <v>0</v>
      </c>
      <c r="O31" s="70">
        <f t="shared" si="34"/>
        <v>341.01900000000001</v>
      </c>
      <c r="P31" s="86">
        <f t="shared" si="39"/>
        <v>0</v>
      </c>
    </row>
    <row r="32" spans="2:16" ht="20.100000000000001" customHeight="1">
      <c r="B32" s="302"/>
      <c r="C32" s="191" t="s">
        <v>44</v>
      </c>
      <c r="D32" s="197" t="s">
        <v>60</v>
      </c>
      <c r="E32" s="198">
        <f>18982.316+56.836+56.836+56.836+56.836+56.836+56.836+56.836+56.836+90.938+90.938+90.938+90.938+90.938</f>
        <v>19891.693999999985</v>
      </c>
      <c r="F32" s="161"/>
      <c r="G32" s="26">
        <f t="shared" si="28"/>
        <v>19891.693999999985</v>
      </c>
      <c r="H32" s="4"/>
      <c r="I32" s="26">
        <f t="shared" si="29"/>
        <v>19891.693999999985</v>
      </c>
      <c r="J32" s="62">
        <f t="shared" si="35"/>
        <v>0</v>
      </c>
      <c r="K32" s="85">
        <f t="shared" si="36"/>
        <v>19891.693999999985</v>
      </c>
      <c r="L32" s="71">
        <f t="shared" si="37"/>
        <v>0</v>
      </c>
      <c r="M32" s="70">
        <f t="shared" si="32"/>
        <v>19891.693999999985</v>
      </c>
      <c r="N32" s="71">
        <f t="shared" si="38"/>
        <v>0</v>
      </c>
      <c r="O32" s="70">
        <f t="shared" si="34"/>
        <v>19891.693999999985</v>
      </c>
      <c r="P32" s="86">
        <f t="shared" si="39"/>
        <v>0</v>
      </c>
    </row>
    <row r="33" spans="2:16" ht="20.100000000000001" customHeight="1">
      <c r="B33" s="302"/>
      <c r="C33" s="191" t="s">
        <v>45</v>
      </c>
      <c r="D33" s="197" t="s">
        <v>60</v>
      </c>
      <c r="E33" s="198">
        <f>146.874</f>
        <v>146.874</v>
      </c>
      <c r="F33" s="161"/>
      <c r="G33" s="26">
        <f t="shared" si="28"/>
        <v>146.874</v>
      </c>
      <c r="H33" s="4"/>
      <c r="I33" s="26">
        <f t="shared" si="29"/>
        <v>146.874</v>
      </c>
      <c r="J33" s="62">
        <f t="shared" si="35"/>
        <v>0</v>
      </c>
      <c r="K33" s="85">
        <f t="shared" si="36"/>
        <v>146.874</v>
      </c>
      <c r="L33" s="71">
        <f t="shared" si="37"/>
        <v>0</v>
      </c>
      <c r="M33" s="70">
        <f t="shared" si="32"/>
        <v>146.874</v>
      </c>
      <c r="N33" s="71">
        <f t="shared" si="38"/>
        <v>0</v>
      </c>
      <c r="O33" s="70">
        <f t="shared" si="34"/>
        <v>146.874</v>
      </c>
      <c r="P33" s="86">
        <f t="shared" si="39"/>
        <v>0</v>
      </c>
    </row>
    <row r="34" spans="2:16" ht="20.100000000000001" customHeight="1">
      <c r="B34" s="302"/>
      <c r="C34" s="191" t="s">
        <v>49</v>
      </c>
      <c r="D34" s="197" t="s">
        <v>60</v>
      </c>
      <c r="E34" s="203">
        <f>116.701+136.407+136.407+136.407+136.407+136.407+159.142+272.814</f>
        <v>1230.6920000000002</v>
      </c>
      <c r="F34" s="161"/>
      <c r="G34" s="26">
        <f t="shared" si="28"/>
        <v>1230.6920000000002</v>
      </c>
      <c r="H34" s="4"/>
      <c r="I34" s="26">
        <f t="shared" si="29"/>
        <v>1230.6920000000002</v>
      </c>
      <c r="J34" s="62">
        <f t="shared" si="35"/>
        <v>0</v>
      </c>
      <c r="K34" s="85">
        <f t="shared" si="36"/>
        <v>1230.6920000000002</v>
      </c>
      <c r="L34" s="71">
        <f t="shared" si="37"/>
        <v>0</v>
      </c>
      <c r="M34" s="70">
        <f t="shared" si="32"/>
        <v>1230.6920000000002</v>
      </c>
      <c r="N34" s="71">
        <f t="shared" si="38"/>
        <v>0</v>
      </c>
      <c r="O34" s="70">
        <f t="shared" si="34"/>
        <v>1230.6920000000002</v>
      </c>
      <c r="P34" s="86">
        <f t="shared" si="39"/>
        <v>0</v>
      </c>
    </row>
    <row r="35" spans="2:16" ht="20.100000000000001" customHeight="1">
      <c r="B35" s="302"/>
      <c r="C35" s="191" t="s">
        <v>46</v>
      </c>
      <c r="D35" s="197" t="s">
        <v>60</v>
      </c>
      <c r="E35" s="198">
        <v>35.17</v>
      </c>
      <c r="F35" s="161"/>
      <c r="G35" s="26">
        <f t="shared" si="28"/>
        <v>35.17</v>
      </c>
      <c r="H35" s="4"/>
      <c r="I35" s="26">
        <f t="shared" si="29"/>
        <v>35.17</v>
      </c>
      <c r="J35" s="62">
        <f t="shared" si="35"/>
        <v>0</v>
      </c>
      <c r="K35" s="85">
        <f t="shared" si="36"/>
        <v>35.17</v>
      </c>
      <c r="L35" s="71">
        <f t="shared" si="37"/>
        <v>0</v>
      </c>
      <c r="M35" s="70">
        <f t="shared" si="32"/>
        <v>35.17</v>
      </c>
      <c r="N35" s="71">
        <f t="shared" si="38"/>
        <v>0</v>
      </c>
      <c r="O35" s="70">
        <f t="shared" si="34"/>
        <v>35.17</v>
      </c>
      <c r="P35" s="86">
        <f t="shared" si="39"/>
        <v>0</v>
      </c>
    </row>
    <row r="36" spans="2:16" ht="20.100000000000001" customHeight="1">
      <c r="B36" s="302"/>
      <c r="C36" s="191" t="s">
        <v>53</v>
      </c>
      <c r="D36" s="197" t="s">
        <v>60</v>
      </c>
      <c r="E36" s="198">
        <v>0</v>
      </c>
      <c r="F36" s="161"/>
      <c r="G36" s="26">
        <f t="shared" si="28"/>
        <v>0</v>
      </c>
      <c r="H36" s="4"/>
      <c r="I36" s="26">
        <f t="shared" si="29"/>
        <v>0</v>
      </c>
      <c r="J36" s="62" t="e">
        <f t="shared" si="35"/>
        <v>#DIV/0!</v>
      </c>
      <c r="K36" s="85">
        <f t="shared" si="36"/>
        <v>0</v>
      </c>
      <c r="L36" s="71">
        <f t="shared" si="37"/>
        <v>0</v>
      </c>
      <c r="M36" s="70">
        <f t="shared" si="32"/>
        <v>0</v>
      </c>
      <c r="N36" s="71">
        <f t="shared" si="38"/>
        <v>0</v>
      </c>
      <c r="O36" s="70">
        <f t="shared" si="34"/>
        <v>0</v>
      </c>
      <c r="P36" s="86" t="e">
        <f t="shared" si="39"/>
        <v>#DIV/0!</v>
      </c>
    </row>
    <row r="37" spans="2:16" ht="20.100000000000001" customHeight="1">
      <c r="B37" s="302"/>
      <c r="C37" s="192" t="s">
        <v>58</v>
      </c>
      <c r="D37" s="197" t="s">
        <v>60</v>
      </c>
      <c r="E37" s="198">
        <f>181.876</f>
        <v>181.876</v>
      </c>
      <c r="F37" s="161"/>
      <c r="G37" s="26">
        <f t="shared" si="28"/>
        <v>181.876</v>
      </c>
      <c r="H37" s="4"/>
      <c r="I37" s="26">
        <f t="shared" si="29"/>
        <v>181.876</v>
      </c>
      <c r="J37" s="62">
        <v>0</v>
      </c>
      <c r="K37" s="85">
        <f t="shared" si="36"/>
        <v>181.876</v>
      </c>
      <c r="L37" s="71">
        <f t="shared" si="37"/>
        <v>0</v>
      </c>
      <c r="M37" s="70">
        <f t="shared" si="32"/>
        <v>181.876</v>
      </c>
      <c r="N37" s="71">
        <f t="shared" si="38"/>
        <v>0</v>
      </c>
      <c r="O37" s="70">
        <f t="shared" si="34"/>
        <v>181.876</v>
      </c>
      <c r="P37" s="86">
        <v>0</v>
      </c>
    </row>
    <row r="38" spans="2:16" ht="20.100000000000001" customHeight="1">
      <c r="B38" s="302"/>
      <c r="C38" s="191" t="s">
        <v>52</v>
      </c>
      <c r="D38" s="197" t="s">
        <v>60</v>
      </c>
      <c r="E38" s="198">
        <f>113.673</f>
        <v>113.673</v>
      </c>
      <c r="F38" s="161"/>
      <c r="G38" s="26">
        <f t="shared" si="28"/>
        <v>113.673</v>
      </c>
      <c r="H38" s="4"/>
      <c r="I38" s="26">
        <f t="shared" si="29"/>
        <v>113.673</v>
      </c>
      <c r="J38" s="62">
        <f t="shared" si="35"/>
        <v>0</v>
      </c>
      <c r="K38" s="85">
        <f t="shared" si="36"/>
        <v>113.673</v>
      </c>
      <c r="L38" s="71">
        <f t="shared" si="37"/>
        <v>0</v>
      </c>
      <c r="M38" s="70">
        <f t="shared" si="32"/>
        <v>113.673</v>
      </c>
      <c r="N38" s="71">
        <f t="shared" si="38"/>
        <v>0</v>
      </c>
      <c r="O38" s="70">
        <f t="shared" si="34"/>
        <v>113.673</v>
      </c>
      <c r="P38" s="86">
        <f t="shared" si="39"/>
        <v>0</v>
      </c>
    </row>
    <row r="39" spans="2:16" ht="20.100000000000001" customHeight="1">
      <c r="B39" s="302"/>
      <c r="C39" s="192" t="s">
        <v>59</v>
      </c>
      <c r="D39" s="197" t="s">
        <v>60</v>
      </c>
      <c r="E39" s="198">
        <f>181.876</f>
        <v>181.876</v>
      </c>
      <c r="F39" s="161"/>
      <c r="G39" s="26">
        <f t="shared" si="28"/>
        <v>181.876</v>
      </c>
      <c r="H39" s="4"/>
      <c r="I39" s="26">
        <f t="shared" si="29"/>
        <v>181.876</v>
      </c>
      <c r="J39" s="62">
        <v>0</v>
      </c>
      <c r="K39" s="85">
        <f t="shared" si="36"/>
        <v>181.876</v>
      </c>
      <c r="L39" s="71">
        <f t="shared" si="37"/>
        <v>0</v>
      </c>
      <c r="M39" s="70">
        <f t="shared" si="32"/>
        <v>181.876</v>
      </c>
      <c r="N39" s="71">
        <f t="shared" si="38"/>
        <v>0</v>
      </c>
      <c r="O39" s="70">
        <f t="shared" si="34"/>
        <v>181.876</v>
      </c>
      <c r="P39" s="86">
        <v>0</v>
      </c>
    </row>
    <row r="40" spans="2:16" ht="20.100000000000001" customHeight="1">
      <c r="B40" s="302"/>
      <c r="C40" s="191" t="s">
        <v>50</v>
      </c>
      <c r="D40" s="197" t="s">
        <v>60</v>
      </c>
      <c r="E40" s="198">
        <f>4.247</f>
        <v>4.2469999999999999</v>
      </c>
      <c r="F40" s="161"/>
      <c r="G40" s="26">
        <f t="shared" si="28"/>
        <v>4.2469999999999999</v>
      </c>
      <c r="H40" s="4"/>
      <c r="I40" s="26">
        <f t="shared" si="29"/>
        <v>4.2469999999999999</v>
      </c>
      <c r="J40" s="62">
        <f t="shared" si="35"/>
        <v>0</v>
      </c>
      <c r="K40" s="85">
        <f t="shared" si="36"/>
        <v>4.2469999999999999</v>
      </c>
      <c r="L40" s="71">
        <f t="shared" si="37"/>
        <v>0</v>
      </c>
      <c r="M40" s="70">
        <f t="shared" si="32"/>
        <v>4.2469999999999999</v>
      </c>
      <c r="N40" s="71">
        <f t="shared" si="38"/>
        <v>0</v>
      </c>
      <c r="O40" s="70">
        <f t="shared" si="34"/>
        <v>4.2469999999999999</v>
      </c>
      <c r="P40" s="86">
        <f t="shared" si="39"/>
        <v>0</v>
      </c>
    </row>
    <row r="41" spans="2:16" ht="20.100000000000001" customHeight="1">
      <c r="B41" s="302"/>
      <c r="C41" s="191" t="s">
        <v>48</v>
      </c>
      <c r="D41" s="197" t="s">
        <v>60</v>
      </c>
      <c r="E41" s="198">
        <f>16375.615+159.142+181.876+181.876+272.814+272.814+272.814+272.814+318.283+318.283</f>
        <v>18626.330999999995</v>
      </c>
      <c r="F41" s="161"/>
      <c r="G41" s="26">
        <f t="shared" si="28"/>
        <v>18626.330999999995</v>
      </c>
      <c r="H41" s="4"/>
      <c r="I41" s="26">
        <f t="shared" si="29"/>
        <v>18626.330999999995</v>
      </c>
      <c r="J41" s="62">
        <f t="shared" si="35"/>
        <v>0</v>
      </c>
      <c r="K41" s="85">
        <f t="shared" si="36"/>
        <v>18626.330999999995</v>
      </c>
      <c r="L41" s="71">
        <f t="shared" si="37"/>
        <v>0</v>
      </c>
      <c r="M41" s="70">
        <f t="shared" si="32"/>
        <v>18626.330999999995</v>
      </c>
      <c r="N41" s="71">
        <f t="shared" si="38"/>
        <v>0</v>
      </c>
      <c r="O41" s="70">
        <f t="shared" si="34"/>
        <v>18626.330999999995</v>
      </c>
      <c r="P41" s="86">
        <f t="shared" si="39"/>
        <v>0</v>
      </c>
    </row>
    <row r="42" spans="2:16" ht="20.100000000000001" customHeight="1">
      <c r="B42" s="302"/>
      <c r="C42" s="192" t="s">
        <v>56</v>
      </c>
      <c r="D42" s="197" t="s">
        <v>60</v>
      </c>
      <c r="E42" s="198">
        <v>0</v>
      </c>
      <c r="F42" s="161"/>
      <c r="G42" s="26">
        <f t="shared" si="28"/>
        <v>0</v>
      </c>
      <c r="H42" s="4"/>
      <c r="I42" s="26">
        <f t="shared" si="29"/>
        <v>0</v>
      </c>
      <c r="J42" s="62">
        <v>0</v>
      </c>
      <c r="K42" s="85">
        <f t="shared" si="36"/>
        <v>0</v>
      </c>
      <c r="L42" s="71">
        <f t="shared" si="37"/>
        <v>0</v>
      </c>
      <c r="M42" s="70">
        <f t="shared" si="32"/>
        <v>0</v>
      </c>
      <c r="N42" s="71">
        <f t="shared" si="38"/>
        <v>0</v>
      </c>
      <c r="O42" s="70">
        <f t="shared" si="34"/>
        <v>0</v>
      </c>
      <c r="P42" s="86">
        <v>0</v>
      </c>
    </row>
    <row r="43" spans="2:16" ht="20.100000000000001" customHeight="1">
      <c r="B43" s="302"/>
      <c r="C43" s="191" t="s">
        <v>47</v>
      </c>
      <c r="D43" s="197" t="s">
        <v>60</v>
      </c>
      <c r="E43" s="198">
        <f>441.59</f>
        <v>441.59</v>
      </c>
      <c r="F43" s="161"/>
      <c r="G43" s="26">
        <f t="shared" si="28"/>
        <v>441.59</v>
      </c>
      <c r="H43" s="4"/>
      <c r="I43" s="26">
        <f t="shared" si="29"/>
        <v>441.59</v>
      </c>
      <c r="J43" s="62">
        <f t="shared" si="35"/>
        <v>0</v>
      </c>
      <c r="K43" s="85">
        <f t="shared" si="36"/>
        <v>441.59</v>
      </c>
      <c r="L43" s="71">
        <f t="shared" si="37"/>
        <v>0</v>
      </c>
      <c r="M43" s="70">
        <f t="shared" si="32"/>
        <v>441.59</v>
      </c>
      <c r="N43" s="71">
        <f t="shared" si="38"/>
        <v>0</v>
      </c>
      <c r="O43" s="70">
        <f t="shared" si="34"/>
        <v>441.59</v>
      </c>
      <c r="P43" s="86">
        <f t="shared" si="39"/>
        <v>0</v>
      </c>
    </row>
    <row r="44" spans="2:16" s="103" customFormat="1" ht="20.100000000000001" customHeight="1">
      <c r="B44" s="303"/>
      <c r="C44" s="193" t="s">
        <v>134</v>
      </c>
      <c r="D44" s="204" t="s">
        <v>60</v>
      </c>
      <c r="E44" s="205">
        <f>113.673+113.673+113.673+181.876</f>
        <v>522.89499999999998</v>
      </c>
      <c r="F44" s="182"/>
      <c r="G44" s="26">
        <f t="shared" si="28"/>
        <v>522.89499999999998</v>
      </c>
      <c r="H44" s="183"/>
      <c r="I44" s="26">
        <f t="shared" ref="I44" si="40">+G44-H44</f>
        <v>522.89499999999998</v>
      </c>
      <c r="J44" s="62">
        <f t="shared" ref="J44" si="41">+H44/G44</f>
        <v>0</v>
      </c>
      <c r="K44" s="85">
        <f t="shared" ref="K44" si="42">+E44</f>
        <v>522.89499999999998</v>
      </c>
      <c r="L44" s="71">
        <f t="shared" ref="L44" si="43">+F44</f>
        <v>0</v>
      </c>
      <c r="M44" s="70">
        <f t="shared" ref="M44" si="44">+K44+L44</f>
        <v>522.89499999999998</v>
      </c>
      <c r="N44" s="71">
        <f t="shared" ref="N44" si="45">+H44</f>
        <v>0</v>
      </c>
      <c r="O44" s="70">
        <f t="shared" ref="O44" si="46">+M44-N44</f>
        <v>522.89499999999998</v>
      </c>
      <c r="P44" s="86">
        <f t="shared" ref="P44" si="47">+N44/M44</f>
        <v>0</v>
      </c>
    </row>
    <row r="45" spans="2:16" ht="28.2" thickBot="1">
      <c r="B45" s="304"/>
      <c r="C45" s="194" t="s">
        <v>51</v>
      </c>
      <c r="D45" s="206" t="s">
        <v>60</v>
      </c>
      <c r="E45" s="200">
        <v>0</v>
      </c>
      <c r="F45" s="162"/>
      <c r="G45" s="61">
        <f t="shared" si="28"/>
        <v>0</v>
      </c>
      <c r="H45" s="30"/>
      <c r="I45" s="61">
        <f t="shared" si="29"/>
        <v>0</v>
      </c>
      <c r="J45" s="63" t="e">
        <f t="shared" si="35"/>
        <v>#DIV/0!</v>
      </c>
      <c r="K45" s="87">
        <f t="shared" si="36"/>
        <v>0</v>
      </c>
      <c r="L45" s="88">
        <f t="shared" si="37"/>
        <v>0</v>
      </c>
      <c r="M45" s="89">
        <f t="shared" si="32"/>
        <v>0</v>
      </c>
      <c r="N45" s="88">
        <f t="shared" si="38"/>
        <v>0</v>
      </c>
      <c r="O45" s="89">
        <f t="shared" si="34"/>
        <v>0</v>
      </c>
      <c r="P45" s="90" t="e">
        <f t="shared" si="39"/>
        <v>#DIV/0!</v>
      </c>
    </row>
    <row r="46" spans="2:16" s="9" customFormat="1" ht="15" thickBot="1">
      <c r="B46" s="32"/>
      <c r="C46" s="37"/>
      <c r="D46" s="34"/>
      <c r="E46" s="159">
        <f>SUM(E28:E45)</f>
        <v>44741.498999999974</v>
      </c>
      <c r="F46" s="6">
        <f>SUM(F28:F45)</f>
        <v>0</v>
      </c>
      <c r="G46" s="6"/>
      <c r="H46" s="6"/>
      <c r="I46" s="6"/>
      <c r="J46" s="64"/>
      <c r="K46" s="121">
        <f>SUM(K28:K45)</f>
        <v>44741.498999999974</v>
      </c>
      <c r="L46" s="112">
        <f>SUM(L28:L45)</f>
        <v>0</v>
      </c>
      <c r="M46" s="112">
        <f t="shared" ref="M46:O46" si="48">SUM(M28:M45)</f>
        <v>44741.498999999974</v>
      </c>
      <c r="N46" s="144">
        <f t="shared" si="48"/>
        <v>0</v>
      </c>
      <c r="O46" s="112">
        <f t="shared" si="48"/>
        <v>44741.498999999974</v>
      </c>
      <c r="P46" s="69">
        <f>+N46/M46</f>
        <v>0</v>
      </c>
    </row>
    <row r="47" spans="2:16">
      <c r="B47" s="308" t="s">
        <v>21</v>
      </c>
      <c r="C47" s="305" t="s">
        <v>61</v>
      </c>
      <c r="D47" s="47" t="s">
        <v>19</v>
      </c>
      <c r="E47" s="48">
        <f>3.661</f>
        <v>3.661</v>
      </c>
      <c r="F47" s="41"/>
      <c r="G47" s="56">
        <f>+E47+F47</f>
        <v>3.661</v>
      </c>
      <c r="H47" s="41"/>
      <c r="I47" s="56">
        <f t="shared" ref="I47:I52" si="49">+G47-H47</f>
        <v>3.661</v>
      </c>
      <c r="J47" s="78">
        <f>+H47/G47</f>
        <v>0</v>
      </c>
      <c r="K47" s="285">
        <f>+E47+E48</f>
        <v>4.88</v>
      </c>
      <c r="L47" s="289">
        <f>+F47+F48</f>
        <v>0</v>
      </c>
      <c r="M47" s="290">
        <f>+K47+L47</f>
        <v>4.88</v>
      </c>
      <c r="N47" s="289">
        <f>+H47+H48</f>
        <v>0</v>
      </c>
      <c r="O47" s="290">
        <f>+M47-N47</f>
        <v>4.88</v>
      </c>
      <c r="P47" s="291">
        <f>+N47/M47</f>
        <v>0</v>
      </c>
    </row>
    <row r="48" spans="2:16">
      <c r="B48" s="309"/>
      <c r="C48" s="306"/>
      <c r="D48" s="49" t="s">
        <v>20</v>
      </c>
      <c r="E48" s="50">
        <f>1.219</f>
        <v>1.2190000000000001</v>
      </c>
      <c r="F48" s="11"/>
      <c r="G48" s="57">
        <f>+I47+E48+F48</f>
        <v>4.88</v>
      </c>
      <c r="H48" s="11"/>
      <c r="I48" s="57">
        <f t="shared" si="49"/>
        <v>4.88</v>
      </c>
      <c r="J48" s="79">
        <f t="shared" ref="J48:J51" si="50">+H48/G48</f>
        <v>0</v>
      </c>
      <c r="K48" s="286"/>
      <c r="L48" s="280"/>
      <c r="M48" s="280"/>
      <c r="N48" s="280"/>
      <c r="O48" s="280"/>
      <c r="P48" s="283"/>
    </row>
    <row r="49" spans="2:16">
      <c r="B49" s="309"/>
      <c r="C49" s="306" t="s">
        <v>62</v>
      </c>
      <c r="D49" s="49" t="s">
        <v>19</v>
      </c>
      <c r="E49" s="50">
        <f>234.869</f>
        <v>234.869</v>
      </c>
      <c r="F49" s="11"/>
      <c r="G49" s="58">
        <f>+E49+F49</f>
        <v>234.869</v>
      </c>
      <c r="H49" s="11"/>
      <c r="I49" s="58">
        <f t="shared" si="49"/>
        <v>234.869</v>
      </c>
      <c r="J49" s="79">
        <f t="shared" si="50"/>
        <v>0</v>
      </c>
      <c r="K49" s="287">
        <f>+E49+E50</f>
        <v>313.08799999999997</v>
      </c>
      <c r="L49" s="280">
        <f>+F49+F50</f>
        <v>0</v>
      </c>
      <c r="M49" s="282">
        <f>+K49+L49</f>
        <v>313.08799999999997</v>
      </c>
      <c r="N49" s="280">
        <f>+H49+H50</f>
        <v>0</v>
      </c>
      <c r="O49" s="282">
        <f t="shared" ref="O49" si="51">+M49-N49</f>
        <v>313.08799999999997</v>
      </c>
      <c r="P49" s="283">
        <f t="shared" ref="P49" si="52">+N49/M49</f>
        <v>0</v>
      </c>
    </row>
    <row r="50" spans="2:16">
      <c r="B50" s="309"/>
      <c r="C50" s="306"/>
      <c r="D50" s="49" t="s">
        <v>20</v>
      </c>
      <c r="E50" s="50">
        <f>78.219</f>
        <v>78.218999999999994</v>
      </c>
      <c r="F50" s="11"/>
      <c r="G50" s="57">
        <f>+I49+E50+F50</f>
        <v>313.08799999999997</v>
      </c>
      <c r="H50" s="11"/>
      <c r="I50" s="57">
        <f t="shared" si="49"/>
        <v>313.08799999999997</v>
      </c>
      <c r="J50" s="79">
        <f t="shared" si="50"/>
        <v>0</v>
      </c>
      <c r="K50" s="286"/>
      <c r="L50" s="280"/>
      <c r="M50" s="280"/>
      <c r="N50" s="280"/>
      <c r="O50" s="280"/>
      <c r="P50" s="283"/>
    </row>
    <row r="51" spans="2:16">
      <c r="B51" s="309"/>
      <c r="C51" s="306" t="s">
        <v>63</v>
      </c>
      <c r="D51" s="49" t="s">
        <v>19</v>
      </c>
      <c r="E51" s="50">
        <f>875.47</f>
        <v>875.47</v>
      </c>
      <c r="F51" s="11"/>
      <c r="G51" s="58">
        <f>+E51+F51</f>
        <v>875.47</v>
      </c>
      <c r="H51" s="243">
        <v>262.29500000000002</v>
      </c>
      <c r="I51" s="58">
        <f t="shared" si="49"/>
        <v>613.17499999999995</v>
      </c>
      <c r="J51" s="79">
        <f t="shared" si="50"/>
        <v>0.29960478371617533</v>
      </c>
      <c r="K51" s="287">
        <f>+E51+E52</f>
        <v>1167.0309999999999</v>
      </c>
      <c r="L51" s="280">
        <f>+F51+F52</f>
        <v>0</v>
      </c>
      <c r="M51" s="282">
        <f>+K51+L51</f>
        <v>1167.0309999999999</v>
      </c>
      <c r="N51" s="280">
        <f>+H51+H52</f>
        <v>262.29500000000002</v>
      </c>
      <c r="O51" s="282">
        <f t="shared" ref="O51" si="53">+M51-N51</f>
        <v>904.73599999999988</v>
      </c>
      <c r="P51" s="283">
        <f t="shared" ref="P51" si="54">+N51/M51</f>
        <v>0.22475409822018441</v>
      </c>
    </row>
    <row r="52" spans="2:16" ht="15" thickBot="1">
      <c r="B52" s="310"/>
      <c r="C52" s="307"/>
      <c r="D52" s="51" t="s">
        <v>20</v>
      </c>
      <c r="E52" s="52">
        <f>291.561</f>
        <v>291.56099999999998</v>
      </c>
      <c r="F52" s="42"/>
      <c r="G52" s="59">
        <f>+I51+E52+F52</f>
        <v>904.73599999999988</v>
      </c>
      <c r="H52" s="42"/>
      <c r="I52" s="59">
        <f t="shared" si="49"/>
        <v>904.73599999999988</v>
      </c>
      <c r="J52" s="80">
        <f>+H52/G52</f>
        <v>0</v>
      </c>
      <c r="K52" s="288"/>
      <c r="L52" s="281"/>
      <c r="M52" s="281"/>
      <c r="N52" s="281"/>
      <c r="O52" s="281"/>
      <c r="P52" s="284"/>
    </row>
    <row r="53" spans="2:16" s="10" customFormat="1" ht="15" thickBot="1">
      <c r="B53" s="38"/>
      <c r="C53" s="39"/>
      <c r="D53" s="34"/>
      <c r="E53" s="159">
        <f>SUM(E47:E52)</f>
        <v>1484.999</v>
      </c>
      <c r="F53" s="40">
        <f>SUM(F47:F52)</f>
        <v>0</v>
      </c>
      <c r="G53" s="40"/>
      <c r="H53" s="40"/>
      <c r="I53" s="40"/>
      <c r="J53" s="69"/>
      <c r="K53" s="120">
        <f>SUM(K47:K52)</f>
        <v>1484.9989999999998</v>
      </c>
      <c r="L53" s="109">
        <f t="shared" ref="L53:O53" si="55">SUM(L47:L52)</f>
        <v>0</v>
      </c>
      <c r="M53" s="109">
        <f t="shared" si="55"/>
        <v>1484.9989999999998</v>
      </c>
      <c r="N53" s="109">
        <f t="shared" si="55"/>
        <v>262.29500000000002</v>
      </c>
      <c r="O53" s="109">
        <f t="shared" si="55"/>
        <v>1222.7039999999997</v>
      </c>
      <c r="P53" s="155">
        <f>+N53/M53</f>
        <v>0.1766297485722213</v>
      </c>
    </row>
    <row r="54" spans="2:16">
      <c r="B54" s="292" t="s">
        <v>31</v>
      </c>
      <c r="C54" s="44" t="s">
        <v>64</v>
      </c>
      <c r="D54" s="53" t="s">
        <v>65</v>
      </c>
      <c r="E54" s="48">
        <f>119.553</f>
        <v>119.553</v>
      </c>
      <c r="F54" s="41"/>
      <c r="G54" s="56">
        <f>+E54+F54</f>
        <v>119.553</v>
      </c>
      <c r="H54" s="41"/>
      <c r="I54" s="56">
        <f>+G54-H54</f>
        <v>119.553</v>
      </c>
      <c r="J54" s="66">
        <f>+H54/G54</f>
        <v>0</v>
      </c>
      <c r="K54" s="73">
        <f>+E54</f>
        <v>119.553</v>
      </c>
      <c r="L54" s="24">
        <f>+F54</f>
        <v>0</v>
      </c>
      <c r="M54" s="74">
        <f>+K54+L54</f>
        <v>119.553</v>
      </c>
      <c r="N54" s="167">
        <f>+H54</f>
        <v>0</v>
      </c>
      <c r="O54" s="74">
        <f>+M54-N54</f>
        <v>119.553</v>
      </c>
      <c r="P54" s="66">
        <f>+N54/M54</f>
        <v>0</v>
      </c>
    </row>
    <row r="55" spans="2:16">
      <c r="B55" s="293"/>
      <c r="C55" s="45" t="s">
        <v>44</v>
      </c>
      <c r="D55" s="54" t="s">
        <v>65</v>
      </c>
      <c r="E55" s="50">
        <f>520.512</f>
        <v>520.51199999999994</v>
      </c>
      <c r="F55" s="11"/>
      <c r="G55" s="58">
        <f t="shared" ref="G55:G62" si="56">+E55+F55</f>
        <v>520.51199999999994</v>
      </c>
      <c r="H55" s="11"/>
      <c r="I55" s="58">
        <f t="shared" ref="I55:I62" si="57">+G55-H55</f>
        <v>520.51199999999994</v>
      </c>
      <c r="J55" s="67">
        <f t="shared" ref="J55:J62" si="58">+H55/G55</f>
        <v>0</v>
      </c>
      <c r="K55" s="75">
        <f t="shared" ref="K55:K61" si="59">+E55</f>
        <v>520.51199999999994</v>
      </c>
      <c r="L55" s="23">
        <f>+F55</f>
        <v>0</v>
      </c>
      <c r="M55" s="72">
        <f t="shared" ref="M55:M62" si="60">+K55+L55</f>
        <v>520.51199999999994</v>
      </c>
      <c r="N55" s="165">
        <f>+H55</f>
        <v>0</v>
      </c>
      <c r="O55" s="72">
        <f t="shared" ref="O55:O62" si="61">+M55-N55</f>
        <v>520.51199999999994</v>
      </c>
      <c r="P55" s="67">
        <f t="shared" ref="P55:P62" si="62">+N55/M55</f>
        <v>0</v>
      </c>
    </row>
    <row r="56" spans="2:16">
      <c r="B56" s="293"/>
      <c r="C56" s="45" t="s">
        <v>52</v>
      </c>
      <c r="D56" s="54" t="s">
        <v>65</v>
      </c>
      <c r="E56" s="50">
        <f>0.088</f>
        <v>8.7999999999999995E-2</v>
      </c>
      <c r="F56" s="11"/>
      <c r="G56" s="58">
        <f t="shared" si="56"/>
        <v>8.7999999999999995E-2</v>
      </c>
      <c r="H56" s="11"/>
      <c r="I56" s="58">
        <f t="shared" si="57"/>
        <v>8.7999999999999995E-2</v>
      </c>
      <c r="J56" s="67">
        <f t="shared" si="58"/>
        <v>0</v>
      </c>
      <c r="K56" s="75">
        <f t="shared" si="59"/>
        <v>8.7999999999999995E-2</v>
      </c>
      <c r="L56" s="23">
        <f t="shared" ref="L56:L62" si="63">+F56</f>
        <v>0</v>
      </c>
      <c r="M56" s="72">
        <f t="shared" si="60"/>
        <v>8.7999999999999995E-2</v>
      </c>
      <c r="N56" s="165">
        <f>+H56</f>
        <v>0</v>
      </c>
      <c r="O56" s="72">
        <f t="shared" si="61"/>
        <v>8.7999999999999995E-2</v>
      </c>
      <c r="P56" s="67">
        <f t="shared" si="62"/>
        <v>0</v>
      </c>
    </row>
    <row r="57" spans="2:16">
      <c r="B57" s="293"/>
      <c r="C57" s="45" t="s">
        <v>66</v>
      </c>
      <c r="D57" s="54" t="s">
        <v>65</v>
      </c>
      <c r="E57" s="50">
        <f>3.352</f>
        <v>3.3519999999999999</v>
      </c>
      <c r="F57" s="11"/>
      <c r="G57" s="58">
        <f t="shared" si="56"/>
        <v>3.3519999999999999</v>
      </c>
      <c r="H57" s="11"/>
      <c r="I57" s="58">
        <f t="shared" si="57"/>
        <v>3.3519999999999999</v>
      </c>
      <c r="J57" s="67">
        <f t="shared" si="58"/>
        <v>0</v>
      </c>
      <c r="K57" s="75">
        <f t="shared" si="59"/>
        <v>3.3519999999999999</v>
      </c>
      <c r="L57" s="23">
        <f t="shared" si="63"/>
        <v>0</v>
      </c>
      <c r="M57" s="72">
        <f t="shared" si="60"/>
        <v>3.3519999999999999</v>
      </c>
      <c r="N57" s="165">
        <f t="shared" ref="N57:N62" si="64">+H57</f>
        <v>0</v>
      </c>
      <c r="O57" s="72">
        <f t="shared" si="61"/>
        <v>3.3519999999999999</v>
      </c>
      <c r="P57" s="67">
        <f t="shared" si="62"/>
        <v>0</v>
      </c>
    </row>
    <row r="58" spans="2:16">
      <c r="B58" s="293"/>
      <c r="C58" s="45" t="s">
        <v>67</v>
      </c>
      <c r="D58" s="54" t="s">
        <v>65</v>
      </c>
      <c r="E58" s="50">
        <f>3.789</f>
        <v>3.7890000000000001</v>
      </c>
      <c r="F58" s="11"/>
      <c r="G58" s="58">
        <f t="shared" si="56"/>
        <v>3.7890000000000001</v>
      </c>
      <c r="H58" s="11"/>
      <c r="I58" s="58">
        <f t="shared" si="57"/>
        <v>3.7890000000000001</v>
      </c>
      <c r="J58" s="67">
        <f t="shared" si="58"/>
        <v>0</v>
      </c>
      <c r="K58" s="75">
        <f t="shared" si="59"/>
        <v>3.7890000000000001</v>
      </c>
      <c r="L58" s="23">
        <f t="shared" si="63"/>
        <v>0</v>
      </c>
      <c r="M58" s="72">
        <f t="shared" si="60"/>
        <v>3.7890000000000001</v>
      </c>
      <c r="N58" s="165">
        <f t="shared" si="64"/>
        <v>0</v>
      </c>
      <c r="O58" s="72">
        <f t="shared" si="61"/>
        <v>3.7890000000000001</v>
      </c>
      <c r="P58" s="67">
        <f t="shared" si="62"/>
        <v>0</v>
      </c>
    </row>
    <row r="59" spans="2:16">
      <c r="B59" s="293"/>
      <c r="C59" s="125" t="s">
        <v>47</v>
      </c>
      <c r="D59" s="54" t="s">
        <v>65</v>
      </c>
      <c r="E59" s="50">
        <f>1.736</f>
        <v>1.736</v>
      </c>
      <c r="F59" s="11"/>
      <c r="G59" s="58">
        <f t="shared" si="56"/>
        <v>1.736</v>
      </c>
      <c r="H59" s="11"/>
      <c r="I59" s="58">
        <f t="shared" si="57"/>
        <v>1.736</v>
      </c>
      <c r="J59" s="67">
        <f t="shared" si="58"/>
        <v>0</v>
      </c>
      <c r="K59" s="75">
        <f t="shared" si="59"/>
        <v>1.736</v>
      </c>
      <c r="L59" s="23">
        <f t="shared" si="63"/>
        <v>0</v>
      </c>
      <c r="M59" s="72">
        <f t="shared" si="60"/>
        <v>1.736</v>
      </c>
      <c r="N59" s="165">
        <f t="shared" si="64"/>
        <v>0</v>
      </c>
      <c r="O59" s="72">
        <f t="shared" si="61"/>
        <v>1.736</v>
      </c>
      <c r="P59" s="67">
        <f t="shared" si="62"/>
        <v>0</v>
      </c>
    </row>
    <row r="60" spans="2:16">
      <c r="B60" s="293"/>
      <c r="C60" s="45" t="s">
        <v>68</v>
      </c>
      <c r="D60" s="54" t="s">
        <v>65</v>
      </c>
      <c r="E60" s="50">
        <f>223.434</f>
        <v>223.434</v>
      </c>
      <c r="F60" s="11"/>
      <c r="G60" s="58">
        <f t="shared" si="56"/>
        <v>223.434</v>
      </c>
      <c r="H60" s="11"/>
      <c r="I60" s="58">
        <f t="shared" si="57"/>
        <v>223.434</v>
      </c>
      <c r="J60" s="67">
        <f t="shared" si="58"/>
        <v>0</v>
      </c>
      <c r="K60" s="75">
        <f t="shared" si="59"/>
        <v>223.434</v>
      </c>
      <c r="L60" s="23">
        <f t="shared" si="63"/>
        <v>0</v>
      </c>
      <c r="M60" s="72">
        <f t="shared" si="60"/>
        <v>223.434</v>
      </c>
      <c r="N60" s="165">
        <f t="shared" si="64"/>
        <v>0</v>
      </c>
      <c r="O60" s="72">
        <f t="shared" si="61"/>
        <v>223.434</v>
      </c>
      <c r="P60" s="67">
        <f t="shared" si="62"/>
        <v>0</v>
      </c>
    </row>
    <row r="61" spans="2:16">
      <c r="B61" s="293"/>
      <c r="C61" s="45" t="s">
        <v>69</v>
      </c>
      <c r="D61" s="54" t="s">
        <v>65</v>
      </c>
      <c r="E61" s="50">
        <f>1.513</f>
        <v>1.5129999999999999</v>
      </c>
      <c r="F61" s="11"/>
      <c r="G61" s="58">
        <f t="shared" si="56"/>
        <v>1.5129999999999999</v>
      </c>
      <c r="H61" s="11"/>
      <c r="I61" s="58">
        <f t="shared" si="57"/>
        <v>1.5129999999999999</v>
      </c>
      <c r="J61" s="67">
        <f t="shared" si="58"/>
        <v>0</v>
      </c>
      <c r="K61" s="75">
        <f t="shared" si="59"/>
        <v>1.5129999999999999</v>
      </c>
      <c r="L61" s="23">
        <f t="shared" si="63"/>
        <v>0</v>
      </c>
      <c r="M61" s="72">
        <f t="shared" si="60"/>
        <v>1.5129999999999999</v>
      </c>
      <c r="N61" s="165">
        <f t="shared" si="64"/>
        <v>0</v>
      </c>
      <c r="O61" s="72">
        <f t="shared" si="61"/>
        <v>1.5129999999999999</v>
      </c>
      <c r="P61" s="67">
        <f t="shared" si="62"/>
        <v>0</v>
      </c>
    </row>
    <row r="62" spans="2:16" ht="15" thickBot="1">
      <c r="B62" s="294"/>
      <c r="C62" s="46" t="s">
        <v>70</v>
      </c>
      <c r="D62" s="55" t="s">
        <v>65</v>
      </c>
      <c r="E62" s="52">
        <f>1.024</f>
        <v>1.024</v>
      </c>
      <c r="F62" s="42"/>
      <c r="G62" s="60">
        <f t="shared" si="56"/>
        <v>1.024</v>
      </c>
      <c r="H62" s="42"/>
      <c r="I62" s="60">
        <f t="shared" si="57"/>
        <v>1.024</v>
      </c>
      <c r="J62" s="68">
        <f t="shared" si="58"/>
        <v>0</v>
      </c>
      <c r="K62" s="76">
        <f>+E62</f>
        <v>1.024</v>
      </c>
      <c r="L62" s="25">
        <f t="shared" si="63"/>
        <v>0</v>
      </c>
      <c r="M62" s="77">
        <f t="shared" si="60"/>
        <v>1.024</v>
      </c>
      <c r="N62" s="166">
        <f t="shared" si="64"/>
        <v>0</v>
      </c>
      <c r="O62" s="77">
        <f t="shared" si="61"/>
        <v>1.024</v>
      </c>
      <c r="P62" s="68">
        <f t="shared" si="62"/>
        <v>0</v>
      </c>
    </row>
    <row r="63" spans="2:16">
      <c r="E63" s="140">
        <f>SUM(E54:E62)</f>
        <v>875.00099999999986</v>
      </c>
      <c r="F63">
        <f>SUM(F54:F62)</f>
        <v>0</v>
      </c>
      <c r="K63" s="110">
        <f>SUM(K54:K62)</f>
        <v>875.00099999999986</v>
      </c>
      <c r="L63" s="110">
        <f>SUM(L54:L62)</f>
        <v>0</v>
      </c>
      <c r="M63" s="110">
        <f t="shared" ref="M63:O63" si="65">SUM(M54:M62)</f>
        <v>875.00099999999986</v>
      </c>
      <c r="N63" s="170">
        <f>SUM(N54:N62)</f>
        <v>0</v>
      </c>
      <c r="O63" s="110">
        <f t="shared" si="65"/>
        <v>875.00099999999986</v>
      </c>
      <c r="P63" s="111">
        <f>+N63/M63</f>
        <v>0</v>
      </c>
    </row>
    <row r="66" spans="7:8" hidden="1">
      <c r="G66" t="str">
        <f>+B54</f>
        <v>Sardina española III - IV</v>
      </c>
      <c r="H66">
        <f>+H51</f>
        <v>262.29500000000002</v>
      </c>
    </row>
    <row r="67" spans="7:8" hidden="1">
      <c r="G67" t="str">
        <f>+B28</f>
        <v>Anchoveta III - IV</v>
      </c>
      <c r="H67">
        <f>+H46</f>
        <v>0</v>
      </c>
    </row>
    <row r="68" spans="7:8" hidden="1">
      <c r="G68" t="str">
        <f>+B11</f>
        <v>Anchoveta XV - II</v>
      </c>
      <c r="H68">
        <f>+H27</f>
        <v>9821.3500000000022</v>
      </c>
    </row>
    <row r="69" spans="7:8" hidden="1">
      <c r="H69">
        <f>SUM(H66:H68)</f>
        <v>10083.645000000002</v>
      </c>
    </row>
  </sheetData>
  <sortState xmlns:xlrd2="http://schemas.microsoft.com/office/spreadsheetml/2017/richdata2" ref="C16:C32">
    <sortCondition ref="C16"/>
  </sortState>
  <mergeCells count="86">
    <mergeCell ref="K23:K24"/>
    <mergeCell ref="L23:L24"/>
    <mergeCell ref="M23:M24"/>
    <mergeCell ref="N23:N24"/>
    <mergeCell ref="O23:O24"/>
    <mergeCell ref="P15:P16"/>
    <mergeCell ref="C17:C18"/>
    <mergeCell ref="K17:K18"/>
    <mergeCell ref="L17:L18"/>
    <mergeCell ref="M17:M18"/>
    <mergeCell ref="N17:N18"/>
    <mergeCell ref="O17:O18"/>
    <mergeCell ref="P17:P18"/>
    <mergeCell ref="K15:K16"/>
    <mergeCell ref="L15:L16"/>
    <mergeCell ref="M15:M16"/>
    <mergeCell ref="N15:N16"/>
    <mergeCell ref="O15:O16"/>
    <mergeCell ref="B5:P6"/>
    <mergeCell ref="B7:P7"/>
    <mergeCell ref="H9:J9"/>
    <mergeCell ref="E9:G9"/>
    <mergeCell ref="C49:C50"/>
    <mergeCell ref="N13:N14"/>
    <mergeCell ref="O13:O14"/>
    <mergeCell ref="P13:P14"/>
    <mergeCell ref="L19:L20"/>
    <mergeCell ref="M19:M20"/>
    <mergeCell ref="N19:N20"/>
    <mergeCell ref="O19:O20"/>
    <mergeCell ref="P19:P20"/>
    <mergeCell ref="L21:L22"/>
    <mergeCell ref="M21:M22"/>
    <mergeCell ref="N21:N22"/>
    <mergeCell ref="C51:C52"/>
    <mergeCell ref="B47:B52"/>
    <mergeCell ref="B11:B26"/>
    <mergeCell ref="C11:C12"/>
    <mergeCell ref="C13:C14"/>
    <mergeCell ref="C19:C20"/>
    <mergeCell ref="C21:C22"/>
    <mergeCell ref="C25:C26"/>
    <mergeCell ref="C15:C16"/>
    <mergeCell ref="C23:C24"/>
    <mergeCell ref="B54:B62"/>
    <mergeCell ref="K9:P9"/>
    <mergeCell ref="K11:K12"/>
    <mergeCell ref="K13:K14"/>
    <mergeCell ref="K19:K20"/>
    <mergeCell ref="K21:K22"/>
    <mergeCell ref="K25:K26"/>
    <mergeCell ref="L11:L12"/>
    <mergeCell ref="M11:M12"/>
    <mergeCell ref="N11:N12"/>
    <mergeCell ref="O11:O12"/>
    <mergeCell ref="P11:P12"/>
    <mergeCell ref="L13:L14"/>
    <mergeCell ref="M13:M14"/>
    <mergeCell ref="B28:B45"/>
    <mergeCell ref="C47:C48"/>
    <mergeCell ref="O21:O22"/>
    <mergeCell ref="P21:P22"/>
    <mergeCell ref="O49:O50"/>
    <mergeCell ref="P49:P50"/>
    <mergeCell ref="L25:L26"/>
    <mergeCell ref="M25:M26"/>
    <mergeCell ref="N25:N26"/>
    <mergeCell ref="O25:O26"/>
    <mergeCell ref="P25:P26"/>
    <mergeCell ref="P23:P24"/>
    <mergeCell ref="N51:N52"/>
    <mergeCell ref="O51:O52"/>
    <mergeCell ref="P51:P52"/>
    <mergeCell ref="K47:K48"/>
    <mergeCell ref="K49:K50"/>
    <mergeCell ref="K51:K52"/>
    <mergeCell ref="L47:L48"/>
    <mergeCell ref="M47:M48"/>
    <mergeCell ref="L51:L52"/>
    <mergeCell ref="M51:M52"/>
    <mergeCell ref="L49:L50"/>
    <mergeCell ref="M49:M50"/>
    <mergeCell ref="N47:N48"/>
    <mergeCell ref="O47:O48"/>
    <mergeCell ref="P47:P48"/>
    <mergeCell ref="N49:N50"/>
  </mergeCells>
  <conditionalFormatting sqref="J11:J62">
    <cfRule type="cellIs" dxfId="2" priority="2" operator="greaterThan">
      <formula>0.9</formula>
    </cfRule>
  </conditionalFormatting>
  <conditionalFormatting sqref="P11:P63">
    <cfRule type="cellIs" dxfId="1" priority="1" operator="greaterThan">
      <formula>0.9</formula>
    </cfRule>
  </conditionalFormatting>
  <pageMargins left="0.7" right="0.7" top="0.75" bottom="0.75" header="0.3" footer="0.3"/>
  <ignoredErrors>
    <ignoredError sqref="G48:G51 G25 M45 M47:M52 M54:M62 M25:M26 M46:O46 M28:M43 M11:M14 G12:G14 M19:M22 G19:G22" formula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269"/>
  <sheetViews>
    <sheetView zoomScale="90" zoomScaleNormal="90" workbookViewId="0">
      <pane ySplit="3" topLeftCell="A4" activePane="bottomLeft" state="frozen"/>
      <selection pane="bottomLeft" activeCell="H16" sqref="H16"/>
    </sheetView>
  </sheetViews>
  <sheetFormatPr baseColWidth="10" defaultRowHeight="14.4"/>
  <cols>
    <col min="1" max="1" width="4.5546875" customWidth="1"/>
    <col min="2" max="2" width="4.77734375" style="172" bestFit="1" customWidth="1"/>
    <col min="3" max="3" width="13.21875" style="172" customWidth="1"/>
    <col min="4" max="5" width="11.44140625" style="171"/>
    <col min="6" max="6" width="19.77734375" style="172" bestFit="1" customWidth="1"/>
    <col min="7" max="7" width="11.44140625" style="172"/>
    <col min="8" max="10" width="11.44140625" style="171"/>
    <col min="11" max="11" width="16.21875" style="171" bestFit="1" customWidth="1"/>
    <col min="12" max="13" width="10" style="171" customWidth="1"/>
    <col min="14" max="14" width="13.44140625" style="171" customWidth="1"/>
    <col min="15" max="15" width="13.5546875" style="171" customWidth="1"/>
    <col min="17" max="17" width="11.44140625" style="103"/>
    <col min="18" max="18" width="15" bestFit="1" customWidth="1"/>
    <col min="19" max="19" width="13.77734375" bestFit="1" customWidth="1"/>
    <col min="20" max="20" width="13" bestFit="1" customWidth="1"/>
    <col min="21" max="21" width="13.77734375" bestFit="1" customWidth="1"/>
    <col min="22" max="22" width="16.44140625" bestFit="1" customWidth="1"/>
  </cols>
  <sheetData>
    <row r="1" spans="2:22" ht="15" thickBot="1">
      <c r="B1"/>
      <c r="C1"/>
      <c r="D1" s="117"/>
      <c r="E1" s="117"/>
      <c r="F1"/>
      <c r="G1"/>
      <c r="H1" s="117"/>
      <c r="I1" s="117"/>
      <c r="J1" s="117"/>
      <c r="K1" s="117"/>
      <c r="L1" s="117"/>
      <c r="M1" s="117"/>
      <c r="N1" s="117"/>
      <c r="O1" s="117"/>
    </row>
    <row r="2" spans="2:22" s="103" customFormat="1" ht="15" thickBot="1">
      <c r="D2" s="117"/>
      <c r="E2" s="117"/>
      <c r="H2" s="324" t="s">
        <v>152</v>
      </c>
      <c r="I2" s="320"/>
      <c r="J2" s="320"/>
      <c r="K2" s="321"/>
      <c r="L2" s="320" t="s">
        <v>153</v>
      </c>
      <c r="M2" s="320"/>
      <c r="N2" s="320"/>
      <c r="O2" s="321"/>
    </row>
    <row r="3" spans="2:22" ht="15" thickBot="1">
      <c r="B3"/>
      <c r="C3"/>
      <c r="D3" s="117"/>
      <c r="E3" s="117"/>
      <c r="F3"/>
      <c r="G3"/>
      <c r="H3" s="168" t="s">
        <v>130</v>
      </c>
      <c r="I3" s="168" t="s">
        <v>131</v>
      </c>
      <c r="J3" s="168" t="s">
        <v>132</v>
      </c>
      <c r="K3" s="168" t="s">
        <v>133</v>
      </c>
      <c r="L3" s="169" t="s">
        <v>130</v>
      </c>
      <c r="M3" s="169" t="s">
        <v>131</v>
      </c>
      <c r="N3" s="169" t="s">
        <v>132</v>
      </c>
      <c r="O3" s="169" t="s">
        <v>133</v>
      </c>
      <c r="S3" s="322" t="s">
        <v>154</v>
      </c>
      <c r="T3" s="323"/>
      <c r="U3" s="323"/>
      <c r="V3" s="323"/>
    </row>
    <row r="4" spans="2:22" ht="28.8">
      <c r="B4" s="178" t="s">
        <v>125</v>
      </c>
      <c r="C4" s="179" t="s">
        <v>126</v>
      </c>
      <c r="D4" s="180" t="s">
        <v>127</v>
      </c>
      <c r="E4" s="179" t="s">
        <v>24</v>
      </c>
      <c r="F4" s="179" t="s">
        <v>128</v>
      </c>
      <c r="G4" s="179" t="s">
        <v>129</v>
      </c>
      <c r="H4" s="179" t="s">
        <v>117</v>
      </c>
      <c r="I4" s="179" t="s">
        <v>117</v>
      </c>
      <c r="J4" s="179" t="s">
        <v>117</v>
      </c>
      <c r="K4" s="179" t="s">
        <v>117</v>
      </c>
      <c r="L4" s="147" t="s">
        <v>118</v>
      </c>
      <c r="M4" s="147" t="s">
        <v>118</v>
      </c>
      <c r="N4" s="147" t="s">
        <v>118</v>
      </c>
      <c r="O4" s="148" t="s">
        <v>118</v>
      </c>
      <c r="S4" s="150" t="s">
        <v>130</v>
      </c>
      <c r="T4" s="150" t="s">
        <v>131</v>
      </c>
      <c r="U4" s="150" t="s">
        <v>132</v>
      </c>
      <c r="V4" s="150" t="s">
        <v>133</v>
      </c>
    </row>
    <row r="5" spans="2:22">
      <c r="C5" s="173"/>
      <c r="H5" s="174"/>
      <c r="I5" s="174"/>
      <c r="J5" s="174"/>
      <c r="K5" s="175"/>
      <c r="R5" s="151" t="s">
        <v>117</v>
      </c>
      <c r="S5" s="137">
        <f>+H5+H32+H34+H36+H50+H64+H65+H66+H67+H69+H76+H86+H97+H98+H111+H113+H143+H144+H145+H153+H154+H155+H158+H202+H208+H209+H219+H226+H227</f>
        <v>0</v>
      </c>
      <c r="T5" s="137">
        <f>+I5+I32+I34+I36+I50+I64+I66+I67+I69+I76+I86+I97+I98+I111+I113+I143+I144+I145+I153+I154+I155+I158++I202+I208</f>
        <v>0</v>
      </c>
      <c r="U5" s="137">
        <f>+S5-T5</f>
        <v>0</v>
      </c>
      <c r="V5" s="113" t="e">
        <f>+T5/S5</f>
        <v>#DIV/0!</v>
      </c>
    </row>
    <row r="6" spans="2:22">
      <c r="C6" s="173"/>
      <c r="H6" s="174"/>
      <c r="I6" s="174"/>
      <c r="J6" s="174"/>
      <c r="K6" s="175"/>
      <c r="R6" s="151" t="s">
        <v>140</v>
      </c>
      <c r="S6" s="137">
        <f>+L34+L35+L36+L66+L141+L146+L156</f>
        <v>0</v>
      </c>
      <c r="T6" s="137">
        <f>+M34+M36+M66+M141+M146</f>
        <v>0</v>
      </c>
      <c r="U6" s="137">
        <f>+S6-T6</f>
        <v>0</v>
      </c>
      <c r="V6" s="113" t="e">
        <f>+T6/S6</f>
        <v>#DIV/0!</v>
      </c>
    </row>
    <row r="7" spans="2:22">
      <c r="C7" s="173"/>
      <c r="H7" s="174"/>
      <c r="I7" s="174"/>
      <c r="J7" s="174"/>
      <c r="K7" s="175"/>
      <c r="R7" s="151" t="s">
        <v>141</v>
      </c>
      <c r="S7" s="152">
        <f>SUM(S5:S6)</f>
        <v>0</v>
      </c>
      <c r="T7" s="153">
        <f>SUM(T5:T6)</f>
        <v>0</v>
      </c>
      <c r="U7" s="152">
        <f>+S7-T7</f>
        <v>0</v>
      </c>
      <c r="V7" s="154" t="e">
        <f>+T7/S7</f>
        <v>#DIV/0!</v>
      </c>
    </row>
    <row r="8" spans="2:22">
      <c r="C8" s="173"/>
      <c r="H8" s="174"/>
      <c r="I8" s="174"/>
      <c r="J8" s="174"/>
      <c r="K8" s="175"/>
    </row>
    <row r="9" spans="2:22">
      <c r="C9" s="173"/>
      <c r="H9" s="174"/>
      <c r="I9" s="174"/>
      <c r="J9" s="174"/>
      <c r="K9" s="175"/>
    </row>
    <row r="10" spans="2:22">
      <c r="C10" s="173"/>
      <c r="H10" s="174"/>
      <c r="I10" s="174"/>
      <c r="J10" s="174"/>
      <c r="K10" s="175"/>
    </row>
    <row r="11" spans="2:22">
      <c r="C11" s="173"/>
      <c r="H11" s="174"/>
      <c r="I11" s="174"/>
      <c r="J11" s="174"/>
      <c r="K11" s="175"/>
    </row>
    <row r="12" spans="2:22">
      <c r="C12" s="173"/>
      <c r="H12" s="174"/>
      <c r="I12" s="174"/>
      <c r="J12" s="174"/>
      <c r="K12" s="175"/>
    </row>
    <row r="13" spans="2:22">
      <c r="C13" s="173"/>
      <c r="H13" s="174"/>
      <c r="I13" s="174"/>
      <c r="J13" s="174"/>
      <c r="K13" s="175"/>
    </row>
    <row r="14" spans="2:22">
      <c r="C14" s="173"/>
      <c r="H14" s="174"/>
      <c r="I14" s="174"/>
      <c r="J14" s="174"/>
      <c r="K14" s="175"/>
    </row>
    <row r="15" spans="2:22">
      <c r="C15" s="173"/>
      <c r="H15" s="174"/>
      <c r="I15" s="174"/>
      <c r="J15" s="174"/>
      <c r="K15" s="175"/>
    </row>
    <row r="16" spans="2:22">
      <c r="C16" s="173"/>
      <c r="H16" s="174"/>
      <c r="I16" s="174"/>
      <c r="J16" s="174"/>
      <c r="K16" s="175"/>
    </row>
    <row r="17" spans="3:11">
      <c r="C17" s="173"/>
      <c r="H17" s="174"/>
      <c r="I17" s="174"/>
      <c r="J17" s="174"/>
      <c r="K17" s="175"/>
    </row>
    <row r="18" spans="3:11">
      <c r="C18" s="173"/>
      <c r="H18" s="174"/>
      <c r="I18" s="174"/>
      <c r="J18" s="174"/>
      <c r="K18" s="175"/>
    </row>
    <row r="19" spans="3:11">
      <c r="C19" s="173"/>
      <c r="H19" s="174"/>
      <c r="I19" s="174"/>
      <c r="J19" s="174"/>
      <c r="K19" s="175"/>
    </row>
    <row r="20" spans="3:11">
      <c r="C20" s="173"/>
      <c r="H20" s="174"/>
      <c r="I20" s="174"/>
      <c r="J20" s="174"/>
      <c r="K20" s="175"/>
    </row>
    <row r="21" spans="3:11">
      <c r="C21" s="173"/>
      <c r="H21" s="174"/>
      <c r="I21" s="174"/>
      <c r="J21" s="174"/>
      <c r="K21" s="175"/>
    </row>
    <row r="22" spans="3:11">
      <c r="C22" s="173"/>
      <c r="H22" s="174"/>
      <c r="I22" s="174"/>
      <c r="J22" s="174"/>
      <c r="K22" s="175"/>
    </row>
    <row r="23" spans="3:11">
      <c r="C23" s="173"/>
      <c r="H23" s="174"/>
      <c r="I23" s="174"/>
      <c r="J23" s="174"/>
      <c r="K23" s="175"/>
    </row>
    <row r="24" spans="3:11">
      <c r="C24" s="173"/>
      <c r="H24" s="174"/>
      <c r="I24" s="174"/>
      <c r="J24" s="174"/>
      <c r="K24" s="175"/>
    </row>
    <row r="25" spans="3:11">
      <c r="C25" s="173"/>
      <c r="H25" s="174"/>
      <c r="I25" s="174"/>
      <c r="J25" s="174"/>
      <c r="K25" s="175"/>
    </row>
    <row r="26" spans="3:11">
      <c r="C26" s="173"/>
      <c r="H26" s="174"/>
      <c r="I26" s="174"/>
      <c r="J26" s="174"/>
      <c r="K26" s="175"/>
    </row>
    <row r="27" spans="3:11">
      <c r="C27" s="173"/>
      <c r="H27" s="174"/>
      <c r="I27" s="174"/>
      <c r="J27" s="174"/>
      <c r="K27" s="175"/>
    </row>
    <row r="28" spans="3:11">
      <c r="C28" s="173"/>
      <c r="H28" s="174"/>
      <c r="I28" s="174"/>
      <c r="J28" s="174"/>
      <c r="K28" s="175"/>
    </row>
    <row r="29" spans="3:11">
      <c r="C29" s="173"/>
      <c r="H29" s="174"/>
      <c r="I29" s="174"/>
      <c r="J29" s="174"/>
      <c r="K29" s="175"/>
    </row>
    <row r="30" spans="3:11">
      <c r="C30" s="173"/>
      <c r="H30" s="174"/>
      <c r="I30" s="174"/>
      <c r="J30" s="174"/>
      <c r="K30" s="175"/>
    </row>
    <row r="31" spans="3:11">
      <c r="C31" s="173"/>
      <c r="H31" s="174"/>
      <c r="I31" s="174"/>
      <c r="J31" s="174"/>
      <c r="K31" s="175"/>
    </row>
    <row r="32" spans="3:11">
      <c r="C32" s="173"/>
      <c r="H32" s="174"/>
      <c r="I32" s="174"/>
      <c r="J32" s="174"/>
      <c r="K32" s="175"/>
    </row>
    <row r="33" spans="2:15">
      <c r="C33" s="173"/>
      <c r="H33" s="174"/>
      <c r="I33" s="174"/>
      <c r="J33" s="174"/>
      <c r="K33" s="175"/>
    </row>
    <row r="34" spans="2:15">
      <c r="C34" s="173"/>
      <c r="K34" s="176"/>
      <c r="O34" s="176"/>
    </row>
    <row r="35" spans="2:15" s="103" customFormat="1">
      <c r="B35" s="172"/>
      <c r="C35" s="173"/>
      <c r="D35" s="171"/>
      <c r="E35" s="171"/>
      <c r="F35" s="172"/>
      <c r="G35" s="172"/>
      <c r="H35" s="171"/>
      <c r="I35" s="171"/>
      <c r="J35" s="171"/>
      <c r="K35" s="171"/>
      <c r="L35" s="171"/>
      <c r="M35" s="171"/>
      <c r="N35" s="171"/>
      <c r="O35" s="171"/>
    </row>
    <row r="36" spans="2:15">
      <c r="C36" s="173"/>
      <c r="H36" s="174"/>
      <c r="I36" s="174"/>
      <c r="J36" s="174"/>
      <c r="K36" s="175"/>
      <c r="L36" s="174"/>
      <c r="M36" s="174"/>
      <c r="N36" s="174"/>
      <c r="O36" s="177"/>
    </row>
    <row r="37" spans="2:15">
      <c r="C37" s="173"/>
      <c r="H37" s="174"/>
      <c r="I37" s="174"/>
      <c r="J37" s="174"/>
      <c r="K37" s="175"/>
      <c r="L37" s="174"/>
      <c r="M37" s="174"/>
      <c r="N37" s="174"/>
      <c r="O37" s="177"/>
    </row>
    <row r="38" spans="2:15">
      <c r="C38" s="173"/>
      <c r="H38" s="174"/>
      <c r="I38" s="174"/>
      <c r="J38" s="174"/>
      <c r="K38" s="175"/>
      <c r="L38" s="174"/>
      <c r="M38" s="174"/>
      <c r="N38" s="174"/>
      <c r="O38" s="177"/>
    </row>
    <row r="39" spans="2:15">
      <c r="C39" s="173"/>
      <c r="H39" s="174"/>
      <c r="I39" s="174"/>
      <c r="J39" s="174"/>
      <c r="K39" s="175"/>
      <c r="L39" s="174"/>
      <c r="M39" s="174"/>
      <c r="N39" s="174"/>
      <c r="O39" s="177"/>
    </row>
    <row r="40" spans="2:15">
      <c r="C40" s="173"/>
      <c r="H40" s="174"/>
      <c r="I40" s="174"/>
      <c r="J40" s="174"/>
      <c r="K40" s="175"/>
      <c r="L40" s="174"/>
      <c r="M40" s="174"/>
      <c r="N40" s="174"/>
      <c r="O40" s="177"/>
    </row>
    <row r="41" spans="2:15">
      <c r="C41" s="173"/>
      <c r="H41" s="174"/>
      <c r="I41" s="174"/>
      <c r="J41" s="174"/>
      <c r="K41" s="175"/>
      <c r="L41" s="174"/>
      <c r="M41" s="174"/>
      <c r="N41" s="174"/>
      <c r="O41" s="177"/>
    </row>
    <row r="42" spans="2:15">
      <c r="C42" s="173"/>
      <c r="H42" s="174"/>
      <c r="I42" s="174"/>
      <c r="J42" s="174"/>
      <c r="K42" s="175"/>
      <c r="L42" s="174"/>
      <c r="M42" s="174"/>
      <c r="N42" s="174"/>
      <c r="O42" s="177"/>
    </row>
    <row r="43" spans="2:15">
      <c r="C43" s="173"/>
      <c r="H43" s="174"/>
      <c r="I43" s="174"/>
      <c r="J43" s="174"/>
      <c r="K43" s="175"/>
      <c r="L43" s="174"/>
      <c r="M43" s="174"/>
      <c r="N43" s="174"/>
      <c r="O43" s="177"/>
    </row>
    <row r="44" spans="2:15">
      <c r="C44" s="173"/>
      <c r="H44" s="174"/>
      <c r="I44" s="174"/>
      <c r="J44" s="174"/>
      <c r="K44" s="174"/>
      <c r="L44" s="174"/>
      <c r="M44" s="174"/>
      <c r="N44" s="174"/>
      <c r="O44" s="177"/>
    </row>
    <row r="45" spans="2:15">
      <c r="C45" s="173"/>
      <c r="H45" s="174"/>
      <c r="I45" s="174"/>
      <c r="J45" s="174"/>
      <c r="K45" s="174"/>
      <c r="L45" s="174"/>
      <c r="M45" s="174"/>
      <c r="N45" s="174"/>
      <c r="O45" s="177"/>
    </row>
    <row r="46" spans="2:15">
      <c r="C46" s="173"/>
      <c r="H46" s="174"/>
      <c r="I46" s="174"/>
      <c r="J46" s="174"/>
      <c r="K46" s="174"/>
      <c r="L46" s="174"/>
      <c r="M46" s="174"/>
      <c r="N46" s="174"/>
      <c r="O46" s="177"/>
    </row>
    <row r="47" spans="2:15">
      <c r="C47" s="173"/>
      <c r="H47" s="174"/>
      <c r="I47" s="174"/>
      <c r="J47" s="174"/>
      <c r="K47" s="174"/>
      <c r="L47" s="174"/>
      <c r="M47" s="174"/>
      <c r="N47" s="174"/>
      <c r="O47" s="177"/>
    </row>
    <row r="48" spans="2:15">
      <c r="C48" s="173"/>
      <c r="H48" s="174"/>
      <c r="I48" s="174"/>
      <c r="J48" s="174"/>
      <c r="K48" s="174"/>
      <c r="L48" s="174"/>
      <c r="M48" s="174"/>
      <c r="N48" s="174"/>
      <c r="O48" s="177"/>
    </row>
    <row r="49" spans="2:15">
      <c r="C49" s="173"/>
      <c r="H49" s="174"/>
      <c r="I49" s="174"/>
      <c r="J49" s="174"/>
      <c r="K49" s="174"/>
      <c r="L49" s="174"/>
      <c r="M49" s="174"/>
      <c r="N49" s="174"/>
      <c r="O49" s="177"/>
    </row>
    <row r="50" spans="2:15">
      <c r="C50" s="173"/>
      <c r="H50" s="174"/>
      <c r="I50" s="174"/>
      <c r="J50" s="174"/>
      <c r="K50" s="175"/>
    </row>
    <row r="51" spans="2:15">
      <c r="C51" s="173"/>
      <c r="H51" s="174"/>
      <c r="I51" s="174"/>
      <c r="J51" s="174"/>
      <c r="K51" s="175"/>
    </row>
    <row r="52" spans="2:15">
      <c r="C52" s="173"/>
      <c r="H52" s="174"/>
      <c r="I52" s="174"/>
      <c r="J52" s="174"/>
      <c r="K52" s="175"/>
    </row>
    <row r="53" spans="2:15">
      <c r="C53" s="173"/>
      <c r="H53" s="174"/>
      <c r="I53" s="174"/>
      <c r="J53" s="174"/>
      <c r="K53" s="175"/>
    </row>
    <row r="54" spans="2:15">
      <c r="C54" s="173"/>
      <c r="H54" s="174"/>
      <c r="I54" s="174"/>
      <c r="J54" s="174"/>
      <c r="K54" s="175"/>
    </row>
    <row r="55" spans="2:15">
      <c r="C55" s="173"/>
      <c r="H55" s="174"/>
      <c r="I55" s="174"/>
      <c r="J55" s="174"/>
      <c r="K55" s="175"/>
    </row>
    <row r="56" spans="2:15">
      <c r="C56" s="173"/>
      <c r="H56" s="174"/>
      <c r="I56" s="174"/>
      <c r="J56" s="174"/>
      <c r="K56" s="175"/>
    </row>
    <row r="57" spans="2:15">
      <c r="C57" s="173"/>
      <c r="H57" s="174"/>
      <c r="I57" s="174"/>
      <c r="J57" s="174"/>
      <c r="K57" s="175"/>
    </row>
    <row r="58" spans="2:15">
      <c r="C58" s="173"/>
      <c r="H58" s="174"/>
      <c r="I58" s="174"/>
      <c r="J58" s="174"/>
      <c r="K58" s="175"/>
    </row>
    <row r="59" spans="2:15" s="103" customFormat="1">
      <c r="B59" s="172"/>
      <c r="C59" s="173"/>
      <c r="D59" s="171"/>
      <c r="E59" s="171"/>
      <c r="F59" s="172"/>
      <c r="G59" s="172"/>
      <c r="H59" s="174"/>
      <c r="I59" s="174"/>
      <c r="J59" s="174"/>
      <c r="K59" s="175"/>
      <c r="L59" s="171"/>
      <c r="M59" s="171"/>
      <c r="N59" s="171"/>
      <c r="O59" s="171"/>
    </row>
    <row r="60" spans="2:15">
      <c r="C60" s="173"/>
      <c r="H60" s="174"/>
      <c r="I60" s="174"/>
      <c r="J60" s="174"/>
      <c r="K60" s="175"/>
    </row>
    <row r="61" spans="2:15">
      <c r="C61" s="173"/>
      <c r="H61" s="174"/>
      <c r="I61" s="174"/>
      <c r="J61" s="174"/>
      <c r="K61" s="175"/>
    </row>
    <row r="62" spans="2:15">
      <c r="C62" s="173"/>
      <c r="H62" s="174"/>
      <c r="I62" s="174"/>
      <c r="J62" s="174"/>
      <c r="K62" s="175"/>
    </row>
    <row r="63" spans="2:15">
      <c r="C63" s="173"/>
      <c r="H63" s="174"/>
      <c r="I63" s="174"/>
      <c r="J63" s="174"/>
      <c r="K63" s="175"/>
    </row>
    <row r="64" spans="2:15">
      <c r="C64" s="173"/>
      <c r="K64" s="176"/>
    </row>
    <row r="65" spans="3:15">
      <c r="C65" s="173"/>
    </row>
    <row r="66" spans="3:15">
      <c r="C66" s="173"/>
      <c r="O66" s="176"/>
    </row>
    <row r="67" spans="3:15">
      <c r="C67" s="173"/>
      <c r="H67" s="174"/>
      <c r="I67" s="174"/>
      <c r="J67" s="174"/>
      <c r="K67" s="177"/>
    </row>
    <row r="68" spans="3:15">
      <c r="C68" s="173"/>
      <c r="H68" s="174"/>
      <c r="I68" s="174"/>
      <c r="J68" s="174"/>
      <c r="K68" s="177"/>
    </row>
    <row r="69" spans="3:15">
      <c r="C69" s="173"/>
      <c r="H69" s="174"/>
      <c r="I69" s="174"/>
      <c r="J69" s="174"/>
      <c r="K69" s="175"/>
    </row>
    <row r="70" spans="3:15">
      <c r="C70" s="173"/>
      <c r="H70" s="174"/>
      <c r="I70" s="174"/>
      <c r="J70" s="174"/>
      <c r="K70" s="175"/>
    </row>
    <row r="71" spans="3:15">
      <c r="C71" s="173"/>
      <c r="H71" s="174"/>
      <c r="I71" s="174"/>
      <c r="J71" s="174"/>
      <c r="K71" s="175"/>
    </row>
    <row r="72" spans="3:15">
      <c r="C72" s="173"/>
      <c r="H72" s="174"/>
      <c r="I72" s="174"/>
      <c r="J72" s="174"/>
      <c r="K72" s="175"/>
    </row>
    <row r="73" spans="3:15">
      <c r="C73" s="173"/>
      <c r="H73" s="174"/>
      <c r="I73" s="174"/>
      <c r="J73" s="174"/>
      <c r="K73" s="175"/>
    </row>
    <row r="74" spans="3:15">
      <c r="C74" s="173"/>
      <c r="H74" s="174"/>
      <c r="I74" s="174"/>
      <c r="J74" s="174"/>
      <c r="K74" s="175"/>
    </row>
    <row r="75" spans="3:15">
      <c r="C75" s="173"/>
      <c r="H75" s="174"/>
      <c r="I75" s="174"/>
      <c r="J75" s="174"/>
      <c r="K75" s="175"/>
    </row>
    <row r="76" spans="3:15">
      <c r="C76" s="173"/>
      <c r="H76" s="174"/>
      <c r="I76" s="174"/>
      <c r="J76" s="174"/>
      <c r="K76" s="175"/>
    </row>
    <row r="77" spans="3:15">
      <c r="C77" s="173"/>
      <c r="H77" s="174"/>
      <c r="I77" s="174"/>
      <c r="J77" s="174"/>
      <c r="K77" s="175"/>
    </row>
    <row r="78" spans="3:15">
      <c r="C78" s="173"/>
      <c r="H78" s="174"/>
      <c r="I78" s="174"/>
      <c r="J78" s="174"/>
      <c r="K78" s="175"/>
    </row>
    <row r="79" spans="3:15">
      <c r="C79" s="173"/>
      <c r="H79" s="174"/>
      <c r="I79" s="174"/>
      <c r="J79" s="174"/>
      <c r="K79" s="175"/>
    </row>
    <row r="80" spans="3:15">
      <c r="C80" s="173"/>
      <c r="H80" s="174"/>
      <c r="I80" s="174"/>
      <c r="J80" s="174"/>
      <c r="K80" s="175"/>
    </row>
    <row r="81" spans="2:15">
      <c r="C81" s="173"/>
      <c r="H81" s="174"/>
      <c r="I81" s="174"/>
      <c r="J81" s="174"/>
      <c r="K81" s="175"/>
    </row>
    <row r="82" spans="2:15">
      <c r="C82" s="173"/>
      <c r="H82" s="174"/>
      <c r="I82" s="174"/>
      <c r="J82" s="174"/>
      <c r="K82" s="175"/>
    </row>
    <row r="83" spans="2:15">
      <c r="C83" s="173"/>
      <c r="H83" s="174"/>
      <c r="I83" s="174"/>
      <c r="J83" s="174"/>
      <c r="K83" s="175"/>
    </row>
    <row r="84" spans="2:15" s="103" customFormat="1">
      <c r="B84" s="172"/>
      <c r="C84" s="173"/>
      <c r="D84" s="171"/>
      <c r="E84" s="171"/>
      <c r="F84" s="172"/>
      <c r="G84" s="172"/>
      <c r="H84" s="174"/>
      <c r="I84" s="174"/>
      <c r="J84" s="174"/>
      <c r="K84" s="175"/>
      <c r="L84" s="171"/>
      <c r="M84" s="171"/>
      <c r="N84" s="171"/>
      <c r="O84" s="171"/>
    </row>
    <row r="85" spans="2:15">
      <c r="C85" s="173"/>
      <c r="H85" s="174"/>
      <c r="I85" s="174"/>
      <c r="J85" s="174"/>
      <c r="K85" s="175"/>
    </row>
    <row r="86" spans="2:15">
      <c r="C86" s="173"/>
      <c r="H86" s="174"/>
      <c r="I86" s="174"/>
      <c r="J86" s="174"/>
      <c r="K86" s="175"/>
    </row>
    <row r="87" spans="2:15">
      <c r="C87" s="173"/>
      <c r="H87" s="174"/>
      <c r="I87" s="174"/>
      <c r="J87" s="174"/>
      <c r="K87" s="175"/>
    </row>
    <row r="88" spans="2:15">
      <c r="C88" s="173"/>
      <c r="H88" s="174"/>
      <c r="I88" s="174"/>
      <c r="J88" s="174"/>
      <c r="K88" s="175"/>
    </row>
    <row r="89" spans="2:15">
      <c r="C89" s="173"/>
      <c r="H89" s="174"/>
      <c r="I89" s="174"/>
      <c r="J89" s="174"/>
      <c r="K89" s="175"/>
    </row>
    <row r="90" spans="2:15">
      <c r="C90" s="173"/>
      <c r="H90" s="174"/>
      <c r="I90" s="174"/>
      <c r="J90" s="174"/>
      <c r="K90" s="175"/>
    </row>
    <row r="91" spans="2:15">
      <c r="C91" s="173"/>
      <c r="H91" s="174"/>
      <c r="I91" s="174"/>
      <c r="J91" s="174"/>
      <c r="K91" s="175"/>
    </row>
    <row r="92" spans="2:15">
      <c r="C92" s="173"/>
      <c r="H92" s="174"/>
      <c r="I92" s="174"/>
      <c r="J92" s="174"/>
      <c r="K92" s="175"/>
    </row>
    <row r="93" spans="2:15">
      <c r="C93" s="173"/>
      <c r="H93" s="174"/>
      <c r="I93" s="174"/>
      <c r="J93" s="174"/>
      <c r="K93" s="175"/>
    </row>
    <row r="94" spans="2:15">
      <c r="C94" s="173"/>
      <c r="H94" s="174"/>
      <c r="I94" s="174"/>
      <c r="J94" s="174"/>
      <c r="K94" s="175"/>
    </row>
    <row r="95" spans="2:15">
      <c r="C95" s="173"/>
      <c r="H95" s="174"/>
      <c r="I95" s="174"/>
      <c r="J95" s="174"/>
      <c r="K95" s="175"/>
    </row>
    <row r="96" spans="2:15">
      <c r="C96" s="173"/>
      <c r="H96" s="174"/>
      <c r="I96" s="174"/>
      <c r="J96" s="174"/>
      <c r="K96" s="175"/>
    </row>
    <row r="97" spans="3:11">
      <c r="C97" s="173"/>
      <c r="K97" s="176"/>
    </row>
    <row r="98" spans="3:11">
      <c r="C98" s="173"/>
      <c r="H98" s="174"/>
      <c r="I98" s="174"/>
      <c r="J98" s="174"/>
      <c r="K98" s="175"/>
    </row>
    <row r="99" spans="3:11">
      <c r="C99" s="173"/>
      <c r="H99" s="174"/>
      <c r="I99" s="174"/>
      <c r="J99" s="174"/>
      <c r="K99" s="175"/>
    </row>
    <row r="100" spans="3:11">
      <c r="C100" s="173"/>
      <c r="H100" s="174"/>
      <c r="I100" s="174"/>
      <c r="J100" s="174"/>
      <c r="K100" s="175"/>
    </row>
    <row r="101" spans="3:11">
      <c r="C101" s="173"/>
      <c r="H101" s="174"/>
      <c r="I101" s="174"/>
      <c r="J101" s="174"/>
      <c r="K101" s="175"/>
    </row>
    <row r="102" spans="3:11">
      <c r="C102" s="173"/>
      <c r="H102" s="174"/>
      <c r="I102" s="174"/>
      <c r="J102" s="174"/>
      <c r="K102" s="175"/>
    </row>
    <row r="103" spans="3:11">
      <c r="C103" s="173"/>
      <c r="H103" s="174"/>
      <c r="I103" s="174"/>
      <c r="J103" s="174"/>
      <c r="K103" s="175"/>
    </row>
    <row r="104" spans="3:11">
      <c r="C104" s="173"/>
      <c r="H104" s="174"/>
      <c r="I104" s="174"/>
      <c r="J104" s="174"/>
      <c r="K104" s="175"/>
    </row>
    <row r="105" spans="3:11">
      <c r="C105" s="173"/>
      <c r="H105" s="174"/>
      <c r="I105" s="174"/>
      <c r="J105" s="174"/>
      <c r="K105" s="175"/>
    </row>
    <row r="106" spans="3:11">
      <c r="C106" s="173"/>
      <c r="H106" s="174"/>
      <c r="I106" s="174"/>
      <c r="J106" s="174"/>
      <c r="K106" s="175"/>
    </row>
    <row r="107" spans="3:11">
      <c r="C107" s="173"/>
      <c r="H107" s="174"/>
      <c r="I107" s="174"/>
      <c r="J107" s="174"/>
      <c r="K107" s="175"/>
    </row>
    <row r="108" spans="3:11">
      <c r="C108" s="173"/>
      <c r="H108" s="174"/>
      <c r="I108" s="174"/>
      <c r="J108" s="174"/>
      <c r="K108" s="175"/>
    </row>
    <row r="109" spans="3:11">
      <c r="C109" s="173"/>
      <c r="H109" s="174"/>
      <c r="I109" s="174"/>
      <c r="J109" s="174"/>
      <c r="K109" s="175"/>
    </row>
    <row r="110" spans="3:11">
      <c r="C110" s="173"/>
      <c r="H110" s="174"/>
      <c r="I110" s="174"/>
      <c r="J110" s="174"/>
      <c r="K110" s="175"/>
    </row>
    <row r="111" spans="3:11">
      <c r="C111" s="173"/>
      <c r="H111" s="174"/>
      <c r="I111" s="174"/>
      <c r="J111" s="174"/>
      <c r="K111" s="175"/>
    </row>
    <row r="112" spans="3:11">
      <c r="C112" s="173"/>
      <c r="H112" s="174"/>
      <c r="I112" s="174"/>
      <c r="J112" s="174"/>
      <c r="K112" s="175"/>
    </row>
    <row r="113" spans="3:11">
      <c r="C113" s="173"/>
      <c r="H113" s="174"/>
      <c r="I113" s="174"/>
      <c r="J113" s="174"/>
      <c r="K113" s="175"/>
    </row>
    <row r="114" spans="3:11">
      <c r="C114" s="173"/>
      <c r="H114" s="174"/>
      <c r="I114" s="174"/>
      <c r="J114" s="174"/>
      <c r="K114" s="175"/>
    </row>
    <row r="115" spans="3:11">
      <c r="C115" s="173"/>
      <c r="H115" s="174"/>
      <c r="I115" s="174"/>
      <c r="J115" s="174"/>
      <c r="K115" s="175"/>
    </row>
    <row r="116" spans="3:11">
      <c r="C116" s="173"/>
      <c r="H116" s="174"/>
      <c r="I116" s="174"/>
      <c r="J116" s="174"/>
      <c r="K116" s="175"/>
    </row>
    <row r="117" spans="3:11">
      <c r="C117" s="173"/>
      <c r="H117" s="174"/>
      <c r="I117" s="174"/>
      <c r="J117" s="174"/>
      <c r="K117" s="175"/>
    </row>
    <row r="118" spans="3:11">
      <c r="C118" s="173"/>
      <c r="H118" s="174"/>
      <c r="I118" s="174"/>
      <c r="J118" s="174"/>
      <c r="K118" s="175"/>
    </row>
    <row r="119" spans="3:11">
      <c r="C119" s="173"/>
      <c r="H119" s="174"/>
      <c r="I119" s="174"/>
      <c r="J119" s="174"/>
      <c r="K119" s="175"/>
    </row>
    <row r="120" spans="3:11">
      <c r="C120" s="173"/>
      <c r="H120" s="174"/>
      <c r="I120" s="174"/>
      <c r="J120" s="174"/>
      <c r="K120" s="175"/>
    </row>
    <row r="121" spans="3:11">
      <c r="C121" s="173"/>
      <c r="H121" s="174"/>
      <c r="I121" s="174"/>
      <c r="J121" s="174"/>
      <c r="K121" s="175"/>
    </row>
    <row r="122" spans="3:11">
      <c r="C122" s="173"/>
      <c r="H122" s="174"/>
      <c r="I122" s="174"/>
      <c r="J122" s="174"/>
      <c r="K122" s="175"/>
    </row>
    <row r="123" spans="3:11">
      <c r="C123" s="173"/>
      <c r="H123" s="174"/>
      <c r="I123" s="174"/>
      <c r="J123" s="174"/>
      <c r="K123" s="175"/>
    </row>
    <row r="124" spans="3:11">
      <c r="C124" s="173"/>
      <c r="H124" s="174"/>
      <c r="I124" s="174"/>
      <c r="J124" s="174"/>
      <c r="K124" s="175"/>
    </row>
    <row r="125" spans="3:11">
      <c r="C125" s="173"/>
      <c r="H125" s="174"/>
      <c r="I125" s="174"/>
      <c r="J125" s="174"/>
      <c r="K125" s="175"/>
    </row>
    <row r="126" spans="3:11">
      <c r="C126" s="173"/>
      <c r="H126" s="174"/>
      <c r="I126" s="174"/>
      <c r="J126" s="174"/>
      <c r="K126" s="175"/>
    </row>
    <row r="127" spans="3:11">
      <c r="C127" s="173"/>
      <c r="H127" s="174"/>
      <c r="I127" s="174"/>
      <c r="J127" s="174"/>
      <c r="K127" s="175"/>
    </row>
    <row r="128" spans="3:11">
      <c r="C128" s="173"/>
      <c r="H128" s="174"/>
      <c r="I128" s="174"/>
      <c r="J128" s="174"/>
      <c r="K128" s="175"/>
    </row>
    <row r="129" spans="2:15">
      <c r="C129" s="173"/>
      <c r="H129" s="174"/>
      <c r="I129" s="174"/>
      <c r="J129" s="174"/>
      <c r="K129" s="175"/>
    </row>
    <row r="130" spans="2:15">
      <c r="C130" s="173"/>
      <c r="H130" s="174"/>
      <c r="I130" s="174"/>
      <c r="J130" s="174"/>
      <c r="K130" s="175"/>
    </row>
    <row r="131" spans="2:15">
      <c r="C131" s="173"/>
      <c r="H131" s="174"/>
      <c r="I131" s="174"/>
      <c r="J131" s="174"/>
      <c r="K131" s="175"/>
    </row>
    <row r="132" spans="2:15">
      <c r="C132" s="173"/>
      <c r="H132" s="174"/>
      <c r="I132" s="174"/>
      <c r="J132" s="174"/>
      <c r="K132" s="175"/>
    </row>
    <row r="133" spans="2:15">
      <c r="C133" s="173"/>
      <c r="H133" s="174"/>
      <c r="I133" s="174"/>
      <c r="J133" s="174"/>
      <c r="K133" s="175"/>
    </row>
    <row r="134" spans="2:15">
      <c r="C134" s="173"/>
      <c r="H134" s="174"/>
      <c r="I134" s="174"/>
      <c r="J134" s="174"/>
      <c r="K134" s="175"/>
    </row>
    <row r="135" spans="2:15">
      <c r="C135" s="173"/>
      <c r="H135" s="174"/>
      <c r="I135" s="174"/>
      <c r="J135" s="174"/>
      <c r="K135" s="175"/>
    </row>
    <row r="136" spans="2:15">
      <c r="C136" s="173"/>
      <c r="H136" s="174"/>
      <c r="I136" s="174"/>
      <c r="J136" s="174"/>
      <c r="K136" s="175"/>
    </row>
    <row r="137" spans="2:15">
      <c r="C137" s="173"/>
      <c r="H137" s="174"/>
      <c r="I137" s="174"/>
      <c r="J137" s="174"/>
      <c r="K137" s="175"/>
    </row>
    <row r="138" spans="2:15">
      <c r="C138" s="173"/>
      <c r="H138" s="174"/>
      <c r="I138" s="174"/>
      <c r="J138" s="174"/>
      <c r="K138" s="175"/>
    </row>
    <row r="139" spans="2:15">
      <c r="C139" s="173"/>
      <c r="H139" s="174"/>
      <c r="I139" s="174"/>
      <c r="J139" s="174"/>
      <c r="K139" s="175"/>
    </row>
    <row r="140" spans="2:15" s="103" customFormat="1">
      <c r="B140" s="172"/>
      <c r="C140" s="173"/>
      <c r="D140" s="171"/>
      <c r="E140" s="171"/>
      <c r="F140" s="172"/>
      <c r="G140" s="172"/>
      <c r="H140" s="174"/>
      <c r="I140" s="174"/>
      <c r="J140" s="174"/>
      <c r="K140" s="175"/>
      <c r="L140" s="171"/>
      <c r="M140" s="171"/>
      <c r="N140" s="171"/>
      <c r="O140" s="171"/>
    </row>
    <row r="141" spans="2:15">
      <c r="C141" s="173"/>
      <c r="H141" s="174"/>
      <c r="I141" s="174"/>
      <c r="J141" s="174"/>
      <c r="K141" s="174"/>
      <c r="L141" s="174"/>
      <c r="M141" s="174"/>
      <c r="N141" s="174"/>
      <c r="O141" s="175"/>
    </row>
    <row r="142" spans="2:15">
      <c r="C142" s="173"/>
      <c r="H142" s="174"/>
      <c r="I142" s="174"/>
      <c r="J142" s="174"/>
      <c r="K142" s="174"/>
      <c r="L142" s="174"/>
      <c r="M142" s="174"/>
      <c r="N142" s="174"/>
      <c r="O142" s="175"/>
    </row>
    <row r="143" spans="2:15">
      <c r="C143" s="173"/>
      <c r="K143" s="176"/>
    </row>
    <row r="144" spans="2:15">
      <c r="C144" s="173"/>
      <c r="K144" s="176"/>
    </row>
    <row r="145" spans="2:15">
      <c r="C145" s="173"/>
      <c r="K145" s="176"/>
    </row>
    <row r="146" spans="2:15">
      <c r="C146" s="173"/>
      <c r="H146" s="174"/>
      <c r="I146" s="174"/>
      <c r="J146" s="174"/>
      <c r="K146" s="174"/>
      <c r="L146" s="174"/>
      <c r="M146" s="174"/>
      <c r="N146" s="174"/>
      <c r="O146" s="175"/>
    </row>
    <row r="147" spans="2:15">
      <c r="C147" s="173"/>
      <c r="H147" s="174"/>
      <c r="I147" s="174"/>
      <c r="J147" s="174"/>
      <c r="K147" s="174"/>
      <c r="L147" s="174"/>
      <c r="M147" s="174"/>
      <c r="N147" s="174"/>
      <c r="O147" s="175"/>
    </row>
    <row r="148" spans="2:15">
      <c r="C148" s="173"/>
      <c r="H148" s="174"/>
      <c r="I148" s="174"/>
      <c r="J148" s="174"/>
      <c r="K148" s="174"/>
      <c r="L148" s="174"/>
      <c r="M148" s="174"/>
      <c r="N148" s="174"/>
      <c r="O148" s="175"/>
    </row>
    <row r="149" spans="2:15">
      <c r="C149" s="173"/>
      <c r="H149" s="174"/>
      <c r="I149" s="174"/>
      <c r="J149" s="174"/>
      <c r="K149" s="174"/>
      <c r="L149" s="174"/>
      <c r="M149" s="174"/>
      <c r="N149" s="174"/>
      <c r="O149" s="175"/>
    </row>
    <row r="150" spans="2:15">
      <c r="C150" s="173"/>
      <c r="H150" s="174"/>
      <c r="I150" s="174"/>
      <c r="J150" s="174"/>
      <c r="K150" s="174"/>
      <c r="L150" s="174"/>
      <c r="M150" s="174"/>
      <c r="N150" s="174"/>
      <c r="O150" s="175"/>
    </row>
    <row r="151" spans="2:15">
      <c r="C151" s="173"/>
      <c r="H151" s="174"/>
      <c r="I151" s="174"/>
      <c r="J151" s="174"/>
      <c r="K151" s="174"/>
      <c r="L151" s="174"/>
      <c r="M151" s="174"/>
      <c r="N151" s="174"/>
      <c r="O151" s="175"/>
    </row>
    <row r="152" spans="2:15">
      <c r="C152" s="173"/>
      <c r="H152" s="174"/>
      <c r="I152" s="174"/>
      <c r="J152" s="174"/>
      <c r="K152" s="174"/>
      <c r="L152" s="174"/>
      <c r="M152" s="174"/>
      <c r="N152" s="174"/>
      <c r="O152" s="175"/>
    </row>
    <row r="153" spans="2:15">
      <c r="C153" s="173"/>
      <c r="K153" s="176"/>
    </row>
    <row r="154" spans="2:15">
      <c r="C154" s="173"/>
      <c r="K154" s="176"/>
    </row>
    <row r="155" spans="2:15">
      <c r="C155" s="173"/>
      <c r="K155" s="176"/>
    </row>
    <row r="156" spans="2:15" s="103" customFormat="1">
      <c r="B156" s="172"/>
      <c r="C156" s="173"/>
      <c r="D156" s="171"/>
      <c r="E156" s="171"/>
      <c r="F156" s="172"/>
      <c r="G156" s="172"/>
      <c r="H156" s="174"/>
      <c r="I156" s="174"/>
      <c r="J156" s="174"/>
      <c r="K156" s="174"/>
      <c r="L156" s="174"/>
      <c r="M156" s="174"/>
      <c r="N156" s="174"/>
      <c r="O156" s="175"/>
    </row>
    <row r="157" spans="2:15" s="103" customFormat="1">
      <c r="B157" s="172"/>
      <c r="C157" s="173"/>
      <c r="D157" s="171"/>
      <c r="E157" s="171"/>
      <c r="F157" s="172"/>
      <c r="G157" s="172"/>
      <c r="H157" s="174"/>
      <c r="I157" s="174"/>
      <c r="J157" s="174"/>
      <c r="K157" s="174"/>
      <c r="L157" s="174"/>
      <c r="M157" s="174"/>
      <c r="N157" s="174"/>
      <c r="O157" s="175"/>
    </row>
    <row r="158" spans="2:15">
      <c r="C158" s="173"/>
      <c r="H158" s="174"/>
      <c r="I158" s="174"/>
      <c r="J158" s="174"/>
      <c r="K158" s="175"/>
    </row>
    <row r="159" spans="2:15">
      <c r="C159" s="173"/>
      <c r="H159" s="174"/>
      <c r="I159" s="174"/>
      <c r="J159" s="174"/>
      <c r="K159" s="175"/>
    </row>
    <row r="160" spans="2:15">
      <c r="C160" s="173"/>
      <c r="H160" s="174"/>
      <c r="I160" s="174"/>
      <c r="J160" s="174"/>
      <c r="K160" s="175"/>
    </row>
    <row r="161" spans="3:11">
      <c r="C161" s="173"/>
      <c r="H161" s="174"/>
      <c r="I161" s="174"/>
      <c r="J161" s="174"/>
      <c r="K161" s="175"/>
    </row>
    <row r="162" spans="3:11">
      <c r="C162" s="173"/>
      <c r="H162" s="174"/>
      <c r="I162" s="174"/>
      <c r="J162" s="174"/>
      <c r="K162" s="175"/>
    </row>
    <row r="163" spans="3:11">
      <c r="C163" s="173"/>
      <c r="H163" s="174"/>
      <c r="I163" s="174"/>
      <c r="J163" s="174"/>
      <c r="K163" s="175"/>
    </row>
    <row r="164" spans="3:11">
      <c r="C164" s="173"/>
      <c r="H164" s="174"/>
      <c r="I164" s="174"/>
      <c r="J164" s="174"/>
      <c r="K164" s="175"/>
    </row>
    <row r="165" spans="3:11">
      <c r="C165" s="173"/>
      <c r="H165" s="174"/>
      <c r="I165" s="174"/>
      <c r="J165" s="174"/>
      <c r="K165" s="175"/>
    </row>
    <row r="166" spans="3:11">
      <c r="C166" s="173"/>
      <c r="H166" s="174"/>
      <c r="I166" s="174"/>
      <c r="J166" s="174"/>
      <c r="K166" s="175"/>
    </row>
    <row r="167" spans="3:11">
      <c r="C167" s="173"/>
      <c r="H167" s="174"/>
      <c r="I167" s="174"/>
      <c r="J167" s="174"/>
      <c r="K167" s="175"/>
    </row>
    <row r="168" spans="3:11">
      <c r="C168" s="173"/>
      <c r="H168" s="174"/>
      <c r="I168" s="174"/>
      <c r="J168" s="174"/>
      <c r="K168" s="175"/>
    </row>
    <row r="169" spans="3:11">
      <c r="C169" s="173"/>
      <c r="H169" s="174"/>
      <c r="I169" s="174"/>
      <c r="J169" s="174"/>
      <c r="K169" s="175"/>
    </row>
    <row r="170" spans="3:11">
      <c r="C170" s="173"/>
      <c r="H170" s="174"/>
      <c r="I170" s="174"/>
      <c r="J170" s="174"/>
      <c r="K170" s="175"/>
    </row>
    <row r="171" spans="3:11">
      <c r="C171" s="173"/>
      <c r="H171" s="174"/>
      <c r="I171" s="174"/>
      <c r="J171" s="174"/>
      <c r="K171" s="175"/>
    </row>
    <row r="172" spans="3:11">
      <c r="C172" s="173"/>
      <c r="H172" s="174"/>
      <c r="I172" s="174"/>
      <c r="J172" s="174"/>
      <c r="K172" s="175"/>
    </row>
    <row r="173" spans="3:11">
      <c r="C173" s="173"/>
      <c r="H173" s="174"/>
      <c r="I173" s="174"/>
      <c r="J173" s="174"/>
      <c r="K173" s="175"/>
    </row>
    <row r="174" spans="3:11">
      <c r="C174" s="173"/>
      <c r="H174" s="174"/>
      <c r="I174" s="174"/>
      <c r="J174" s="174"/>
      <c r="K174" s="175"/>
    </row>
    <row r="175" spans="3:11">
      <c r="C175" s="173"/>
      <c r="H175" s="174"/>
      <c r="I175" s="174"/>
      <c r="J175" s="174"/>
      <c r="K175" s="175"/>
    </row>
    <row r="176" spans="3:11">
      <c r="C176" s="173"/>
      <c r="H176" s="174"/>
      <c r="I176" s="174"/>
      <c r="J176" s="174"/>
      <c r="K176" s="175"/>
    </row>
    <row r="177" spans="3:11">
      <c r="C177" s="173"/>
      <c r="H177" s="174"/>
      <c r="I177" s="174"/>
      <c r="J177" s="174"/>
      <c r="K177" s="175"/>
    </row>
    <row r="178" spans="3:11">
      <c r="C178" s="173"/>
      <c r="H178" s="174"/>
      <c r="I178" s="174"/>
      <c r="J178" s="174"/>
      <c r="K178" s="175"/>
    </row>
    <row r="179" spans="3:11">
      <c r="C179" s="173"/>
      <c r="H179" s="174"/>
      <c r="I179" s="174"/>
      <c r="J179" s="174"/>
      <c r="K179" s="175"/>
    </row>
    <row r="180" spans="3:11">
      <c r="C180" s="173"/>
      <c r="H180" s="174"/>
      <c r="I180" s="174"/>
      <c r="J180" s="174"/>
      <c r="K180" s="175"/>
    </row>
    <row r="181" spans="3:11">
      <c r="C181" s="173"/>
      <c r="H181" s="174"/>
      <c r="I181" s="174"/>
      <c r="J181" s="174"/>
      <c r="K181" s="175"/>
    </row>
    <row r="182" spans="3:11">
      <c r="C182" s="173"/>
      <c r="H182" s="174"/>
      <c r="I182" s="174"/>
      <c r="J182" s="174"/>
      <c r="K182" s="175"/>
    </row>
    <row r="183" spans="3:11">
      <c r="C183" s="173"/>
      <c r="H183" s="174"/>
      <c r="I183" s="174"/>
      <c r="J183" s="174"/>
      <c r="K183" s="175"/>
    </row>
    <row r="184" spans="3:11">
      <c r="C184" s="173"/>
      <c r="H184" s="174"/>
      <c r="I184" s="174"/>
      <c r="J184" s="174"/>
      <c r="K184" s="175"/>
    </row>
    <row r="185" spans="3:11">
      <c r="C185" s="173"/>
      <c r="H185" s="174"/>
      <c r="I185" s="174"/>
      <c r="J185" s="174"/>
      <c r="K185" s="175"/>
    </row>
    <row r="186" spans="3:11">
      <c r="C186" s="173"/>
      <c r="H186" s="174"/>
      <c r="I186" s="174"/>
      <c r="J186" s="174"/>
      <c r="K186" s="175"/>
    </row>
    <row r="187" spans="3:11">
      <c r="C187" s="173"/>
      <c r="H187" s="174"/>
      <c r="I187" s="174"/>
      <c r="J187" s="174"/>
      <c r="K187" s="175"/>
    </row>
    <row r="188" spans="3:11">
      <c r="C188" s="173"/>
      <c r="H188" s="174"/>
      <c r="I188" s="174"/>
      <c r="J188" s="174"/>
      <c r="K188" s="175"/>
    </row>
    <row r="189" spans="3:11">
      <c r="C189" s="173"/>
      <c r="H189" s="174"/>
      <c r="I189" s="174"/>
      <c r="J189" s="174"/>
      <c r="K189" s="175"/>
    </row>
    <row r="190" spans="3:11">
      <c r="C190" s="173"/>
      <c r="H190" s="174"/>
      <c r="I190" s="174"/>
      <c r="J190" s="174"/>
      <c r="K190" s="175"/>
    </row>
    <row r="191" spans="3:11">
      <c r="C191" s="173"/>
      <c r="H191" s="174"/>
      <c r="I191" s="174"/>
      <c r="J191" s="174"/>
      <c r="K191" s="175"/>
    </row>
    <row r="192" spans="3:11">
      <c r="C192" s="173"/>
      <c r="H192" s="174"/>
      <c r="I192" s="174"/>
      <c r="J192" s="174"/>
      <c r="K192" s="175"/>
    </row>
    <row r="193" spans="3:11">
      <c r="C193" s="173"/>
      <c r="H193" s="174"/>
      <c r="I193" s="174"/>
      <c r="J193" s="174"/>
      <c r="K193" s="175"/>
    </row>
    <row r="194" spans="3:11">
      <c r="C194" s="173"/>
      <c r="H194" s="174"/>
      <c r="I194" s="174"/>
      <c r="J194" s="174"/>
      <c r="K194" s="175"/>
    </row>
    <row r="195" spans="3:11">
      <c r="C195" s="173"/>
      <c r="H195" s="174"/>
      <c r="I195" s="174"/>
      <c r="J195" s="174"/>
      <c r="K195" s="175"/>
    </row>
    <row r="196" spans="3:11">
      <c r="C196" s="173"/>
      <c r="H196" s="174"/>
      <c r="I196" s="174"/>
      <c r="J196" s="174"/>
      <c r="K196" s="175"/>
    </row>
    <row r="197" spans="3:11">
      <c r="C197" s="173"/>
      <c r="H197" s="174"/>
      <c r="I197" s="174"/>
      <c r="J197" s="174"/>
      <c r="K197" s="175"/>
    </row>
    <row r="198" spans="3:11">
      <c r="C198" s="173"/>
      <c r="H198" s="174"/>
      <c r="I198" s="174"/>
      <c r="J198" s="174"/>
      <c r="K198" s="175"/>
    </row>
    <row r="199" spans="3:11">
      <c r="C199" s="173"/>
      <c r="H199" s="174"/>
      <c r="I199" s="174"/>
      <c r="J199" s="174"/>
      <c r="K199" s="175"/>
    </row>
    <row r="200" spans="3:11">
      <c r="C200" s="173"/>
      <c r="H200" s="174"/>
      <c r="I200" s="174"/>
      <c r="J200" s="174"/>
      <c r="K200" s="175"/>
    </row>
    <row r="201" spans="3:11">
      <c r="C201" s="173"/>
      <c r="H201" s="174"/>
      <c r="I201" s="174"/>
      <c r="J201" s="174"/>
      <c r="K201" s="175"/>
    </row>
    <row r="202" spans="3:11">
      <c r="C202" s="173"/>
      <c r="H202" s="174"/>
      <c r="I202" s="174"/>
      <c r="J202" s="174"/>
      <c r="K202" s="175"/>
    </row>
    <row r="203" spans="3:11">
      <c r="C203" s="173"/>
      <c r="H203" s="174"/>
      <c r="I203" s="174"/>
      <c r="J203" s="174"/>
      <c r="K203" s="175"/>
    </row>
    <row r="204" spans="3:11">
      <c r="C204" s="173"/>
      <c r="H204" s="174"/>
      <c r="I204" s="174"/>
      <c r="J204" s="174"/>
      <c r="K204" s="175"/>
    </row>
    <row r="205" spans="3:11">
      <c r="C205" s="173"/>
      <c r="H205" s="174"/>
      <c r="I205" s="174"/>
      <c r="J205" s="174"/>
      <c r="K205" s="175"/>
    </row>
    <row r="206" spans="3:11">
      <c r="C206" s="173"/>
      <c r="H206" s="174"/>
      <c r="I206" s="174"/>
      <c r="J206" s="174"/>
      <c r="K206" s="175"/>
    </row>
    <row r="207" spans="3:11">
      <c r="C207" s="173"/>
      <c r="H207" s="174"/>
      <c r="I207" s="174"/>
      <c r="J207" s="174"/>
      <c r="K207" s="175"/>
    </row>
    <row r="208" spans="3:11">
      <c r="C208" s="173"/>
      <c r="K208" s="176"/>
    </row>
    <row r="209" spans="3:11">
      <c r="C209" s="173"/>
      <c r="H209" s="174"/>
      <c r="I209" s="174"/>
      <c r="J209" s="174"/>
      <c r="K209" s="175"/>
    </row>
    <row r="210" spans="3:11">
      <c r="C210" s="173"/>
      <c r="H210" s="174"/>
      <c r="I210" s="174"/>
      <c r="J210" s="174"/>
      <c r="K210" s="175"/>
    </row>
    <row r="211" spans="3:11">
      <c r="C211" s="173"/>
      <c r="H211" s="174"/>
      <c r="I211" s="174"/>
      <c r="J211" s="174"/>
      <c r="K211" s="175"/>
    </row>
    <row r="212" spans="3:11">
      <c r="C212" s="173"/>
      <c r="H212" s="174"/>
      <c r="I212" s="174"/>
      <c r="J212" s="174"/>
      <c r="K212" s="175"/>
    </row>
    <row r="213" spans="3:11">
      <c r="C213" s="173"/>
      <c r="H213" s="174"/>
      <c r="I213" s="174"/>
      <c r="J213" s="174"/>
      <c r="K213" s="175"/>
    </row>
    <row r="214" spans="3:11">
      <c r="C214" s="173"/>
      <c r="H214" s="174"/>
      <c r="I214" s="174"/>
      <c r="J214" s="174"/>
      <c r="K214" s="175"/>
    </row>
    <row r="215" spans="3:11">
      <c r="C215" s="173"/>
      <c r="H215" s="174"/>
      <c r="I215" s="174"/>
      <c r="J215" s="174"/>
      <c r="K215" s="175"/>
    </row>
    <row r="216" spans="3:11">
      <c r="C216" s="173"/>
      <c r="H216" s="174"/>
      <c r="I216" s="174"/>
      <c r="J216" s="174"/>
      <c r="K216" s="175"/>
    </row>
    <row r="217" spans="3:11">
      <c r="C217" s="173"/>
      <c r="H217" s="174"/>
      <c r="I217" s="174"/>
      <c r="J217" s="174"/>
      <c r="K217" s="175"/>
    </row>
    <row r="218" spans="3:11">
      <c r="C218" s="173"/>
      <c r="H218" s="174"/>
      <c r="I218" s="174"/>
      <c r="J218" s="174"/>
      <c r="K218" s="175"/>
    </row>
    <row r="219" spans="3:11">
      <c r="C219" s="173"/>
      <c r="H219" s="174"/>
      <c r="I219" s="174"/>
      <c r="J219" s="174"/>
      <c r="K219" s="175"/>
    </row>
    <row r="220" spans="3:11">
      <c r="C220" s="173"/>
      <c r="H220" s="174"/>
      <c r="I220" s="174"/>
      <c r="J220" s="174"/>
      <c r="K220" s="175"/>
    </row>
    <row r="221" spans="3:11">
      <c r="C221" s="173"/>
      <c r="H221" s="174"/>
      <c r="I221" s="174"/>
      <c r="J221" s="174"/>
      <c r="K221" s="175"/>
    </row>
    <row r="222" spans="3:11">
      <c r="C222" s="173"/>
      <c r="H222" s="174"/>
      <c r="I222" s="174"/>
      <c r="J222" s="174"/>
      <c r="K222" s="175"/>
    </row>
    <row r="223" spans="3:11">
      <c r="C223" s="173"/>
      <c r="H223" s="174"/>
      <c r="I223" s="174"/>
      <c r="J223" s="174"/>
      <c r="K223" s="175"/>
    </row>
    <row r="224" spans="3:11">
      <c r="C224" s="173"/>
      <c r="H224" s="174"/>
      <c r="I224" s="174"/>
      <c r="J224" s="174"/>
      <c r="K224" s="175"/>
    </row>
    <row r="225" spans="3:11">
      <c r="C225" s="173"/>
      <c r="H225" s="174"/>
      <c r="I225" s="174"/>
      <c r="J225" s="174"/>
      <c r="K225" s="175"/>
    </row>
    <row r="226" spans="3:11">
      <c r="C226" s="173"/>
      <c r="K226" s="176"/>
    </row>
    <row r="227" spans="3:11">
      <c r="C227" s="173"/>
      <c r="H227" s="174"/>
      <c r="I227" s="174"/>
      <c r="J227" s="174"/>
      <c r="K227" s="175"/>
    </row>
    <row r="228" spans="3:11">
      <c r="C228" s="173"/>
      <c r="H228" s="174"/>
      <c r="I228" s="174"/>
      <c r="J228" s="174"/>
      <c r="K228" s="175"/>
    </row>
    <row r="229" spans="3:11">
      <c r="C229" s="173"/>
      <c r="H229" s="174"/>
      <c r="I229" s="174"/>
      <c r="J229" s="174"/>
      <c r="K229" s="175"/>
    </row>
    <row r="230" spans="3:11">
      <c r="C230" s="173"/>
      <c r="H230" s="174"/>
      <c r="I230" s="174"/>
      <c r="J230" s="174"/>
      <c r="K230" s="175"/>
    </row>
    <row r="231" spans="3:11">
      <c r="C231" s="173"/>
      <c r="H231" s="174"/>
      <c r="I231" s="174"/>
      <c r="J231" s="174"/>
      <c r="K231" s="175"/>
    </row>
    <row r="232" spans="3:11">
      <c r="C232" s="173"/>
      <c r="H232" s="174"/>
      <c r="I232" s="174"/>
      <c r="J232" s="174"/>
      <c r="K232" s="175"/>
    </row>
    <row r="233" spans="3:11">
      <c r="C233" s="173"/>
      <c r="H233" s="174"/>
      <c r="I233" s="174"/>
      <c r="J233" s="174"/>
      <c r="K233" s="175"/>
    </row>
    <row r="234" spans="3:11">
      <c r="C234" s="173"/>
      <c r="H234" s="174"/>
      <c r="I234" s="174"/>
      <c r="J234" s="174"/>
      <c r="K234" s="175"/>
    </row>
    <row r="235" spans="3:11">
      <c r="C235" s="173"/>
      <c r="H235" s="174"/>
      <c r="I235" s="174"/>
      <c r="J235" s="174"/>
      <c r="K235" s="175"/>
    </row>
    <row r="236" spans="3:11">
      <c r="C236" s="173"/>
      <c r="H236" s="174"/>
      <c r="I236" s="174"/>
      <c r="J236" s="174"/>
      <c r="K236" s="175"/>
    </row>
    <row r="237" spans="3:11">
      <c r="C237" s="173"/>
      <c r="H237" s="174"/>
      <c r="I237" s="174"/>
      <c r="J237" s="174"/>
      <c r="K237" s="175"/>
    </row>
    <row r="238" spans="3:11">
      <c r="C238" s="173"/>
      <c r="H238" s="174"/>
      <c r="I238" s="174"/>
      <c r="J238" s="174"/>
      <c r="K238" s="175"/>
    </row>
    <row r="239" spans="3:11">
      <c r="C239" s="173"/>
      <c r="H239" s="174"/>
      <c r="I239" s="174"/>
      <c r="J239" s="174"/>
      <c r="K239" s="175"/>
    </row>
    <row r="240" spans="3:11">
      <c r="C240" s="173"/>
      <c r="H240" s="174"/>
      <c r="I240" s="174"/>
      <c r="J240" s="174"/>
      <c r="K240" s="175"/>
    </row>
    <row r="241" spans="3:11">
      <c r="C241" s="173"/>
      <c r="H241" s="174"/>
      <c r="I241" s="174"/>
      <c r="J241" s="174"/>
      <c r="K241" s="175"/>
    </row>
    <row r="242" spans="3:11">
      <c r="C242" s="173"/>
      <c r="H242" s="174"/>
      <c r="I242" s="174"/>
      <c r="J242" s="174"/>
      <c r="K242" s="175"/>
    </row>
    <row r="243" spans="3:11">
      <c r="C243" s="173"/>
      <c r="H243" s="174"/>
      <c r="I243" s="174"/>
      <c r="J243" s="174"/>
      <c r="K243" s="175"/>
    </row>
    <row r="244" spans="3:11">
      <c r="C244" s="173"/>
      <c r="H244" s="174"/>
      <c r="I244" s="174"/>
      <c r="J244" s="174"/>
      <c r="K244" s="175"/>
    </row>
    <row r="245" spans="3:11">
      <c r="C245" s="173"/>
      <c r="H245" s="174"/>
      <c r="I245" s="174"/>
      <c r="J245" s="174"/>
      <c r="K245" s="175"/>
    </row>
    <row r="246" spans="3:11">
      <c r="C246" s="173"/>
      <c r="H246" s="174"/>
      <c r="I246" s="174"/>
      <c r="J246" s="174"/>
      <c r="K246" s="175"/>
    </row>
    <row r="247" spans="3:11">
      <c r="C247" s="173"/>
      <c r="H247" s="174"/>
      <c r="I247" s="174"/>
      <c r="J247" s="174"/>
      <c r="K247" s="175"/>
    </row>
    <row r="248" spans="3:11">
      <c r="C248" s="173"/>
      <c r="H248" s="174"/>
      <c r="I248" s="174"/>
      <c r="J248" s="174"/>
      <c r="K248" s="175"/>
    </row>
    <row r="249" spans="3:11">
      <c r="C249" s="173"/>
      <c r="H249" s="174"/>
      <c r="I249" s="174"/>
      <c r="J249" s="174"/>
      <c r="K249" s="175"/>
    </row>
    <row r="250" spans="3:11">
      <c r="C250" s="173"/>
      <c r="H250" s="174"/>
      <c r="I250" s="174"/>
      <c r="J250" s="174"/>
      <c r="K250" s="175"/>
    </row>
    <row r="251" spans="3:11">
      <c r="C251" s="173"/>
      <c r="H251" s="174"/>
      <c r="I251" s="174"/>
      <c r="J251" s="174"/>
      <c r="K251" s="175"/>
    </row>
    <row r="252" spans="3:11">
      <c r="C252" s="173"/>
      <c r="H252" s="174"/>
      <c r="I252" s="174"/>
      <c r="J252" s="174"/>
      <c r="K252" s="175"/>
    </row>
    <row r="253" spans="3:11">
      <c r="C253" s="173"/>
      <c r="H253" s="174"/>
      <c r="I253" s="174"/>
      <c r="J253" s="174"/>
      <c r="K253" s="175"/>
    </row>
    <row r="254" spans="3:11">
      <c r="C254" s="173"/>
      <c r="H254" s="174"/>
      <c r="I254" s="174"/>
      <c r="J254" s="174"/>
      <c r="K254" s="175"/>
    </row>
    <row r="255" spans="3:11">
      <c r="C255" s="173"/>
      <c r="H255" s="174"/>
      <c r="I255" s="174"/>
      <c r="J255" s="174"/>
      <c r="K255" s="175"/>
    </row>
    <row r="256" spans="3:11">
      <c r="C256" s="173"/>
      <c r="H256" s="174"/>
      <c r="I256" s="174"/>
      <c r="J256" s="174"/>
      <c r="K256" s="175"/>
    </row>
    <row r="257" spans="3:11">
      <c r="C257" s="173"/>
      <c r="H257" s="174"/>
      <c r="I257" s="174"/>
      <c r="J257" s="174"/>
      <c r="K257" s="175"/>
    </row>
    <row r="258" spans="3:11">
      <c r="C258" s="173"/>
      <c r="H258" s="174"/>
      <c r="I258" s="174"/>
      <c r="J258" s="174"/>
      <c r="K258" s="175"/>
    </row>
    <row r="259" spans="3:11">
      <c r="C259" s="173"/>
      <c r="H259" s="174"/>
      <c r="I259" s="174"/>
      <c r="J259" s="174"/>
      <c r="K259" s="175"/>
    </row>
    <row r="260" spans="3:11">
      <c r="C260" s="173"/>
      <c r="H260" s="174"/>
      <c r="I260" s="174"/>
      <c r="J260" s="174"/>
      <c r="K260" s="175"/>
    </row>
    <row r="261" spans="3:11">
      <c r="C261" s="173"/>
      <c r="H261" s="174"/>
      <c r="I261" s="174"/>
      <c r="J261" s="174"/>
      <c r="K261" s="175"/>
    </row>
    <row r="262" spans="3:11">
      <c r="C262" s="173"/>
      <c r="H262" s="174"/>
      <c r="I262" s="174"/>
      <c r="J262" s="174"/>
      <c r="K262" s="175"/>
    </row>
    <row r="263" spans="3:11">
      <c r="C263" s="173"/>
      <c r="H263" s="174"/>
      <c r="I263" s="174"/>
      <c r="J263" s="174"/>
      <c r="K263" s="175"/>
    </row>
    <row r="264" spans="3:11">
      <c r="C264" s="173"/>
      <c r="H264" s="174"/>
      <c r="I264" s="174"/>
      <c r="J264" s="174"/>
      <c r="K264" s="175"/>
    </row>
    <row r="265" spans="3:11">
      <c r="C265" s="173"/>
      <c r="H265" s="174"/>
      <c r="I265" s="174"/>
      <c r="J265" s="174"/>
      <c r="K265" s="175"/>
    </row>
    <row r="266" spans="3:11">
      <c r="C266" s="173"/>
      <c r="H266" s="174"/>
      <c r="I266" s="174"/>
      <c r="J266" s="174"/>
      <c r="K266" s="175"/>
    </row>
    <row r="267" spans="3:11">
      <c r="C267" s="173"/>
      <c r="H267" s="174"/>
      <c r="I267" s="174"/>
      <c r="J267" s="174"/>
      <c r="K267" s="175"/>
    </row>
    <row r="268" spans="3:11">
      <c r="C268" s="173"/>
      <c r="H268" s="174"/>
      <c r="I268" s="174"/>
      <c r="J268" s="174"/>
      <c r="K268" s="175"/>
    </row>
    <row r="269" spans="3:11">
      <c r="C269" s="173"/>
      <c r="H269" s="174"/>
      <c r="I269" s="174"/>
      <c r="J269" s="174"/>
      <c r="K269" s="175"/>
    </row>
  </sheetData>
  <mergeCells count="3">
    <mergeCell ref="L2:O2"/>
    <mergeCell ref="S3:V3"/>
    <mergeCell ref="H2:K2"/>
  </mergeCells>
  <conditionalFormatting sqref="K5:K155 K158:K208 O5:O155 O158:O208">
    <cfRule type="cellIs" dxfId="0" priority="2" operator="greaterThan">
      <formula>0.9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P28"/>
  <sheetViews>
    <sheetView workbookViewId="0">
      <selection activeCell="E21" sqref="E21"/>
    </sheetView>
  </sheetViews>
  <sheetFormatPr baseColWidth="10" defaultColWidth="11.44140625" defaultRowHeight="14.4"/>
  <cols>
    <col min="1" max="1" width="11.44140625" style="117"/>
    <col min="2" max="2" width="20.77734375" style="117" customWidth="1"/>
    <col min="3" max="5" width="18.44140625" style="117" customWidth="1"/>
    <col min="6" max="6" width="17.109375" style="117" customWidth="1"/>
    <col min="7" max="7" width="11.44140625" style="117"/>
    <col min="8" max="8" width="14.44140625" style="117" customWidth="1"/>
    <col min="9" max="16384" width="11.44140625" style="117"/>
  </cols>
  <sheetData>
    <row r="3" spans="2:16">
      <c r="C3" s="325" t="s">
        <v>166</v>
      </c>
      <c r="D3" s="325"/>
      <c r="E3" s="325"/>
      <c r="F3" s="325"/>
      <c r="G3" s="325"/>
      <c r="H3" s="325"/>
    </row>
    <row r="4" spans="2:16">
      <c r="B4" s="211"/>
      <c r="C4" s="326">
        <f>Resumen!C4</f>
        <v>43915</v>
      </c>
      <c r="D4" s="326"/>
      <c r="E4" s="326"/>
      <c r="F4" s="326"/>
      <c r="G4" s="326"/>
      <c r="H4" s="326"/>
      <c r="I4" s="211"/>
      <c r="J4" s="211"/>
      <c r="O4" s="325" t="s">
        <v>147</v>
      </c>
      <c r="P4" s="325"/>
    </row>
    <row r="5" spans="2:16">
      <c r="B5" s="212" t="s">
        <v>167</v>
      </c>
      <c r="C5" s="212" t="s">
        <v>128</v>
      </c>
      <c r="D5" s="212" t="s">
        <v>129</v>
      </c>
      <c r="E5" s="212" t="s">
        <v>179</v>
      </c>
      <c r="F5" s="212" t="s">
        <v>119</v>
      </c>
      <c r="G5" s="212" t="s">
        <v>168</v>
      </c>
      <c r="H5" s="212" t="s">
        <v>6</v>
      </c>
      <c r="I5" s="212" t="s">
        <v>7</v>
      </c>
      <c r="J5" s="210"/>
      <c r="O5" s="214" t="s">
        <v>117</v>
      </c>
      <c r="P5" s="215" t="e">
        <f>+H9+#REF!+H12+H19+H28</f>
        <v>#REF!</v>
      </c>
    </row>
    <row r="6" spans="2:16">
      <c r="B6" s="217">
        <v>13</v>
      </c>
      <c r="C6" s="218" t="s">
        <v>169</v>
      </c>
      <c r="D6" s="215">
        <v>961267</v>
      </c>
      <c r="E6" s="215" t="s">
        <v>11</v>
      </c>
      <c r="F6" s="215" t="s">
        <v>117</v>
      </c>
      <c r="G6" s="215">
        <v>8</v>
      </c>
      <c r="H6" s="219">
        <v>2.1999999999999999E-2</v>
      </c>
      <c r="I6" s="215">
        <f>G6-H6</f>
        <v>7.9779999999999998</v>
      </c>
      <c r="J6" s="213"/>
      <c r="O6" s="214" t="s">
        <v>140</v>
      </c>
      <c r="P6" s="209"/>
    </row>
    <row r="7" spans="2:16">
      <c r="B7" s="217">
        <v>13</v>
      </c>
      <c r="C7" s="218" t="s">
        <v>170</v>
      </c>
      <c r="D7" s="215">
        <v>964933</v>
      </c>
      <c r="E7" s="215" t="s">
        <v>12</v>
      </c>
      <c r="F7" s="215" t="s">
        <v>117</v>
      </c>
      <c r="G7" s="215">
        <v>8</v>
      </c>
      <c r="H7" s="219">
        <v>5.1000000000000004E-2</v>
      </c>
      <c r="I7" s="215">
        <f>G7-H7</f>
        <v>7.9489999999999998</v>
      </c>
      <c r="J7" s="213"/>
    </row>
    <row r="8" spans="2:16">
      <c r="B8" s="217">
        <v>189</v>
      </c>
      <c r="C8" s="218" t="s">
        <v>178</v>
      </c>
      <c r="D8" s="215">
        <v>961267</v>
      </c>
      <c r="E8" s="215" t="s">
        <v>11</v>
      </c>
      <c r="F8" s="215" t="s">
        <v>117</v>
      </c>
      <c r="G8" s="215"/>
      <c r="H8" s="219">
        <v>0.01</v>
      </c>
      <c r="I8" s="215">
        <f>G8-H8</f>
        <v>-0.01</v>
      </c>
      <c r="J8" s="213"/>
    </row>
    <row r="9" spans="2:16">
      <c r="B9" s="211"/>
      <c r="C9" s="211"/>
      <c r="D9" s="211"/>
      <c r="E9" s="211"/>
      <c r="F9" s="211"/>
      <c r="G9" s="211"/>
      <c r="H9" s="211"/>
      <c r="I9" s="211"/>
      <c r="J9" s="211"/>
    </row>
    <row r="10" spans="2:16">
      <c r="B10" s="211"/>
      <c r="C10" s="211"/>
      <c r="D10" s="211"/>
      <c r="E10" s="211"/>
      <c r="F10" s="211"/>
      <c r="G10" s="211"/>
      <c r="H10" s="211"/>
      <c r="I10" s="211"/>
      <c r="J10" s="211"/>
    </row>
    <row r="11" spans="2:16">
      <c r="B11" s="216"/>
      <c r="C11" s="181"/>
      <c r="D11" s="211"/>
      <c r="E11" s="211"/>
      <c r="F11" s="211"/>
      <c r="G11" s="211"/>
      <c r="H11" s="211"/>
      <c r="I11" s="211"/>
      <c r="J11" s="213"/>
    </row>
    <row r="12" spans="2:16">
      <c r="B12" s="211"/>
      <c r="C12" s="211"/>
      <c r="D12" s="211"/>
      <c r="E12" s="211"/>
      <c r="F12" s="211"/>
      <c r="G12" s="211"/>
      <c r="H12" s="211"/>
      <c r="I12" s="211"/>
      <c r="J12" s="211"/>
    </row>
    <row r="13" spans="2:16">
      <c r="B13" s="211"/>
      <c r="C13" s="211"/>
      <c r="D13" s="211"/>
      <c r="E13" s="211"/>
      <c r="F13" s="211"/>
      <c r="G13" s="211"/>
      <c r="H13" s="211"/>
      <c r="I13" s="211"/>
      <c r="J13" s="211"/>
    </row>
    <row r="14" spans="2:16">
      <c r="B14" s="211"/>
      <c r="C14" s="211"/>
      <c r="D14" s="211"/>
      <c r="E14" s="211"/>
      <c r="F14" s="211"/>
      <c r="G14" s="211"/>
      <c r="H14" s="211"/>
      <c r="I14" s="211"/>
      <c r="J14" s="211"/>
    </row>
    <row r="15" spans="2:16">
      <c r="B15" s="211"/>
      <c r="C15" s="211"/>
      <c r="D15" s="211"/>
      <c r="E15" s="211"/>
      <c r="F15" s="211"/>
      <c r="G15" s="211"/>
      <c r="H15" s="211"/>
      <c r="I15" s="211"/>
      <c r="J15" s="211"/>
    </row>
    <row r="16" spans="2:16">
      <c r="B16" s="210"/>
      <c r="C16" s="210"/>
      <c r="D16" s="210"/>
      <c r="E16" s="210"/>
      <c r="F16" s="210"/>
      <c r="G16" s="210"/>
      <c r="H16" s="210"/>
      <c r="I16" s="210"/>
      <c r="J16" s="210"/>
    </row>
    <row r="17" spans="2:10">
      <c r="B17" s="216"/>
      <c r="C17" s="181"/>
      <c r="D17" s="211"/>
      <c r="E17" s="211"/>
      <c r="F17" s="211"/>
      <c r="G17" s="211"/>
      <c r="H17" s="211"/>
      <c r="I17" s="211"/>
      <c r="J17" s="213"/>
    </row>
    <row r="18" spans="2:10">
      <c r="B18" s="216"/>
      <c r="C18" s="181"/>
      <c r="D18" s="211"/>
      <c r="E18" s="211"/>
      <c r="F18" s="211"/>
      <c r="G18" s="211"/>
      <c r="H18" s="211"/>
      <c r="I18" s="211"/>
      <c r="J18" s="213"/>
    </row>
    <row r="19" spans="2:10">
      <c r="B19" s="211"/>
      <c r="C19" s="211"/>
      <c r="D19" s="211"/>
      <c r="E19" s="211"/>
      <c r="F19" s="211"/>
      <c r="G19" s="211"/>
      <c r="H19" s="211"/>
      <c r="I19" s="211"/>
      <c r="J19" s="211"/>
    </row>
    <row r="20" spans="2:10">
      <c r="B20" s="211"/>
      <c r="C20" s="211"/>
      <c r="D20" s="211"/>
      <c r="E20" s="211"/>
      <c r="F20" s="211"/>
      <c r="G20" s="211"/>
      <c r="H20" s="211"/>
      <c r="I20" s="211"/>
      <c r="J20" s="211"/>
    </row>
    <row r="21" spans="2:10">
      <c r="B21" s="211"/>
      <c r="C21" s="211"/>
      <c r="D21" s="211"/>
      <c r="E21" s="211"/>
      <c r="F21" s="211"/>
      <c r="G21" s="211"/>
      <c r="H21" s="211"/>
      <c r="I21" s="211"/>
      <c r="J21" s="211"/>
    </row>
    <row r="22" spans="2:10">
      <c r="B22" s="211"/>
      <c r="C22" s="211"/>
      <c r="D22" s="211"/>
      <c r="E22" s="211"/>
      <c r="F22" s="211"/>
      <c r="G22" s="211"/>
      <c r="H22" s="211"/>
      <c r="I22" s="211"/>
      <c r="J22" s="211"/>
    </row>
    <row r="23" spans="2:10">
      <c r="B23" s="210"/>
      <c r="C23" s="210"/>
      <c r="D23" s="210"/>
      <c r="E23" s="210"/>
      <c r="F23" s="210"/>
      <c r="G23" s="210"/>
      <c r="H23" s="210"/>
      <c r="I23" s="210"/>
      <c r="J23" s="210"/>
    </row>
    <row r="24" spans="2:10">
      <c r="B24" s="181"/>
      <c r="C24" s="181"/>
      <c r="D24" s="211"/>
      <c r="E24" s="211"/>
      <c r="F24" s="211"/>
      <c r="G24" s="211"/>
      <c r="H24" s="211"/>
      <c r="I24" s="211"/>
      <c r="J24" s="176"/>
    </row>
    <row r="25" spans="2:10">
      <c r="B25" s="181"/>
      <c r="C25" s="181"/>
      <c r="D25" s="211"/>
      <c r="E25" s="211"/>
      <c r="F25" s="211"/>
      <c r="G25" s="211"/>
      <c r="H25" s="211"/>
      <c r="I25" s="211"/>
      <c r="J25" s="176"/>
    </row>
    <row r="26" spans="2:10">
      <c r="B26" s="181"/>
      <c r="C26" s="181"/>
      <c r="D26" s="211"/>
      <c r="E26" s="211"/>
      <c r="F26" s="211"/>
      <c r="G26" s="211"/>
      <c r="H26" s="211"/>
      <c r="I26" s="211"/>
      <c r="J26" s="176"/>
    </row>
    <row r="27" spans="2:10">
      <c r="B27" s="181"/>
      <c r="C27" s="181"/>
      <c r="D27" s="211"/>
      <c r="E27" s="211"/>
      <c r="F27" s="211"/>
      <c r="G27" s="211"/>
      <c r="H27" s="211"/>
      <c r="I27" s="211"/>
      <c r="J27" s="176"/>
    </row>
    <row r="28" spans="2:10">
      <c r="B28" s="211"/>
      <c r="C28" s="211"/>
      <c r="D28" s="211"/>
      <c r="E28" s="211"/>
      <c r="F28" s="211"/>
      <c r="G28" s="211"/>
      <c r="H28" s="211"/>
      <c r="I28" s="211"/>
      <c r="J28" s="211"/>
    </row>
  </sheetData>
  <mergeCells count="3">
    <mergeCell ref="C3:H3"/>
    <mergeCell ref="C4:H4"/>
    <mergeCell ref="O4:P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3:H13"/>
  <sheetViews>
    <sheetView workbookViewId="0">
      <selection activeCell="D4" sqref="D4:H4"/>
    </sheetView>
  </sheetViews>
  <sheetFormatPr baseColWidth="10" defaultRowHeight="14.4"/>
  <cols>
    <col min="4" max="4" width="13.77734375" customWidth="1"/>
    <col min="6" max="6" width="12.77734375" customWidth="1"/>
    <col min="7" max="7" width="12.44140625" customWidth="1"/>
  </cols>
  <sheetData>
    <row r="3" spans="4:8">
      <c r="D3" s="327" t="s">
        <v>161</v>
      </c>
      <c r="E3" s="327"/>
      <c r="F3" s="327"/>
      <c r="G3" s="327"/>
      <c r="H3" s="327"/>
    </row>
    <row r="4" spans="4:8">
      <c r="D4" s="328">
        <f>Resumen!C4</f>
        <v>43915</v>
      </c>
      <c r="E4" s="328"/>
      <c r="F4" s="328"/>
      <c r="G4" s="328"/>
      <c r="H4" s="328"/>
    </row>
    <row r="6" spans="4:8" ht="28.8">
      <c r="D6" s="208" t="s">
        <v>162</v>
      </c>
      <c r="E6" s="208" t="s">
        <v>119</v>
      </c>
      <c r="F6" s="208" t="s">
        <v>163</v>
      </c>
      <c r="G6" s="208" t="s">
        <v>164</v>
      </c>
      <c r="H6" s="208" t="s">
        <v>165</v>
      </c>
    </row>
    <row r="7" spans="4:8">
      <c r="D7" s="104"/>
      <c r="E7" s="104"/>
      <c r="F7" s="104"/>
      <c r="G7" s="104"/>
      <c r="H7" s="104"/>
    </row>
    <row r="8" spans="4:8">
      <c r="D8" s="104"/>
      <c r="E8" s="104"/>
      <c r="F8" s="104"/>
      <c r="G8" s="104"/>
      <c r="H8" s="104"/>
    </row>
    <row r="9" spans="4:8">
      <c r="D9" s="104"/>
      <c r="E9" s="104"/>
      <c r="F9" s="104"/>
      <c r="G9" s="104"/>
      <c r="H9" s="104"/>
    </row>
    <row r="10" spans="4:8">
      <c r="D10" s="104"/>
      <c r="E10" s="104"/>
      <c r="F10" s="104"/>
      <c r="G10" s="104"/>
      <c r="H10" s="104"/>
    </row>
    <row r="11" spans="4:8">
      <c r="D11" s="104"/>
      <c r="E11" s="104"/>
      <c r="F11" s="104"/>
      <c r="G11" s="104"/>
      <c r="H11" s="104"/>
    </row>
    <row r="12" spans="4:8">
      <c r="D12" s="104"/>
      <c r="E12" s="104"/>
      <c r="F12" s="104"/>
      <c r="G12" s="104"/>
      <c r="H12" s="104"/>
    </row>
    <row r="13" spans="4:8">
      <c r="D13" s="104"/>
      <c r="E13" s="104"/>
      <c r="F13" s="104"/>
      <c r="G13" s="104"/>
      <c r="H13" s="104"/>
    </row>
  </sheetData>
  <mergeCells count="2">
    <mergeCell ref="D3:H3"/>
    <mergeCell ref="D4:H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92"/>
  <sheetViews>
    <sheetView zoomScale="90" zoomScaleNormal="90" workbookViewId="0">
      <selection activeCell="E19" sqref="E19"/>
    </sheetView>
  </sheetViews>
  <sheetFormatPr baseColWidth="10" defaultRowHeight="14.4"/>
  <cols>
    <col min="1" max="2" width="12.44140625" bestFit="1" customWidth="1"/>
    <col min="4" max="4" width="17.77734375" bestFit="1" customWidth="1"/>
    <col min="5" max="5" width="29.5546875" bestFit="1" customWidth="1"/>
    <col min="9" max="9" width="15.77734375" customWidth="1"/>
    <col min="10" max="10" width="12.5546875" customWidth="1"/>
    <col min="14" max="14" width="11.44140625" style="94"/>
  </cols>
  <sheetData>
    <row r="1" spans="1:17">
      <c r="A1" s="98" t="s">
        <v>77</v>
      </c>
      <c r="B1" s="98" t="s">
        <v>78</v>
      </c>
      <c r="C1" s="98" t="s">
        <v>79</v>
      </c>
      <c r="D1" s="98" t="s">
        <v>80</v>
      </c>
      <c r="E1" s="96" t="s">
        <v>81</v>
      </c>
      <c r="F1" s="98" t="s">
        <v>82</v>
      </c>
      <c r="G1" s="98" t="s">
        <v>83</v>
      </c>
      <c r="H1" s="98" t="s">
        <v>84</v>
      </c>
      <c r="I1" s="98" t="s">
        <v>85</v>
      </c>
      <c r="J1" s="98" t="s">
        <v>86</v>
      </c>
      <c r="K1" s="98" t="s">
        <v>172</v>
      </c>
      <c r="L1" s="99" t="s">
        <v>87</v>
      </c>
      <c r="M1" s="100" t="s">
        <v>88</v>
      </c>
      <c r="N1" s="141" t="s">
        <v>89</v>
      </c>
      <c r="O1" s="101" t="s">
        <v>90</v>
      </c>
      <c r="P1" s="2" t="s">
        <v>91</v>
      </c>
      <c r="Q1" s="2" t="s">
        <v>92</v>
      </c>
    </row>
    <row r="2" spans="1:17">
      <c r="A2" s="97" t="s">
        <v>93</v>
      </c>
      <c r="B2" s="97" t="s">
        <v>93</v>
      </c>
      <c r="C2" s="97" t="s">
        <v>94</v>
      </c>
      <c r="D2" s="97" t="s">
        <v>95</v>
      </c>
      <c r="E2" t="str">
        <f>+Industrial!C11</f>
        <v>ARICA SEAFOOD PRODUCER S.A.</v>
      </c>
      <c r="F2" s="97" t="s">
        <v>96</v>
      </c>
      <c r="G2" s="97" t="s">
        <v>97</v>
      </c>
      <c r="H2">
        <f>+Industrial!E11</f>
        <v>3133.2640000000001</v>
      </c>
      <c r="I2" s="103">
        <f>+Industrial!F11</f>
        <v>0</v>
      </c>
      <c r="J2" s="103">
        <f>+Industrial!G11</f>
        <v>3133.2640000000001</v>
      </c>
      <c r="K2" s="103">
        <f>+Industrial!H11</f>
        <v>0</v>
      </c>
      <c r="L2" s="103">
        <f>+Industrial!I11</f>
        <v>3133.2640000000001</v>
      </c>
      <c r="M2" s="27">
        <f>+Industrial!J11</f>
        <v>0</v>
      </c>
      <c r="N2" s="142" t="s">
        <v>76</v>
      </c>
      <c r="O2" s="94">
        <f>+Resumen!C$4</f>
        <v>43915</v>
      </c>
      <c r="P2">
        <v>2020</v>
      </c>
    </row>
    <row r="3" spans="1:17">
      <c r="A3" s="97" t="s">
        <v>93</v>
      </c>
      <c r="B3" s="97" t="s">
        <v>93</v>
      </c>
      <c r="C3" s="97" t="s">
        <v>94</v>
      </c>
      <c r="D3" s="97" t="s">
        <v>95</v>
      </c>
      <c r="E3" t="str">
        <f>+Industrial!C11</f>
        <v>ARICA SEAFOOD PRODUCER S.A.</v>
      </c>
      <c r="F3" s="97" t="s">
        <v>98</v>
      </c>
      <c r="G3" s="97" t="s">
        <v>99</v>
      </c>
      <c r="H3" s="103">
        <f>+Industrial!E12</f>
        <v>1044.424</v>
      </c>
      <c r="I3" s="103">
        <f>+Industrial!F12</f>
        <v>0</v>
      </c>
      <c r="J3" s="103">
        <f>+Industrial!G12</f>
        <v>4177.6880000000001</v>
      </c>
      <c r="K3" s="103">
        <f>+Industrial!H12</f>
        <v>0</v>
      </c>
      <c r="L3" s="103">
        <f>+Industrial!I12</f>
        <v>4177.6880000000001</v>
      </c>
      <c r="M3" s="27">
        <f>+Industrial!J12</f>
        <v>0</v>
      </c>
      <c r="N3" s="142" t="s">
        <v>76</v>
      </c>
      <c r="O3" s="94">
        <f>+Resumen!C$4</f>
        <v>43915</v>
      </c>
      <c r="P3" s="97">
        <v>2020</v>
      </c>
    </row>
    <row r="4" spans="1:17">
      <c r="A4" s="97" t="s">
        <v>93</v>
      </c>
      <c r="B4" s="97" t="s">
        <v>93</v>
      </c>
      <c r="C4" s="97" t="s">
        <v>94</v>
      </c>
      <c r="D4" s="97" t="s">
        <v>95</v>
      </c>
      <c r="E4" t="str">
        <f>+Industrial!C11</f>
        <v>ARICA SEAFOOD PRODUCER S.A.</v>
      </c>
      <c r="F4" s="97" t="s">
        <v>100</v>
      </c>
      <c r="G4" s="97" t="s">
        <v>99</v>
      </c>
      <c r="H4">
        <f>+Industrial!K11</f>
        <v>4177.6880000000001</v>
      </c>
      <c r="I4" s="103">
        <f>+Industrial!L11</f>
        <v>0</v>
      </c>
      <c r="J4" s="103">
        <f>+Industrial!M11</f>
        <v>4177.6880000000001</v>
      </c>
      <c r="K4" s="103">
        <f>+Industrial!N11</f>
        <v>0</v>
      </c>
      <c r="L4" s="103">
        <f>+Industrial!O11</f>
        <v>4177.6880000000001</v>
      </c>
      <c r="M4" s="27">
        <f>+Industrial!P11</f>
        <v>0</v>
      </c>
      <c r="N4" s="142" t="s">
        <v>76</v>
      </c>
      <c r="O4" s="94">
        <f>+Resumen!C$4</f>
        <v>43915</v>
      </c>
      <c r="P4" s="103">
        <v>2020</v>
      </c>
    </row>
    <row r="5" spans="1:17">
      <c r="A5" s="97" t="s">
        <v>93</v>
      </c>
      <c r="B5" s="97" t="s">
        <v>93</v>
      </c>
      <c r="C5" s="97" t="s">
        <v>94</v>
      </c>
      <c r="D5" s="97" t="s">
        <v>95</v>
      </c>
      <c r="E5" t="str">
        <f>+Industrial!C13</f>
        <v>CAMANCHACA S.A</v>
      </c>
      <c r="F5" s="97" t="s">
        <v>96</v>
      </c>
      <c r="G5" s="97" t="s">
        <v>97</v>
      </c>
      <c r="H5">
        <f>+Industrial!E13</f>
        <v>102596.97799999997</v>
      </c>
      <c r="I5" s="103">
        <f>+Industrial!F13</f>
        <v>0</v>
      </c>
      <c r="J5" s="103">
        <f>+Industrial!G13</f>
        <v>102596.97799999997</v>
      </c>
      <c r="K5" s="103">
        <f>+Industrial!H13</f>
        <v>1667.9500000000003</v>
      </c>
      <c r="L5" s="103">
        <f>+Industrial!I13</f>
        <v>100929.02799999998</v>
      </c>
      <c r="M5" s="27">
        <f>+Industrial!J13</f>
        <v>1.6257301457748598E-2</v>
      </c>
      <c r="N5" s="142" t="s">
        <v>76</v>
      </c>
      <c r="O5" s="94">
        <f>+Resumen!C$4</f>
        <v>43915</v>
      </c>
      <c r="P5" s="103">
        <v>2020</v>
      </c>
    </row>
    <row r="6" spans="1:17">
      <c r="A6" s="97" t="s">
        <v>93</v>
      </c>
      <c r="B6" s="97" t="s">
        <v>93</v>
      </c>
      <c r="C6" s="97" t="s">
        <v>94</v>
      </c>
      <c r="D6" s="97" t="s">
        <v>95</v>
      </c>
      <c r="E6" s="97" t="str">
        <f>+Industrial!C13</f>
        <v>CAMANCHACA S.A</v>
      </c>
      <c r="F6" s="97" t="s">
        <v>98</v>
      </c>
      <c r="G6" s="97" t="s">
        <v>99</v>
      </c>
      <c r="H6" s="103">
        <f>+Industrial!E14</f>
        <v>34199.062999999995</v>
      </c>
      <c r="I6" s="103">
        <f>+Industrial!F14</f>
        <v>0</v>
      </c>
      <c r="J6" s="103">
        <f>+Industrial!G14</f>
        <v>135128.09099999996</v>
      </c>
      <c r="K6" s="103">
        <f>+Industrial!H14</f>
        <v>0</v>
      </c>
      <c r="L6" s="103">
        <f>+Industrial!I14</f>
        <v>135128.09099999996</v>
      </c>
      <c r="M6" s="27">
        <f>+Industrial!J14</f>
        <v>0</v>
      </c>
      <c r="N6" s="142" t="s">
        <v>76</v>
      </c>
      <c r="O6" s="94">
        <f>+Resumen!C$4</f>
        <v>43915</v>
      </c>
      <c r="P6" s="103">
        <v>2020</v>
      </c>
    </row>
    <row r="7" spans="1:17">
      <c r="A7" s="97" t="s">
        <v>93</v>
      </c>
      <c r="B7" s="97" t="s">
        <v>93</v>
      </c>
      <c r="C7" s="97" t="s">
        <v>94</v>
      </c>
      <c r="D7" s="97" t="s">
        <v>95</v>
      </c>
      <c r="E7" s="97" t="str">
        <f>+Industrial!C13</f>
        <v>CAMANCHACA S.A</v>
      </c>
      <c r="F7" s="97" t="s">
        <v>100</v>
      </c>
      <c r="G7" s="97" t="s">
        <v>99</v>
      </c>
      <c r="H7">
        <f>+Industrial!K13</f>
        <v>136796.04099999997</v>
      </c>
      <c r="I7" s="103">
        <f>+Industrial!L13</f>
        <v>0</v>
      </c>
      <c r="J7" s="103">
        <f>+Industrial!M13</f>
        <v>136796.04099999997</v>
      </c>
      <c r="K7" s="103">
        <f>+Industrial!N13</f>
        <v>1667.9500000000003</v>
      </c>
      <c r="L7" s="103">
        <f>+Industrial!O13</f>
        <v>135128.09099999996</v>
      </c>
      <c r="M7" s="27">
        <f>+Industrial!P13</f>
        <v>1.2192969824324088E-2</v>
      </c>
      <c r="N7" s="142" t="s">
        <v>76</v>
      </c>
      <c r="O7" s="94">
        <f>+Resumen!C$4</f>
        <v>43915</v>
      </c>
      <c r="P7" s="103">
        <v>2020</v>
      </c>
    </row>
    <row r="8" spans="1:17" s="103" customFormat="1">
      <c r="A8" s="103" t="s">
        <v>93</v>
      </c>
      <c r="B8" s="103" t="s">
        <v>93</v>
      </c>
      <c r="C8" s="103" t="s">
        <v>94</v>
      </c>
      <c r="D8" s="103" t="s">
        <v>95</v>
      </c>
      <c r="E8" s="103" t="s">
        <v>158</v>
      </c>
      <c r="F8" s="103" t="s">
        <v>96</v>
      </c>
      <c r="G8" s="103" t="s">
        <v>97</v>
      </c>
      <c r="H8" s="103">
        <f>+Industrial!E15</f>
        <v>7096.1440000000002</v>
      </c>
      <c r="I8" s="103">
        <f>+Industrial!F15</f>
        <v>0</v>
      </c>
      <c r="J8" s="103">
        <f>+Industrial!G15</f>
        <v>7096.1440000000002</v>
      </c>
      <c r="K8" s="103">
        <f>+Industrial!H15</f>
        <v>0</v>
      </c>
      <c r="L8" s="103">
        <f>+Industrial!I15</f>
        <v>7096.1440000000002</v>
      </c>
      <c r="M8" s="27">
        <f>+Industrial!J15</f>
        <v>0</v>
      </c>
      <c r="N8" s="142" t="s">
        <v>76</v>
      </c>
      <c r="O8" s="94">
        <f>+Resumen!C$4</f>
        <v>43915</v>
      </c>
      <c r="P8" s="103">
        <v>2020</v>
      </c>
    </row>
    <row r="9" spans="1:17" s="103" customFormat="1">
      <c r="A9" s="103" t="s">
        <v>93</v>
      </c>
      <c r="B9" s="103" t="s">
        <v>93</v>
      </c>
      <c r="C9" s="103" t="s">
        <v>94</v>
      </c>
      <c r="D9" s="103" t="s">
        <v>95</v>
      </c>
      <c r="E9" s="103" t="s">
        <v>158</v>
      </c>
      <c r="F9" s="103" t="s">
        <v>98</v>
      </c>
      <c r="G9" s="103" t="s">
        <v>99</v>
      </c>
      <c r="H9" s="103">
        <f>+Industrial!E16</f>
        <v>2365.3849999999998</v>
      </c>
      <c r="I9" s="103">
        <f>+Industrial!F16</f>
        <v>0</v>
      </c>
      <c r="J9" s="103">
        <f>+Industrial!G16</f>
        <v>9461.5290000000005</v>
      </c>
      <c r="K9" s="103">
        <f>+Industrial!H16</f>
        <v>0</v>
      </c>
      <c r="L9" s="103">
        <f>+Industrial!I16</f>
        <v>9461.5290000000005</v>
      </c>
      <c r="M9" s="27">
        <f>+Industrial!J16</f>
        <v>0</v>
      </c>
      <c r="N9" s="142" t="s">
        <v>76</v>
      </c>
      <c r="O9" s="94">
        <f>+Resumen!C$4</f>
        <v>43915</v>
      </c>
      <c r="P9" s="103">
        <v>2020</v>
      </c>
    </row>
    <row r="10" spans="1:17" s="103" customFormat="1">
      <c r="A10" s="103" t="s">
        <v>93</v>
      </c>
      <c r="B10" s="103" t="s">
        <v>93</v>
      </c>
      <c r="C10" s="103" t="s">
        <v>94</v>
      </c>
      <c r="D10" s="103" t="s">
        <v>95</v>
      </c>
      <c r="E10" s="103" t="s">
        <v>158</v>
      </c>
      <c r="F10" s="103" t="s">
        <v>100</v>
      </c>
      <c r="G10" s="103" t="s">
        <v>99</v>
      </c>
      <c r="H10" s="103">
        <f>+Industrial!K15</f>
        <v>9461.5290000000005</v>
      </c>
      <c r="I10" s="103">
        <f>+Industrial!L15</f>
        <v>0</v>
      </c>
      <c r="J10" s="103">
        <f>+Industrial!M15</f>
        <v>9461.5290000000005</v>
      </c>
      <c r="K10" s="103">
        <f>+Industrial!N15</f>
        <v>0</v>
      </c>
      <c r="L10" s="103">
        <f>+Industrial!O15</f>
        <v>9461.5290000000005</v>
      </c>
      <c r="M10" s="27">
        <f>+Industrial!P15</f>
        <v>0</v>
      </c>
      <c r="N10" s="142" t="s">
        <v>76</v>
      </c>
      <c r="O10" s="94">
        <f>+Resumen!C$4</f>
        <v>43915</v>
      </c>
      <c r="P10" s="103">
        <v>2020</v>
      </c>
    </row>
    <row r="11" spans="1:17" s="103" customFormat="1">
      <c r="A11" s="103" t="s">
        <v>93</v>
      </c>
      <c r="B11" s="103" t="s">
        <v>93</v>
      </c>
      <c r="C11" s="103" t="s">
        <v>94</v>
      </c>
      <c r="D11" s="103" t="s">
        <v>95</v>
      </c>
      <c r="E11" s="103" t="s">
        <v>159</v>
      </c>
      <c r="F11" s="103" t="s">
        <v>96</v>
      </c>
      <c r="G11" s="103" t="s">
        <v>97</v>
      </c>
      <c r="H11" s="103">
        <f>+Industrial!E17</f>
        <v>2691.64</v>
      </c>
      <c r="I11" s="103">
        <f>+Industrial!F17</f>
        <v>0</v>
      </c>
      <c r="J11" s="103">
        <f>+Industrial!G17</f>
        <v>2691.64</v>
      </c>
      <c r="K11" s="103">
        <f>+Industrial!H17</f>
        <v>0</v>
      </c>
      <c r="L11" s="103">
        <f>+Industrial!I17</f>
        <v>2691.64</v>
      </c>
      <c r="M11" s="27">
        <f>+Industrial!J17</f>
        <v>0</v>
      </c>
      <c r="N11" s="142" t="s">
        <v>76</v>
      </c>
      <c r="O11" s="94">
        <f>+Resumen!C$4</f>
        <v>43915</v>
      </c>
      <c r="P11" s="103">
        <v>2020</v>
      </c>
    </row>
    <row r="12" spans="1:17" s="103" customFormat="1">
      <c r="A12" s="103" t="s">
        <v>93</v>
      </c>
      <c r="B12" s="103" t="s">
        <v>93</v>
      </c>
      <c r="C12" s="103" t="s">
        <v>94</v>
      </c>
      <c r="D12" s="103" t="s">
        <v>95</v>
      </c>
      <c r="E12" s="103" t="s">
        <v>159</v>
      </c>
      <c r="F12" s="103" t="s">
        <v>98</v>
      </c>
      <c r="G12" s="103" t="s">
        <v>99</v>
      </c>
      <c r="H12" s="103">
        <f>+Industrial!E18</f>
        <v>897.21499999999992</v>
      </c>
      <c r="I12" s="103">
        <f>+Industrial!F18</f>
        <v>0</v>
      </c>
      <c r="J12" s="103">
        <f>+Industrial!G18</f>
        <v>3588.8549999999996</v>
      </c>
      <c r="K12" s="103">
        <f>+Industrial!H18</f>
        <v>0</v>
      </c>
      <c r="L12" s="103">
        <f>+Industrial!I18</f>
        <v>3588.8549999999996</v>
      </c>
      <c r="M12" s="27">
        <f>+Industrial!J18</f>
        <v>0</v>
      </c>
      <c r="N12" s="142" t="s">
        <v>76</v>
      </c>
      <c r="O12" s="94">
        <f>+Resumen!C$4</f>
        <v>43915</v>
      </c>
      <c r="P12" s="103">
        <v>2020</v>
      </c>
    </row>
    <row r="13" spans="1:17" s="103" customFormat="1">
      <c r="A13" s="103" t="s">
        <v>93</v>
      </c>
      <c r="B13" s="103" t="s">
        <v>93</v>
      </c>
      <c r="C13" s="103" t="s">
        <v>94</v>
      </c>
      <c r="D13" s="103" t="s">
        <v>95</v>
      </c>
      <c r="E13" s="103" t="s">
        <v>159</v>
      </c>
      <c r="F13" s="103" t="s">
        <v>100</v>
      </c>
      <c r="G13" s="103" t="s">
        <v>99</v>
      </c>
      <c r="H13" s="103">
        <f>+Industrial!K17</f>
        <v>3588.8549999999996</v>
      </c>
      <c r="I13" s="103">
        <f>+Industrial!L17</f>
        <v>0</v>
      </c>
      <c r="J13" s="103">
        <f>+Industrial!M17</f>
        <v>3588.8549999999996</v>
      </c>
      <c r="K13" s="103">
        <f>+Industrial!N17</f>
        <v>0</v>
      </c>
      <c r="L13" s="103">
        <f>+Industrial!O17</f>
        <v>3588.8549999999996</v>
      </c>
      <c r="M13" s="27">
        <f>+Industrial!P17</f>
        <v>0</v>
      </c>
      <c r="N13" s="142" t="s">
        <v>76</v>
      </c>
      <c r="O13" s="94">
        <f>+Resumen!C$4</f>
        <v>43915</v>
      </c>
      <c r="P13" s="103">
        <v>2020</v>
      </c>
    </row>
    <row r="14" spans="1:17">
      <c r="A14" s="97" t="s">
        <v>93</v>
      </c>
      <c r="B14" s="97" t="s">
        <v>93</v>
      </c>
      <c r="C14" s="97" t="s">
        <v>94</v>
      </c>
      <c r="D14" s="97" t="s">
        <v>95</v>
      </c>
      <c r="E14" t="str">
        <f>+Industrial!C19</f>
        <v>SERVICIOS INDUSTRIALES LO ROJAS LTDA</v>
      </c>
      <c r="F14" s="97" t="s">
        <v>96</v>
      </c>
      <c r="G14" s="97" t="s">
        <v>97</v>
      </c>
      <c r="H14">
        <f>+Industrial!E19</f>
        <v>0</v>
      </c>
      <c r="I14" s="103">
        <f>+Industrial!F19</f>
        <v>0</v>
      </c>
      <c r="J14" s="103">
        <f>+Industrial!G19</f>
        <v>0</v>
      </c>
      <c r="K14" s="103">
        <f>+Industrial!H19</f>
        <v>0</v>
      </c>
      <c r="L14" s="103">
        <f>+Industrial!I19</f>
        <v>0</v>
      </c>
      <c r="M14" s="27" t="e">
        <f>+Industrial!J19</f>
        <v>#DIV/0!</v>
      </c>
      <c r="N14" s="142" t="s">
        <v>76</v>
      </c>
      <c r="O14" s="94">
        <f>+Resumen!C$4</f>
        <v>43915</v>
      </c>
      <c r="P14" s="103">
        <v>2020</v>
      </c>
    </row>
    <row r="15" spans="1:17">
      <c r="A15" s="97" t="s">
        <v>93</v>
      </c>
      <c r="B15" s="97" t="s">
        <v>93</v>
      </c>
      <c r="C15" s="97" t="s">
        <v>94</v>
      </c>
      <c r="D15" s="97" t="s">
        <v>95</v>
      </c>
      <c r="E15" t="str">
        <f>+Industrial!C19</f>
        <v>SERVICIOS INDUSTRIALES LO ROJAS LTDA</v>
      </c>
      <c r="F15" s="97" t="s">
        <v>98</v>
      </c>
      <c r="G15" s="97" t="s">
        <v>99</v>
      </c>
      <c r="H15" s="103">
        <f>+Industrial!E20</f>
        <v>0</v>
      </c>
      <c r="I15" s="103">
        <f>+Industrial!F20</f>
        <v>0</v>
      </c>
      <c r="J15" s="103">
        <f>+Industrial!G20</f>
        <v>0</v>
      </c>
      <c r="K15" s="103">
        <f>+Industrial!H20</f>
        <v>0</v>
      </c>
      <c r="L15" s="103">
        <f>+Industrial!I20</f>
        <v>0</v>
      </c>
      <c r="M15" s="27" t="e">
        <f>+Industrial!J20</f>
        <v>#DIV/0!</v>
      </c>
      <c r="N15" s="142" t="s">
        <v>76</v>
      </c>
      <c r="O15" s="94">
        <f>+Resumen!C$4</f>
        <v>43915</v>
      </c>
      <c r="P15" s="103">
        <v>2020</v>
      </c>
    </row>
    <row r="16" spans="1:17">
      <c r="A16" s="97" t="s">
        <v>93</v>
      </c>
      <c r="B16" s="97" t="s">
        <v>93</v>
      </c>
      <c r="C16" s="97" t="s">
        <v>94</v>
      </c>
      <c r="D16" s="97" t="s">
        <v>95</v>
      </c>
      <c r="E16" t="str">
        <f>+Industrial!C19</f>
        <v>SERVICIOS INDUSTRIALES LO ROJAS LTDA</v>
      </c>
      <c r="F16" s="97" t="s">
        <v>100</v>
      </c>
      <c r="G16" s="97" t="s">
        <v>99</v>
      </c>
      <c r="H16">
        <f>+Industrial!K19</f>
        <v>0</v>
      </c>
      <c r="I16" s="103">
        <f>+Industrial!L19</f>
        <v>0</v>
      </c>
      <c r="J16" s="103">
        <f>+Industrial!M19</f>
        <v>0</v>
      </c>
      <c r="K16" s="103">
        <f>+Industrial!N19</f>
        <v>0</v>
      </c>
      <c r="L16" s="103">
        <f>+Industrial!O19</f>
        <v>0</v>
      </c>
      <c r="M16" s="27" t="e">
        <f>+Industrial!P19</f>
        <v>#DIV/0!</v>
      </c>
      <c r="N16" s="142" t="s">
        <v>76</v>
      </c>
      <c r="O16" s="94">
        <f>+Resumen!C$4</f>
        <v>43915</v>
      </c>
      <c r="P16" s="103">
        <v>2020</v>
      </c>
    </row>
    <row r="17" spans="1:16">
      <c r="A17" s="97" t="s">
        <v>93</v>
      </c>
      <c r="B17" s="97" t="s">
        <v>93</v>
      </c>
      <c r="C17" s="97" t="s">
        <v>94</v>
      </c>
      <c r="D17" s="97" t="s">
        <v>95</v>
      </c>
      <c r="E17" t="str">
        <f>+Industrial!C21</f>
        <v>PROCESOS TECNOLOGICOS DEL BIO BIO SpA</v>
      </c>
      <c r="F17" s="97" t="s">
        <v>96</v>
      </c>
      <c r="G17" s="97" t="s">
        <v>97</v>
      </c>
      <c r="H17">
        <f>+Industrial!E21</f>
        <v>8074.9240000000009</v>
      </c>
      <c r="I17" s="103">
        <f>+Industrial!F21</f>
        <v>0</v>
      </c>
      <c r="J17" s="103">
        <f>+Industrial!G21</f>
        <v>8074.9240000000009</v>
      </c>
      <c r="K17" s="103">
        <f>+Industrial!H21</f>
        <v>0</v>
      </c>
      <c r="L17" s="103">
        <f>+Industrial!I21</f>
        <v>8074.9240000000009</v>
      </c>
      <c r="M17" s="27">
        <f>+Industrial!J21</f>
        <v>0</v>
      </c>
      <c r="N17" s="142" t="s">
        <v>76</v>
      </c>
      <c r="O17" s="94">
        <f>+Resumen!C$4</f>
        <v>43915</v>
      </c>
      <c r="P17" s="103">
        <v>2020</v>
      </c>
    </row>
    <row r="18" spans="1:16">
      <c r="A18" s="97" t="s">
        <v>93</v>
      </c>
      <c r="B18" s="97" t="s">
        <v>93</v>
      </c>
      <c r="C18" s="97" t="s">
        <v>94</v>
      </c>
      <c r="D18" s="97" t="s">
        <v>95</v>
      </c>
      <c r="E18" t="str">
        <f>+Industrial!C21</f>
        <v>PROCESOS TECNOLOGICOS DEL BIO BIO SpA</v>
      </c>
      <c r="F18" s="97" t="s">
        <v>98</v>
      </c>
      <c r="G18" s="97" t="s">
        <v>99</v>
      </c>
      <c r="H18" s="103">
        <f>+Industrial!E22</f>
        <v>2691.6450000000009</v>
      </c>
      <c r="I18" s="103">
        <f>+Industrial!F22</f>
        <v>0</v>
      </c>
      <c r="J18" s="103">
        <f>+Industrial!G22</f>
        <v>10766.569000000001</v>
      </c>
      <c r="K18" s="103">
        <f>+Industrial!H22</f>
        <v>0</v>
      </c>
      <c r="L18" s="103">
        <f>+Industrial!I22</f>
        <v>10766.569000000001</v>
      </c>
      <c r="M18" s="27">
        <f>+Industrial!J22</f>
        <v>0</v>
      </c>
      <c r="N18" s="142" t="s">
        <v>76</v>
      </c>
      <c r="O18" s="94">
        <f>+Resumen!C$4</f>
        <v>43915</v>
      </c>
      <c r="P18" s="103">
        <v>2020</v>
      </c>
    </row>
    <row r="19" spans="1:16">
      <c r="A19" s="97" t="s">
        <v>93</v>
      </c>
      <c r="B19" s="97" t="s">
        <v>93</v>
      </c>
      <c r="C19" s="97" t="s">
        <v>94</v>
      </c>
      <c r="D19" s="97" t="s">
        <v>95</v>
      </c>
      <c r="E19" t="str">
        <f>+Industrial!C21</f>
        <v>PROCESOS TECNOLOGICOS DEL BIO BIO SpA</v>
      </c>
      <c r="F19" s="97" t="s">
        <v>100</v>
      </c>
      <c r="G19" s="97" t="s">
        <v>99</v>
      </c>
      <c r="H19">
        <f>+Industrial!K21</f>
        <v>10766.569000000001</v>
      </c>
      <c r="I19" s="103">
        <f>+Industrial!L21</f>
        <v>0</v>
      </c>
      <c r="J19" s="103">
        <f>+Industrial!M21</f>
        <v>10766.569000000001</v>
      </c>
      <c r="K19" s="103">
        <f>+Industrial!N21</f>
        <v>0</v>
      </c>
      <c r="L19" s="103">
        <f>+Industrial!O21</f>
        <v>10766.569000000001</v>
      </c>
      <c r="M19" s="27">
        <f>+Industrial!P21</f>
        <v>0</v>
      </c>
      <c r="N19" s="142" t="s">
        <v>76</v>
      </c>
      <c r="O19" s="94">
        <f>+Resumen!C$4</f>
        <v>43915</v>
      </c>
      <c r="P19" s="103">
        <v>2020</v>
      </c>
    </row>
    <row r="20" spans="1:16" s="103" customFormat="1">
      <c r="A20" s="103" t="s">
        <v>93</v>
      </c>
      <c r="B20" s="103" t="s">
        <v>93</v>
      </c>
      <c r="C20" s="103" t="s">
        <v>94</v>
      </c>
      <c r="D20" s="103" t="s">
        <v>95</v>
      </c>
      <c r="E20" s="103" t="str">
        <f>+Industrial!C23</f>
        <v>PESCA LITORAL E.I.R.L</v>
      </c>
      <c r="F20" s="103" t="s">
        <v>96</v>
      </c>
      <c r="G20" s="103" t="s">
        <v>97</v>
      </c>
      <c r="H20" s="103">
        <f>+Industrial!E23</f>
        <v>9787.7800000000007</v>
      </c>
      <c r="I20" s="103">
        <f>+Industrial!F23</f>
        <v>0</v>
      </c>
      <c r="J20" s="103">
        <f>+Industrial!G23</f>
        <v>9787.7800000000007</v>
      </c>
      <c r="K20" s="103">
        <f>+Industrial!H23</f>
        <v>0</v>
      </c>
      <c r="L20" s="103">
        <f>+Industrial!I23</f>
        <v>9787.7800000000007</v>
      </c>
      <c r="M20" s="27">
        <f>+Industrial!J23</f>
        <v>0</v>
      </c>
      <c r="N20" s="142" t="s">
        <v>76</v>
      </c>
      <c r="O20" s="94">
        <f>+Resumen!C$4</f>
        <v>43915</v>
      </c>
      <c r="P20" s="103">
        <v>2020</v>
      </c>
    </row>
    <row r="21" spans="1:16" s="103" customFormat="1">
      <c r="A21" s="103" t="s">
        <v>93</v>
      </c>
      <c r="B21" s="103" t="s">
        <v>93</v>
      </c>
      <c r="C21" s="103" t="s">
        <v>94</v>
      </c>
      <c r="D21" s="103" t="s">
        <v>95</v>
      </c>
      <c r="E21" s="103" t="str">
        <f>+Industrial!C23</f>
        <v>PESCA LITORAL E.I.R.L</v>
      </c>
      <c r="F21" s="103" t="s">
        <v>98</v>
      </c>
      <c r="G21" s="103" t="s">
        <v>99</v>
      </c>
      <c r="H21" s="103">
        <f>+Industrial!E24</f>
        <v>3262.6000000000004</v>
      </c>
      <c r="I21" s="103">
        <f>+Industrial!F24</f>
        <v>0</v>
      </c>
      <c r="J21" s="103">
        <f>+Industrial!G24</f>
        <v>13050.380000000001</v>
      </c>
      <c r="K21" s="103">
        <f>+Industrial!H24</f>
        <v>0</v>
      </c>
      <c r="L21" s="103">
        <f>+Industrial!I24</f>
        <v>13050.380000000001</v>
      </c>
      <c r="M21" s="27">
        <f>+Industrial!J24</f>
        <v>0</v>
      </c>
      <c r="N21" s="142" t="s">
        <v>76</v>
      </c>
      <c r="O21" s="94">
        <f>+Resumen!C$4</f>
        <v>43915</v>
      </c>
      <c r="P21" s="103">
        <v>2020</v>
      </c>
    </row>
    <row r="22" spans="1:16" s="103" customFormat="1">
      <c r="A22" s="103" t="s">
        <v>93</v>
      </c>
      <c r="B22" s="103" t="s">
        <v>93</v>
      </c>
      <c r="C22" s="103" t="s">
        <v>94</v>
      </c>
      <c r="D22" s="103" t="s">
        <v>95</v>
      </c>
      <c r="E22" s="103" t="str">
        <f>+Industrial!C23</f>
        <v>PESCA LITORAL E.I.R.L</v>
      </c>
      <c r="F22" s="103" t="s">
        <v>100</v>
      </c>
      <c r="G22" s="103" t="s">
        <v>99</v>
      </c>
      <c r="H22" s="103">
        <f>+Industrial!K23</f>
        <v>13050.380000000001</v>
      </c>
      <c r="I22" s="103">
        <f>+Industrial!L23</f>
        <v>0</v>
      </c>
      <c r="J22" s="103">
        <f>+Industrial!M23</f>
        <v>13050.380000000001</v>
      </c>
      <c r="K22" s="103">
        <f>+Industrial!N23</f>
        <v>0</v>
      </c>
      <c r="L22" s="103">
        <f>+Industrial!O23</f>
        <v>13050.380000000001</v>
      </c>
      <c r="M22" s="27">
        <f>+Industrial!P23</f>
        <v>0</v>
      </c>
      <c r="N22" s="142" t="s">
        <v>76</v>
      </c>
      <c r="O22" s="94">
        <f>+Resumen!C$4</f>
        <v>43915</v>
      </c>
      <c r="P22" s="103">
        <v>2020</v>
      </c>
    </row>
    <row r="23" spans="1:16">
      <c r="A23" s="97" t="s">
        <v>93</v>
      </c>
      <c r="B23" s="97" t="s">
        <v>93</v>
      </c>
      <c r="C23" s="97" t="s">
        <v>94</v>
      </c>
      <c r="D23" s="97" t="s">
        <v>95</v>
      </c>
      <c r="E23" t="str">
        <f>+Industrial!C25</f>
        <v>CORPESCA S.A</v>
      </c>
      <c r="F23" s="97" t="s">
        <v>96</v>
      </c>
      <c r="G23" s="97" t="s">
        <v>97</v>
      </c>
      <c r="H23">
        <f>+Industrial!E25</f>
        <v>351114.34099999996</v>
      </c>
      <c r="I23" s="103">
        <f>+Industrial!F25</f>
        <v>0</v>
      </c>
      <c r="J23" s="103">
        <f>+Industrial!G25</f>
        <v>351114.34099999996</v>
      </c>
      <c r="K23" s="103">
        <f>+Industrial!H25</f>
        <v>8153.4000000000024</v>
      </c>
      <c r="L23" s="103">
        <f>+Industrial!I25</f>
        <v>342960.94099999993</v>
      </c>
      <c r="M23" s="27">
        <f>+Industrial!J25</f>
        <v>2.3221495245048972E-2</v>
      </c>
      <c r="N23" s="142" t="s">
        <v>76</v>
      </c>
      <c r="O23" s="94">
        <f>+Resumen!C$4</f>
        <v>43915</v>
      </c>
      <c r="P23" s="103">
        <v>2020</v>
      </c>
    </row>
    <row r="24" spans="1:16">
      <c r="A24" s="97" t="s">
        <v>93</v>
      </c>
      <c r="B24" s="97" t="s">
        <v>93</v>
      </c>
      <c r="C24" s="97" t="s">
        <v>94</v>
      </c>
      <c r="D24" s="97" t="s">
        <v>95</v>
      </c>
      <c r="E24" t="str">
        <f>+Industrial!C25</f>
        <v>CORPESCA S.A</v>
      </c>
      <c r="F24" s="97" t="s">
        <v>98</v>
      </c>
      <c r="G24" s="97" t="s">
        <v>99</v>
      </c>
      <c r="H24" s="103">
        <f>+Industrial!E26</f>
        <v>117038.353</v>
      </c>
      <c r="I24" s="103">
        <f>+Industrial!F26</f>
        <v>0</v>
      </c>
      <c r="J24" s="103">
        <f>+Industrial!G26</f>
        <v>459999.29399999994</v>
      </c>
      <c r="K24" s="103">
        <f>+Industrial!H26</f>
        <v>0</v>
      </c>
      <c r="L24" s="103">
        <f>+Industrial!I26</f>
        <v>459999.29399999994</v>
      </c>
      <c r="M24" s="27">
        <f>+Industrial!J26</f>
        <v>0</v>
      </c>
      <c r="N24" s="142" t="s">
        <v>76</v>
      </c>
      <c r="O24" s="94">
        <f>+Resumen!C$4</f>
        <v>43915</v>
      </c>
      <c r="P24" s="103">
        <v>2020</v>
      </c>
    </row>
    <row r="25" spans="1:16">
      <c r="A25" s="97" t="s">
        <v>93</v>
      </c>
      <c r="B25" s="97" t="s">
        <v>93</v>
      </c>
      <c r="C25" s="97" t="s">
        <v>94</v>
      </c>
      <c r="D25" s="97" t="s">
        <v>95</v>
      </c>
      <c r="E25" t="str">
        <f>+Industrial!C25</f>
        <v>CORPESCA S.A</v>
      </c>
      <c r="F25" s="97" t="s">
        <v>100</v>
      </c>
      <c r="G25" s="97" t="s">
        <v>99</v>
      </c>
      <c r="H25">
        <f>+Industrial!K25</f>
        <v>468152.69399999996</v>
      </c>
      <c r="I25" s="103">
        <f>+Industrial!L25</f>
        <v>0</v>
      </c>
      <c r="J25" s="103">
        <f>+Industrial!M25</f>
        <v>468152.69399999996</v>
      </c>
      <c r="K25" s="103">
        <f>+Industrial!N25</f>
        <v>8153.4000000000024</v>
      </c>
      <c r="L25" s="103">
        <f>+Industrial!O25</f>
        <v>459999.29399999994</v>
      </c>
      <c r="M25" s="27">
        <f>+Industrial!P25</f>
        <v>1.7416112530156673E-2</v>
      </c>
      <c r="N25" s="142" t="s">
        <v>76</v>
      </c>
      <c r="O25" s="94">
        <f>+Resumen!C$4</f>
        <v>43915</v>
      </c>
      <c r="P25" s="103">
        <v>2020</v>
      </c>
    </row>
    <row r="26" spans="1:16">
      <c r="A26" s="97" t="s">
        <v>93</v>
      </c>
      <c r="B26" s="97" t="s">
        <v>93</v>
      </c>
      <c r="C26" s="97" t="s">
        <v>94</v>
      </c>
      <c r="D26" s="97" t="s">
        <v>95</v>
      </c>
      <c r="E26" s="97" t="s">
        <v>102</v>
      </c>
      <c r="F26" s="97" t="s">
        <v>96</v>
      </c>
      <c r="G26" s="97" t="s">
        <v>99</v>
      </c>
      <c r="H26" s="114">
        <f>+Industrial!K27</f>
        <v>645993.75599999994</v>
      </c>
      <c r="I26" s="103">
        <f>+Industrial!L27</f>
        <v>0</v>
      </c>
      <c r="J26" s="103">
        <f>+Industrial!M27</f>
        <v>645993.75599999994</v>
      </c>
      <c r="K26" s="103">
        <f>+Industrial!N27</f>
        <v>9821.3500000000022</v>
      </c>
      <c r="L26" s="103">
        <f>+Industrial!O27</f>
        <v>636172.40599999996</v>
      </c>
      <c r="M26" s="27">
        <f>+Industrial!P27</f>
        <v>1.5203475124610961E-2</v>
      </c>
      <c r="N26" s="142" t="s">
        <v>76</v>
      </c>
      <c r="O26" s="94">
        <f>+Resumen!C$4</f>
        <v>43915</v>
      </c>
      <c r="P26" s="103">
        <v>2020</v>
      </c>
    </row>
    <row r="27" spans="1:16">
      <c r="A27" s="97" t="s">
        <v>93</v>
      </c>
      <c r="B27" s="97" t="s">
        <v>93</v>
      </c>
      <c r="C27" s="97" t="s">
        <v>101</v>
      </c>
      <c r="D27" s="97" t="s">
        <v>95</v>
      </c>
      <c r="E27" t="str">
        <f>+Industrial!C28</f>
        <v>ABASTECIMIENTO DEL PACIFICO S.A.</v>
      </c>
      <c r="F27" s="97" t="s">
        <v>96</v>
      </c>
      <c r="G27" s="97" t="s">
        <v>99</v>
      </c>
      <c r="H27">
        <f>+Industrial!E28</f>
        <v>477.42499999999995</v>
      </c>
      <c r="I27" s="103">
        <f>+Industrial!F28</f>
        <v>0</v>
      </c>
      <c r="J27" s="103">
        <f>+Industrial!G28</f>
        <v>477.42499999999995</v>
      </c>
      <c r="K27" s="103">
        <f>+Industrial!H28</f>
        <v>0</v>
      </c>
      <c r="L27" s="103">
        <f>+Industrial!I28</f>
        <v>477.42499999999995</v>
      </c>
      <c r="M27" s="27">
        <f>+Industrial!J28</f>
        <v>0</v>
      </c>
      <c r="N27" s="142" t="s">
        <v>76</v>
      </c>
      <c r="O27" s="94">
        <f>+Resumen!C$4</f>
        <v>43915</v>
      </c>
      <c r="P27" s="103">
        <v>2020</v>
      </c>
    </row>
    <row r="28" spans="1:16">
      <c r="A28" s="97" t="s">
        <v>93</v>
      </c>
      <c r="B28" s="97" t="s">
        <v>93</v>
      </c>
      <c r="C28" s="97" t="s">
        <v>101</v>
      </c>
      <c r="D28" s="97" t="s">
        <v>95</v>
      </c>
      <c r="E28" s="97" t="str">
        <f>+Industrial!C29</f>
        <v>ALIMENTOS DEL SUR SPA.</v>
      </c>
      <c r="F28" s="97" t="s">
        <v>96</v>
      </c>
      <c r="G28" s="97" t="s">
        <v>99</v>
      </c>
      <c r="H28" s="103">
        <f>+Industrial!E29</f>
        <v>0</v>
      </c>
      <c r="I28" s="103">
        <f>+Industrial!F29</f>
        <v>0</v>
      </c>
      <c r="J28" s="103">
        <f>+Industrial!G29</f>
        <v>0</v>
      </c>
      <c r="K28" s="103">
        <f>+Industrial!H29</f>
        <v>0</v>
      </c>
      <c r="L28" s="103">
        <f>+Industrial!I29</f>
        <v>0</v>
      </c>
      <c r="M28" s="27">
        <f>+Industrial!J29</f>
        <v>0</v>
      </c>
      <c r="N28" s="142" t="s">
        <v>76</v>
      </c>
      <c r="O28" s="94">
        <f>+Resumen!C$4</f>
        <v>43915</v>
      </c>
      <c r="P28" s="103">
        <v>2020</v>
      </c>
    </row>
    <row r="29" spans="1:16">
      <c r="A29" s="97" t="s">
        <v>93</v>
      </c>
      <c r="B29" s="97" t="s">
        <v>93</v>
      </c>
      <c r="C29" s="97" t="s">
        <v>101</v>
      </c>
      <c r="D29" s="97" t="s">
        <v>95</v>
      </c>
      <c r="E29" s="97" t="str">
        <f>+Industrial!C30</f>
        <v xml:space="preserve">ALIMENTOS MARINOS S.A.         </v>
      </c>
      <c r="F29" s="97" t="s">
        <v>96</v>
      </c>
      <c r="G29" s="97" t="s">
        <v>99</v>
      </c>
      <c r="H29" s="103">
        <f>+Industrial!E30</f>
        <v>2546.1370000000002</v>
      </c>
      <c r="I29" s="103">
        <f>+Industrial!F30</f>
        <v>0</v>
      </c>
      <c r="J29" s="103">
        <f>+Industrial!G30</f>
        <v>2546.1370000000002</v>
      </c>
      <c r="K29" s="103">
        <f>+Industrial!H30</f>
        <v>0</v>
      </c>
      <c r="L29" s="103">
        <f>+Industrial!I30</f>
        <v>2546.1370000000002</v>
      </c>
      <c r="M29" s="27">
        <f>+Industrial!J30</f>
        <v>0</v>
      </c>
      <c r="N29" s="142" t="s">
        <v>76</v>
      </c>
      <c r="O29" s="94">
        <f>+Resumen!C$4</f>
        <v>43915</v>
      </c>
      <c r="P29" s="103">
        <v>2020</v>
      </c>
    </row>
    <row r="30" spans="1:16">
      <c r="A30" s="97" t="s">
        <v>93</v>
      </c>
      <c r="B30" s="97" t="s">
        <v>93</v>
      </c>
      <c r="C30" s="97" t="s">
        <v>101</v>
      </c>
      <c r="D30" s="97" t="s">
        <v>95</v>
      </c>
      <c r="E30" s="97" t="str">
        <f>+Industrial!C31</f>
        <v>ATILIO REYES BARRERA</v>
      </c>
      <c r="F30" s="97" t="s">
        <v>96</v>
      </c>
      <c r="G30" s="97" t="s">
        <v>99</v>
      </c>
      <c r="H30" s="103">
        <f>+Industrial!E31</f>
        <v>341.01900000000001</v>
      </c>
      <c r="I30" s="103">
        <f>+Industrial!F31</f>
        <v>0</v>
      </c>
      <c r="J30" s="103">
        <f>+Industrial!G31</f>
        <v>341.01900000000001</v>
      </c>
      <c r="K30" s="103">
        <f>+Industrial!H31</f>
        <v>0</v>
      </c>
      <c r="L30" s="103">
        <f>+Industrial!I31</f>
        <v>341.01900000000001</v>
      </c>
      <c r="M30" s="27">
        <f>+Industrial!J31</f>
        <v>0</v>
      </c>
      <c r="N30" s="142" t="s">
        <v>76</v>
      </c>
      <c r="O30" s="94">
        <f>+Resumen!C$4</f>
        <v>43915</v>
      </c>
      <c r="P30" s="103">
        <v>2020</v>
      </c>
    </row>
    <row r="31" spans="1:16">
      <c r="A31" s="97" t="s">
        <v>93</v>
      </c>
      <c r="B31" s="97" t="s">
        <v>93</v>
      </c>
      <c r="C31" s="97" t="s">
        <v>101</v>
      </c>
      <c r="D31" s="97" t="s">
        <v>95</v>
      </c>
      <c r="E31" s="97" t="str">
        <f>+Industrial!C32</f>
        <v xml:space="preserve">BAHIA CALDERA S.A. PESQ.          </v>
      </c>
      <c r="F31" s="97" t="s">
        <v>96</v>
      </c>
      <c r="G31" s="97" t="s">
        <v>99</v>
      </c>
      <c r="H31" s="103">
        <f>+Industrial!E32</f>
        <v>19891.693999999985</v>
      </c>
      <c r="I31" s="103">
        <f>+Industrial!F32</f>
        <v>0</v>
      </c>
      <c r="J31" s="103">
        <f>+Industrial!G32</f>
        <v>19891.693999999985</v>
      </c>
      <c r="K31" s="103">
        <f>+Industrial!H32</f>
        <v>0</v>
      </c>
      <c r="L31" s="103">
        <f>+Industrial!I32</f>
        <v>19891.693999999985</v>
      </c>
      <c r="M31" s="27">
        <f>+Industrial!J32</f>
        <v>0</v>
      </c>
      <c r="N31" s="142" t="s">
        <v>76</v>
      </c>
      <c r="O31" s="94">
        <f>+Resumen!C$4</f>
        <v>43915</v>
      </c>
      <c r="P31" s="103">
        <v>2020</v>
      </c>
    </row>
    <row r="32" spans="1:16">
      <c r="A32" s="97" t="s">
        <v>93</v>
      </c>
      <c r="B32" s="97" t="s">
        <v>93</v>
      </c>
      <c r="C32" s="97" t="s">
        <v>101</v>
      </c>
      <c r="D32" s="97" t="s">
        <v>95</v>
      </c>
      <c r="E32" s="97" t="str">
        <f>+Industrial!C33</f>
        <v xml:space="preserve">BLUMAR S.A.                                              </v>
      </c>
      <c r="F32" s="97" t="s">
        <v>96</v>
      </c>
      <c r="G32" s="97" t="s">
        <v>99</v>
      </c>
      <c r="H32" s="103">
        <f>+Industrial!E33</f>
        <v>146.874</v>
      </c>
      <c r="I32" s="103">
        <f>+Industrial!F33</f>
        <v>0</v>
      </c>
      <c r="J32" s="103">
        <f>+Industrial!G33</f>
        <v>146.874</v>
      </c>
      <c r="K32" s="103">
        <f>+Industrial!H33</f>
        <v>0</v>
      </c>
      <c r="L32" s="103">
        <f>+Industrial!I33</f>
        <v>146.874</v>
      </c>
      <c r="M32" s="27">
        <f>+Industrial!J33</f>
        <v>0</v>
      </c>
      <c r="N32" s="142" t="s">
        <v>76</v>
      </c>
      <c r="O32" s="94">
        <f>+Resumen!C$4</f>
        <v>43915</v>
      </c>
      <c r="P32" s="103">
        <v>2020</v>
      </c>
    </row>
    <row r="33" spans="1:16">
      <c r="A33" s="97" t="s">
        <v>93</v>
      </c>
      <c r="B33" s="97" t="s">
        <v>93</v>
      </c>
      <c r="C33" s="97" t="s">
        <v>101</v>
      </c>
      <c r="D33" s="97" t="s">
        <v>95</v>
      </c>
      <c r="E33" s="97" t="str">
        <f>+Industrial!C34</f>
        <v xml:space="preserve">CAMANCHACA PESCA SUR S.A.  </v>
      </c>
      <c r="F33" s="97" t="s">
        <v>96</v>
      </c>
      <c r="G33" s="97" t="s">
        <v>99</v>
      </c>
      <c r="H33" s="103">
        <f>+Industrial!E34</f>
        <v>1230.6920000000002</v>
      </c>
      <c r="I33" s="103">
        <f>+Industrial!F34</f>
        <v>0</v>
      </c>
      <c r="J33" s="103">
        <f>+Industrial!G34</f>
        <v>1230.6920000000002</v>
      </c>
      <c r="K33" s="103">
        <f>+Industrial!H34</f>
        <v>0</v>
      </c>
      <c r="L33" s="103">
        <f>+Industrial!I34</f>
        <v>1230.6920000000002</v>
      </c>
      <c r="M33" s="27">
        <f>+Industrial!J34</f>
        <v>0</v>
      </c>
      <c r="N33" s="142" t="s">
        <v>76</v>
      </c>
      <c r="O33" s="94">
        <f>+Resumen!C$4</f>
        <v>43915</v>
      </c>
      <c r="P33" s="103">
        <v>2020</v>
      </c>
    </row>
    <row r="34" spans="1:16">
      <c r="A34" s="97" t="s">
        <v>93</v>
      </c>
      <c r="B34" s="97" t="s">
        <v>93</v>
      </c>
      <c r="C34" s="97" t="s">
        <v>101</v>
      </c>
      <c r="D34" s="97" t="s">
        <v>95</v>
      </c>
      <c r="E34" s="97" t="str">
        <f>+Industrial!C35</f>
        <v xml:space="preserve">CAMANCHACA S.A. CIA. PESQ    </v>
      </c>
      <c r="F34" s="97" t="s">
        <v>96</v>
      </c>
      <c r="G34" s="97" t="s">
        <v>99</v>
      </c>
      <c r="H34" s="103">
        <f>+Industrial!E35</f>
        <v>35.17</v>
      </c>
      <c r="I34" s="103">
        <f>+Industrial!F35</f>
        <v>0</v>
      </c>
      <c r="J34" s="103">
        <f>+Industrial!G35</f>
        <v>35.17</v>
      </c>
      <c r="K34" s="103">
        <f>+Industrial!H35</f>
        <v>0</v>
      </c>
      <c r="L34" s="103">
        <f>+Industrial!I35</f>
        <v>35.17</v>
      </c>
      <c r="M34" s="27">
        <f>+Industrial!J35</f>
        <v>0</v>
      </c>
      <c r="N34" s="142" t="s">
        <v>76</v>
      </c>
      <c r="O34" s="94">
        <f>+Resumen!C$4</f>
        <v>43915</v>
      </c>
      <c r="P34" s="103">
        <v>2020</v>
      </c>
    </row>
    <row r="35" spans="1:16">
      <c r="A35" s="97" t="s">
        <v>93</v>
      </c>
      <c r="B35" s="97" t="s">
        <v>93</v>
      </c>
      <c r="C35" s="97" t="s">
        <v>101</v>
      </c>
      <c r="D35" s="97" t="s">
        <v>95</v>
      </c>
      <c r="E35" s="97" t="str">
        <f>+Industrial!C36</f>
        <v xml:space="preserve">CARLOS SAEZ ALARCON </v>
      </c>
      <c r="F35" s="97" t="s">
        <v>96</v>
      </c>
      <c r="G35" s="97" t="s">
        <v>99</v>
      </c>
      <c r="H35" s="103">
        <f>+Industrial!E36</f>
        <v>0</v>
      </c>
      <c r="I35" s="103">
        <f>+Industrial!F36</f>
        <v>0</v>
      </c>
      <c r="J35" s="103">
        <f>+Industrial!G36</f>
        <v>0</v>
      </c>
      <c r="K35" s="103">
        <f>+Industrial!H36</f>
        <v>0</v>
      </c>
      <c r="L35" s="103">
        <f>+Industrial!I36</f>
        <v>0</v>
      </c>
      <c r="M35" s="27" t="e">
        <f>+Industrial!J36</f>
        <v>#DIV/0!</v>
      </c>
      <c r="N35" s="142" t="s">
        <v>76</v>
      </c>
      <c r="O35" s="94">
        <f>+Resumen!C$4</f>
        <v>43915</v>
      </c>
      <c r="P35" s="103">
        <v>2020</v>
      </c>
    </row>
    <row r="36" spans="1:16">
      <c r="A36" s="97" t="s">
        <v>93</v>
      </c>
      <c r="B36" s="97" t="s">
        <v>93</v>
      </c>
      <c r="C36" s="97" t="s">
        <v>101</v>
      </c>
      <c r="D36" s="97" t="s">
        <v>95</v>
      </c>
      <c r="E36" s="97" t="str">
        <f>+Industrial!C37</f>
        <v>ERIC ARACENA REYNUABA</v>
      </c>
      <c r="F36" s="97" t="s">
        <v>96</v>
      </c>
      <c r="G36" s="97" t="s">
        <v>99</v>
      </c>
      <c r="H36" s="103">
        <f>+Industrial!E37</f>
        <v>181.876</v>
      </c>
      <c r="I36" s="103">
        <f>+Industrial!F37</f>
        <v>0</v>
      </c>
      <c r="J36" s="103">
        <f>+Industrial!G37</f>
        <v>181.876</v>
      </c>
      <c r="K36" s="103">
        <f>+Industrial!H37</f>
        <v>0</v>
      </c>
      <c r="L36" s="103">
        <f>+Industrial!I37</f>
        <v>181.876</v>
      </c>
      <c r="M36" s="27">
        <f>+Industrial!J37</f>
        <v>0</v>
      </c>
      <c r="N36" s="142" t="s">
        <v>76</v>
      </c>
      <c r="O36" s="94">
        <f>+Resumen!C$4</f>
        <v>43915</v>
      </c>
      <c r="P36" s="103">
        <v>2020</v>
      </c>
    </row>
    <row r="37" spans="1:16">
      <c r="A37" s="97" t="s">
        <v>93</v>
      </c>
      <c r="B37" s="97" t="s">
        <v>93</v>
      </c>
      <c r="C37" s="97" t="s">
        <v>101</v>
      </c>
      <c r="D37" s="97" t="s">
        <v>95</v>
      </c>
      <c r="E37" s="97" t="str">
        <f>+Industrial!C38</f>
        <v>FOODCORP CHILE S.A.</v>
      </c>
      <c r="F37" s="97" t="s">
        <v>96</v>
      </c>
      <c r="G37" s="97" t="s">
        <v>99</v>
      </c>
      <c r="H37" s="103">
        <f>+Industrial!E38</f>
        <v>113.673</v>
      </c>
      <c r="I37" s="103">
        <f>+Industrial!F38</f>
        <v>0</v>
      </c>
      <c r="J37" s="103">
        <f>+Industrial!G38</f>
        <v>113.673</v>
      </c>
      <c r="K37" s="103">
        <f>+Industrial!H38</f>
        <v>0</v>
      </c>
      <c r="L37" s="103">
        <f>+Industrial!I38</f>
        <v>113.673</v>
      </c>
      <c r="M37" s="27">
        <f>+Industrial!J38</f>
        <v>0</v>
      </c>
      <c r="N37" s="142" t="s">
        <v>76</v>
      </c>
      <c r="O37" s="94">
        <f>+Resumen!C$4</f>
        <v>43915</v>
      </c>
      <c r="P37" s="103">
        <v>2020</v>
      </c>
    </row>
    <row r="38" spans="1:16">
      <c r="A38" s="97" t="s">
        <v>93</v>
      </c>
      <c r="B38" s="97" t="s">
        <v>93</v>
      </c>
      <c r="C38" s="97" t="s">
        <v>101</v>
      </c>
      <c r="D38" s="97" t="s">
        <v>95</v>
      </c>
      <c r="E38" s="97" t="str">
        <f>+Industrial!C39</f>
        <v>GIULLIANO REYNUABA SALAS</v>
      </c>
      <c r="F38" s="97" t="s">
        <v>96</v>
      </c>
      <c r="G38" s="97" t="s">
        <v>99</v>
      </c>
      <c r="H38" s="103">
        <f>+Industrial!E39</f>
        <v>181.876</v>
      </c>
      <c r="I38" s="103">
        <f>+Industrial!F39</f>
        <v>0</v>
      </c>
      <c r="J38" s="103">
        <f>+Industrial!G39</f>
        <v>181.876</v>
      </c>
      <c r="K38" s="103">
        <f>+Industrial!H39</f>
        <v>0</v>
      </c>
      <c r="L38" s="103">
        <f>+Industrial!I39</f>
        <v>181.876</v>
      </c>
      <c r="M38" s="27">
        <f>+Industrial!J39</f>
        <v>0</v>
      </c>
      <c r="N38" s="142" t="s">
        <v>76</v>
      </c>
      <c r="O38" s="94">
        <f>+Resumen!C$4</f>
        <v>43915</v>
      </c>
      <c r="P38" s="103">
        <v>2020</v>
      </c>
    </row>
    <row r="39" spans="1:16">
      <c r="A39" s="97" t="s">
        <v>93</v>
      </c>
      <c r="B39" s="97" t="s">
        <v>93</v>
      </c>
      <c r="C39" s="97" t="s">
        <v>101</v>
      </c>
      <c r="D39" s="97" t="s">
        <v>95</v>
      </c>
      <c r="E39" s="97" t="str">
        <f>+Industrial!C40</f>
        <v xml:space="preserve">LANDES S.A. SOC. PESQ.                           </v>
      </c>
      <c r="F39" s="97" t="s">
        <v>96</v>
      </c>
      <c r="G39" s="97" t="s">
        <v>99</v>
      </c>
      <c r="H39" s="103">
        <f>+Industrial!E40</f>
        <v>4.2469999999999999</v>
      </c>
      <c r="I39" s="103">
        <f>+Industrial!F40</f>
        <v>0</v>
      </c>
      <c r="J39" s="103">
        <f>+Industrial!G40</f>
        <v>4.2469999999999999</v>
      </c>
      <c r="K39" s="103">
        <f>+Industrial!H40</f>
        <v>0</v>
      </c>
      <c r="L39" s="103">
        <f>+Industrial!I40</f>
        <v>4.2469999999999999</v>
      </c>
      <c r="M39" s="27">
        <f>+Industrial!J40</f>
        <v>0</v>
      </c>
      <c r="N39" s="142" t="s">
        <v>76</v>
      </c>
      <c r="O39" s="94">
        <f>+Resumen!C$4</f>
        <v>43915</v>
      </c>
      <c r="P39" s="103">
        <v>2020</v>
      </c>
    </row>
    <row r="40" spans="1:16">
      <c r="A40" s="97" t="s">
        <v>93</v>
      </c>
      <c r="B40" s="97" t="s">
        <v>93</v>
      </c>
      <c r="C40" s="97" t="s">
        <v>101</v>
      </c>
      <c r="D40" s="97" t="s">
        <v>95</v>
      </c>
      <c r="E40" s="97" t="str">
        <f>+Industrial!C41</f>
        <v xml:space="preserve">ORIZON S.A                                                   </v>
      </c>
      <c r="F40" s="97" t="s">
        <v>96</v>
      </c>
      <c r="G40" s="97" t="s">
        <v>99</v>
      </c>
      <c r="H40" s="103">
        <f>+Industrial!E41</f>
        <v>18626.330999999995</v>
      </c>
      <c r="I40" s="103">
        <f>+Industrial!F41</f>
        <v>0</v>
      </c>
      <c r="J40" s="103">
        <f>+Industrial!G41</f>
        <v>18626.330999999995</v>
      </c>
      <c r="K40" s="103">
        <f>+Industrial!H41</f>
        <v>0</v>
      </c>
      <c r="L40" s="103">
        <f>+Industrial!I41</f>
        <v>18626.330999999995</v>
      </c>
      <c r="M40" s="27">
        <f>+Industrial!J41</f>
        <v>0</v>
      </c>
      <c r="N40" s="142" t="s">
        <v>76</v>
      </c>
      <c r="O40" s="94">
        <f>+Resumen!C$4</f>
        <v>43915</v>
      </c>
      <c r="P40" s="103">
        <v>2020</v>
      </c>
    </row>
    <row r="41" spans="1:16">
      <c r="A41" s="97" t="s">
        <v>93</v>
      </c>
      <c r="B41" s="97" t="s">
        <v>93</v>
      </c>
      <c r="C41" s="97" t="s">
        <v>101</v>
      </c>
      <c r="D41" s="97" t="s">
        <v>95</v>
      </c>
      <c r="E41" s="97" t="str">
        <f>+Industrial!C42</f>
        <v>PEDRO IRIGOYEN LTOA. INV</v>
      </c>
      <c r="F41" s="97" t="s">
        <v>96</v>
      </c>
      <c r="G41" s="97" t="s">
        <v>99</v>
      </c>
      <c r="H41" s="103">
        <f>+Industrial!E42</f>
        <v>0</v>
      </c>
      <c r="I41" s="103">
        <f>+Industrial!F42</f>
        <v>0</v>
      </c>
      <c r="J41" s="103">
        <f>+Industrial!G42</f>
        <v>0</v>
      </c>
      <c r="K41" s="103">
        <f>+Industrial!H42</f>
        <v>0</v>
      </c>
      <c r="L41" s="103">
        <f>+Industrial!I42</f>
        <v>0</v>
      </c>
      <c r="M41" s="27">
        <f>+Industrial!J42</f>
        <v>0</v>
      </c>
      <c r="N41" s="142" t="s">
        <v>76</v>
      </c>
      <c r="O41" s="94">
        <f>+Resumen!C$4</f>
        <v>43915</v>
      </c>
      <c r="P41" s="103">
        <v>2020</v>
      </c>
    </row>
    <row r="42" spans="1:16">
      <c r="A42" s="97" t="s">
        <v>93</v>
      </c>
      <c r="B42" s="97" t="s">
        <v>93</v>
      </c>
      <c r="C42" s="97" t="s">
        <v>101</v>
      </c>
      <c r="D42" s="97" t="s">
        <v>95</v>
      </c>
      <c r="E42" s="97" t="str">
        <f>+Industrial!C43</f>
        <v>PESQUERA LITORAL SpA</v>
      </c>
      <c r="F42" s="97" t="s">
        <v>96</v>
      </c>
      <c r="G42" s="97" t="s">
        <v>99</v>
      </c>
      <c r="H42" s="103">
        <f>+Industrial!E43</f>
        <v>441.59</v>
      </c>
      <c r="I42" s="103">
        <f>+Industrial!F43</f>
        <v>0</v>
      </c>
      <c r="J42" s="103">
        <f>+Industrial!G43</f>
        <v>441.59</v>
      </c>
      <c r="K42" s="103">
        <f>+Industrial!H43</f>
        <v>0</v>
      </c>
      <c r="L42" s="103">
        <f>+Industrial!I43</f>
        <v>441.59</v>
      </c>
      <c r="M42" s="27">
        <f>+Industrial!J43</f>
        <v>0</v>
      </c>
      <c r="N42" s="142" t="s">
        <v>76</v>
      </c>
      <c r="O42" s="94">
        <f>+Resumen!C$4</f>
        <v>43915</v>
      </c>
      <c r="P42" s="103">
        <v>2020</v>
      </c>
    </row>
    <row r="43" spans="1:16" s="103" customFormat="1">
      <c r="A43" s="103" t="s">
        <v>93</v>
      </c>
      <c r="B43" s="103" t="s">
        <v>93</v>
      </c>
      <c r="C43" s="103" t="s">
        <v>101</v>
      </c>
      <c r="D43" s="103" t="s">
        <v>95</v>
      </c>
      <c r="E43" s="103" t="s">
        <v>134</v>
      </c>
      <c r="F43" s="103" t="s">
        <v>96</v>
      </c>
      <c r="G43" s="103" t="s">
        <v>99</v>
      </c>
      <c r="H43" s="103">
        <f>+Industrial!E44</f>
        <v>522.89499999999998</v>
      </c>
      <c r="I43" s="103">
        <f>+Industrial!F44</f>
        <v>0</v>
      </c>
      <c r="J43" s="103">
        <f>+Industrial!G44</f>
        <v>522.89499999999998</v>
      </c>
      <c r="K43" s="103">
        <f>+Industrial!H44</f>
        <v>0</v>
      </c>
      <c r="L43" s="103">
        <f>+Industrial!I44</f>
        <v>522.89499999999998</v>
      </c>
      <c r="M43" s="27">
        <f>+Industrial!J44</f>
        <v>0</v>
      </c>
      <c r="N43" s="142" t="s">
        <v>76</v>
      </c>
      <c r="O43" s="94">
        <f>+Resumen!C$4</f>
        <v>43915</v>
      </c>
      <c r="P43" s="103">
        <v>2020</v>
      </c>
    </row>
    <row r="44" spans="1:16">
      <c r="A44" s="97" t="s">
        <v>93</v>
      </c>
      <c r="B44" s="97" t="s">
        <v>93</v>
      </c>
      <c r="C44" s="97" t="s">
        <v>101</v>
      </c>
      <c r="D44" s="97" t="s">
        <v>95</v>
      </c>
      <c r="E44" s="97" t="str">
        <f>+Industrial!C45</f>
        <v>SOCIEDAD COMERCIAL DE SERVICIOS Y TRANSPORTES STA LIMITADA</v>
      </c>
      <c r="F44" s="97" t="s">
        <v>96</v>
      </c>
      <c r="G44" s="97" t="s">
        <v>99</v>
      </c>
      <c r="H44" s="103">
        <f>+Industrial!E45</f>
        <v>0</v>
      </c>
      <c r="I44" s="103">
        <f>+Industrial!F45</f>
        <v>0</v>
      </c>
      <c r="J44" s="103">
        <f>+Industrial!G45</f>
        <v>0</v>
      </c>
      <c r="K44" s="103">
        <f>+Industrial!H45</f>
        <v>0</v>
      </c>
      <c r="L44" s="103">
        <f>+Industrial!I45</f>
        <v>0</v>
      </c>
      <c r="M44" s="27" t="e">
        <f>+Industrial!J45</f>
        <v>#DIV/0!</v>
      </c>
      <c r="N44" s="142" t="s">
        <v>76</v>
      </c>
      <c r="O44" s="94">
        <f>+Resumen!C$4</f>
        <v>43915</v>
      </c>
      <c r="P44" s="103">
        <v>2020</v>
      </c>
    </row>
    <row r="45" spans="1:16">
      <c r="A45" s="97" t="s">
        <v>93</v>
      </c>
      <c r="B45" s="97" t="s">
        <v>93</v>
      </c>
      <c r="C45" s="97" t="s">
        <v>101</v>
      </c>
      <c r="D45" s="97" t="s">
        <v>95</v>
      </c>
      <c r="E45" s="97" t="s">
        <v>102</v>
      </c>
      <c r="F45" s="97" t="s">
        <v>96</v>
      </c>
      <c r="G45" s="97" t="s">
        <v>99</v>
      </c>
      <c r="H45">
        <f>+Industrial!K46</f>
        <v>44741.498999999974</v>
      </c>
      <c r="I45" s="103">
        <f>+Industrial!L46</f>
        <v>0</v>
      </c>
      <c r="J45" s="103">
        <f>+Industrial!M46</f>
        <v>44741.498999999974</v>
      </c>
      <c r="K45" s="103">
        <f>+Industrial!N46</f>
        <v>0</v>
      </c>
      <c r="L45" s="103">
        <f>+Industrial!O46</f>
        <v>44741.498999999974</v>
      </c>
      <c r="M45" s="27">
        <f>+Industrial!P46</f>
        <v>0</v>
      </c>
      <c r="N45" s="142" t="s">
        <v>76</v>
      </c>
      <c r="O45" s="94">
        <f>+Resumen!C$4</f>
        <v>43915</v>
      </c>
      <c r="P45" s="103">
        <v>2020</v>
      </c>
    </row>
    <row r="46" spans="1:16">
      <c r="A46" s="97" t="s">
        <v>103</v>
      </c>
      <c r="B46" s="97" t="s">
        <v>103</v>
      </c>
      <c r="C46" s="97" t="s">
        <v>94</v>
      </c>
      <c r="D46" s="97" t="s">
        <v>95</v>
      </c>
      <c r="E46" t="str">
        <f>+Industrial!C47</f>
        <v xml:space="preserve">ARICA SEAFOOD PRODUCER S.A.  </v>
      </c>
      <c r="F46" s="97" t="s">
        <v>96</v>
      </c>
      <c r="G46" s="97" t="s">
        <v>97</v>
      </c>
      <c r="H46">
        <f>+Industrial!E47</f>
        <v>3.661</v>
      </c>
      <c r="I46" s="103">
        <f>+Industrial!F47</f>
        <v>0</v>
      </c>
      <c r="J46" s="103">
        <f>+Industrial!G47</f>
        <v>3.661</v>
      </c>
      <c r="K46" s="103">
        <f>+Industrial!H47</f>
        <v>0</v>
      </c>
      <c r="L46" s="103">
        <f>+Industrial!I47</f>
        <v>3.661</v>
      </c>
      <c r="M46" s="27">
        <f>+Industrial!J47</f>
        <v>0</v>
      </c>
      <c r="N46" s="142" t="s">
        <v>76</v>
      </c>
      <c r="O46" s="94">
        <f>+Resumen!C$4</f>
        <v>43915</v>
      </c>
      <c r="P46" s="103">
        <v>2020</v>
      </c>
    </row>
    <row r="47" spans="1:16">
      <c r="A47" s="97" t="s">
        <v>103</v>
      </c>
      <c r="B47" s="97" t="s">
        <v>103</v>
      </c>
      <c r="C47" s="97" t="s">
        <v>94</v>
      </c>
      <c r="D47" s="97" t="s">
        <v>95</v>
      </c>
      <c r="E47" t="str">
        <f>+Industrial!C47</f>
        <v xml:space="preserve">ARICA SEAFOOD PRODUCER S.A.  </v>
      </c>
      <c r="F47" s="97" t="s">
        <v>98</v>
      </c>
      <c r="G47" s="97" t="s">
        <v>99</v>
      </c>
      <c r="H47" s="103">
        <f>+Industrial!E48</f>
        <v>1.2190000000000001</v>
      </c>
      <c r="I47" s="103">
        <f>+Industrial!F48</f>
        <v>0</v>
      </c>
      <c r="J47" s="103">
        <f>+Industrial!G48</f>
        <v>4.88</v>
      </c>
      <c r="K47" s="103">
        <f>+Industrial!H48</f>
        <v>0</v>
      </c>
      <c r="L47" s="103">
        <f>+Industrial!I48</f>
        <v>4.88</v>
      </c>
      <c r="M47" s="27">
        <f>+Industrial!J48</f>
        <v>0</v>
      </c>
      <c r="N47" s="142" t="s">
        <v>76</v>
      </c>
      <c r="O47" s="94">
        <f>+Resumen!C$4</f>
        <v>43915</v>
      </c>
      <c r="P47" s="103">
        <v>2020</v>
      </c>
    </row>
    <row r="48" spans="1:16">
      <c r="A48" s="97" t="s">
        <v>103</v>
      </c>
      <c r="B48" s="97" t="s">
        <v>103</v>
      </c>
      <c r="C48" s="97" t="s">
        <v>94</v>
      </c>
      <c r="D48" s="97" t="s">
        <v>95</v>
      </c>
      <c r="E48" t="str">
        <f>+Industrial!C47</f>
        <v xml:space="preserve">ARICA SEAFOOD PRODUCER S.A.  </v>
      </c>
      <c r="F48" s="97" t="s">
        <v>96</v>
      </c>
      <c r="G48" s="97" t="s">
        <v>99</v>
      </c>
      <c r="H48">
        <f>+Industrial!K47</f>
        <v>4.88</v>
      </c>
      <c r="I48" s="103">
        <f>+Industrial!L47</f>
        <v>0</v>
      </c>
      <c r="J48" s="103">
        <f>+Industrial!M47</f>
        <v>4.88</v>
      </c>
      <c r="K48" s="103">
        <f>+Industrial!N47</f>
        <v>0</v>
      </c>
      <c r="L48" s="103">
        <f>+Industrial!O47</f>
        <v>4.88</v>
      </c>
      <c r="M48" s="27">
        <f>+Industrial!P47</f>
        <v>0</v>
      </c>
      <c r="N48" s="142" t="s">
        <v>76</v>
      </c>
      <c r="O48" s="94">
        <f>+Resumen!C$4</f>
        <v>43915</v>
      </c>
      <c r="P48" s="103">
        <v>2020</v>
      </c>
    </row>
    <row r="49" spans="1:16">
      <c r="A49" s="97" t="s">
        <v>103</v>
      </c>
      <c r="B49" s="97" t="s">
        <v>103</v>
      </c>
      <c r="C49" s="97" t="s">
        <v>94</v>
      </c>
      <c r="D49" s="97" t="s">
        <v>95</v>
      </c>
      <c r="E49" t="str">
        <f>+Industrial!C49</f>
        <v xml:space="preserve">CAMANCHACA S.A. CIA. PESQ      </v>
      </c>
      <c r="F49" s="97" t="s">
        <v>96</v>
      </c>
      <c r="G49" s="97" t="s">
        <v>97</v>
      </c>
      <c r="H49">
        <f>+Industrial!E49</f>
        <v>234.869</v>
      </c>
      <c r="I49" s="103">
        <f>+Industrial!F49</f>
        <v>0</v>
      </c>
      <c r="J49" s="103">
        <f>+Industrial!G49</f>
        <v>234.869</v>
      </c>
      <c r="K49" s="103">
        <f>+Industrial!H49</f>
        <v>0</v>
      </c>
      <c r="L49" s="103">
        <f>+Industrial!I49</f>
        <v>234.869</v>
      </c>
      <c r="M49" s="27">
        <f>+Industrial!J49</f>
        <v>0</v>
      </c>
      <c r="N49" s="142" t="s">
        <v>76</v>
      </c>
      <c r="O49" s="94">
        <f>+Resumen!C$4</f>
        <v>43915</v>
      </c>
      <c r="P49" s="103">
        <v>2020</v>
      </c>
    </row>
    <row r="50" spans="1:16">
      <c r="A50" s="97" t="s">
        <v>103</v>
      </c>
      <c r="B50" s="97" t="s">
        <v>103</v>
      </c>
      <c r="C50" s="97" t="s">
        <v>94</v>
      </c>
      <c r="D50" s="97" t="s">
        <v>95</v>
      </c>
      <c r="E50" t="str">
        <f>+Industrial!C49</f>
        <v xml:space="preserve">CAMANCHACA S.A. CIA. PESQ      </v>
      </c>
      <c r="F50" s="97" t="s">
        <v>98</v>
      </c>
      <c r="G50" s="97" t="s">
        <v>99</v>
      </c>
      <c r="H50" s="103">
        <f>+Industrial!E50</f>
        <v>78.218999999999994</v>
      </c>
      <c r="I50" s="103">
        <f>+Industrial!F50</f>
        <v>0</v>
      </c>
      <c r="J50" s="103">
        <f>+Industrial!G50</f>
        <v>313.08799999999997</v>
      </c>
      <c r="K50" s="103">
        <f>+Industrial!H50</f>
        <v>0</v>
      </c>
      <c r="L50" s="103">
        <f>+Industrial!I50</f>
        <v>313.08799999999997</v>
      </c>
      <c r="M50" s="27">
        <f>+Industrial!J50</f>
        <v>0</v>
      </c>
      <c r="N50" s="142" t="s">
        <v>76</v>
      </c>
      <c r="O50" s="94">
        <f>+Resumen!C$4</f>
        <v>43915</v>
      </c>
      <c r="P50" s="103">
        <v>2020</v>
      </c>
    </row>
    <row r="51" spans="1:16">
      <c r="A51" s="97" t="s">
        <v>103</v>
      </c>
      <c r="B51" s="97" t="s">
        <v>103</v>
      </c>
      <c r="C51" s="97" t="s">
        <v>94</v>
      </c>
      <c r="D51" s="97" t="s">
        <v>95</v>
      </c>
      <c r="E51" t="str">
        <f>+Industrial!C49</f>
        <v xml:space="preserve">CAMANCHACA S.A. CIA. PESQ      </v>
      </c>
      <c r="F51" s="97" t="s">
        <v>96</v>
      </c>
      <c r="G51" s="97" t="s">
        <v>99</v>
      </c>
      <c r="H51">
        <f>+Industrial!K49</f>
        <v>313.08799999999997</v>
      </c>
      <c r="I51" s="103">
        <f>+Industrial!L49</f>
        <v>0</v>
      </c>
      <c r="J51" s="103">
        <f>+Industrial!M49</f>
        <v>313.08799999999997</v>
      </c>
      <c r="K51" s="103">
        <f>+Industrial!N49</f>
        <v>0</v>
      </c>
      <c r="L51" s="103">
        <f>+Industrial!O49</f>
        <v>313.08799999999997</v>
      </c>
      <c r="M51" s="27">
        <f>+Industrial!P49</f>
        <v>0</v>
      </c>
      <c r="N51" s="142" t="s">
        <v>76</v>
      </c>
      <c r="O51" s="94">
        <f>+Resumen!C$4</f>
        <v>43915</v>
      </c>
      <c r="P51" s="103">
        <v>2020</v>
      </c>
    </row>
    <row r="52" spans="1:16">
      <c r="A52" s="97" t="s">
        <v>103</v>
      </c>
      <c r="B52" s="97" t="s">
        <v>103</v>
      </c>
      <c r="C52" s="97" t="s">
        <v>94</v>
      </c>
      <c r="D52" s="97" t="s">
        <v>95</v>
      </c>
      <c r="E52" t="str">
        <f>+Industrial!C51</f>
        <v xml:space="preserve">CORPESCA S.A.                             </v>
      </c>
      <c r="F52" s="97" t="s">
        <v>96</v>
      </c>
      <c r="G52" s="97" t="s">
        <v>97</v>
      </c>
      <c r="H52">
        <f>+Industrial!E51</f>
        <v>875.47</v>
      </c>
      <c r="I52" s="103">
        <f>+Industrial!F51</f>
        <v>0</v>
      </c>
      <c r="J52" s="103">
        <f>+Industrial!G51</f>
        <v>875.47</v>
      </c>
      <c r="K52" s="103">
        <f>+Industrial!H51</f>
        <v>262.29500000000002</v>
      </c>
      <c r="L52" s="103">
        <f>+Industrial!I51</f>
        <v>613.17499999999995</v>
      </c>
      <c r="M52" s="27">
        <f>+Industrial!J51</f>
        <v>0.29960478371617533</v>
      </c>
      <c r="N52" s="142" t="s">
        <v>76</v>
      </c>
      <c r="O52" s="94">
        <f>+Resumen!C$4</f>
        <v>43915</v>
      </c>
      <c r="P52" s="103">
        <v>2020</v>
      </c>
    </row>
    <row r="53" spans="1:16">
      <c r="A53" s="97" t="s">
        <v>103</v>
      </c>
      <c r="B53" s="97" t="s">
        <v>103</v>
      </c>
      <c r="C53" s="97" t="s">
        <v>94</v>
      </c>
      <c r="D53" s="97" t="s">
        <v>95</v>
      </c>
      <c r="E53" t="str">
        <f>+Industrial!C51</f>
        <v xml:space="preserve">CORPESCA S.A.                             </v>
      </c>
      <c r="F53" s="97" t="s">
        <v>98</v>
      </c>
      <c r="G53" s="97" t="s">
        <v>99</v>
      </c>
      <c r="H53" s="103">
        <f>+Industrial!E52</f>
        <v>291.56099999999998</v>
      </c>
      <c r="I53" s="103">
        <f>+Industrial!F52</f>
        <v>0</v>
      </c>
      <c r="J53" s="103">
        <f>+Industrial!G52</f>
        <v>904.73599999999988</v>
      </c>
      <c r="K53" s="103">
        <f>+Industrial!H52</f>
        <v>0</v>
      </c>
      <c r="L53" s="103">
        <f>+Industrial!I52</f>
        <v>904.73599999999988</v>
      </c>
      <c r="M53" s="27">
        <f>+Industrial!J52</f>
        <v>0</v>
      </c>
      <c r="N53" s="142" t="s">
        <v>76</v>
      </c>
      <c r="O53" s="94">
        <f>+Resumen!C$4</f>
        <v>43915</v>
      </c>
      <c r="P53" s="103">
        <v>2020</v>
      </c>
    </row>
    <row r="54" spans="1:16">
      <c r="A54" s="97" t="s">
        <v>103</v>
      </c>
      <c r="B54" s="97" t="s">
        <v>103</v>
      </c>
      <c r="C54" s="97" t="s">
        <v>94</v>
      </c>
      <c r="D54" s="97" t="s">
        <v>95</v>
      </c>
      <c r="E54" t="str">
        <f>+Industrial!C51</f>
        <v xml:space="preserve">CORPESCA S.A.                             </v>
      </c>
      <c r="F54" s="97" t="s">
        <v>96</v>
      </c>
      <c r="G54" s="97" t="s">
        <v>99</v>
      </c>
      <c r="H54">
        <f>+Industrial!K51</f>
        <v>1167.0309999999999</v>
      </c>
      <c r="I54" s="103">
        <f>+Industrial!L51</f>
        <v>0</v>
      </c>
      <c r="J54" s="103">
        <f>+Industrial!M51</f>
        <v>1167.0309999999999</v>
      </c>
      <c r="K54" s="103">
        <f>+Industrial!N51</f>
        <v>262.29500000000002</v>
      </c>
      <c r="L54" s="103">
        <f>+Industrial!O51</f>
        <v>904.73599999999988</v>
      </c>
      <c r="M54" s="27">
        <f>+Industrial!P51</f>
        <v>0.22475409822018441</v>
      </c>
      <c r="N54" s="142" t="s">
        <v>76</v>
      </c>
      <c r="O54" s="94">
        <f>+Resumen!C$4</f>
        <v>43915</v>
      </c>
      <c r="P54" s="103">
        <v>2020</v>
      </c>
    </row>
    <row r="55" spans="1:16">
      <c r="A55" s="97" t="s">
        <v>103</v>
      </c>
      <c r="B55" s="97" t="s">
        <v>103</v>
      </c>
      <c r="C55" s="97" t="s">
        <v>94</v>
      </c>
      <c r="D55" s="97" t="s">
        <v>95</v>
      </c>
      <c r="E55" s="97" t="s">
        <v>102</v>
      </c>
      <c r="F55" s="97" t="s">
        <v>96</v>
      </c>
      <c r="G55" s="97" t="s">
        <v>99</v>
      </c>
      <c r="H55">
        <f>+Industrial!K53</f>
        <v>1484.9989999999998</v>
      </c>
      <c r="I55" s="103">
        <f>+Industrial!L53</f>
        <v>0</v>
      </c>
      <c r="J55" s="103">
        <f>+Industrial!M53</f>
        <v>1484.9989999999998</v>
      </c>
      <c r="K55" s="103">
        <f>+Industrial!N53</f>
        <v>262.29500000000002</v>
      </c>
      <c r="L55" s="103">
        <f>+Industrial!O53</f>
        <v>1222.7039999999997</v>
      </c>
      <c r="M55" s="27">
        <f>+Industrial!P53</f>
        <v>0.1766297485722213</v>
      </c>
      <c r="N55" s="142" t="s">
        <v>76</v>
      </c>
      <c r="O55" s="94">
        <f>+Resumen!C$4</f>
        <v>43915</v>
      </c>
      <c r="P55" s="103">
        <v>2020</v>
      </c>
    </row>
    <row r="56" spans="1:16">
      <c r="A56" s="97" t="s">
        <v>103</v>
      </c>
      <c r="B56" s="97" t="s">
        <v>103</v>
      </c>
      <c r="C56" s="97" t="s">
        <v>101</v>
      </c>
      <c r="D56" s="97" t="s">
        <v>95</v>
      </c>
      <c r="E56" t="str">
        <f>+Industrial!C54</f>
        <v xml:space="preserve">ALIMENTOS MARINOS S.A.          </v>
      </c>
      <c r="F56" s="97" t="s">
        <v>96</v>
      </c>
      <c r="G56" s="97" t="s">
        <v>99</v>
      </c>
      <c r="H56">
        <f>+Industrial!E54</f>
        <v>119.553</v>
      </c>
      <c r="I56" s="103">
        <f>+Industrial!F54</f>
        <v>0</v>
      </c>
      <c r="J56" s="103">
        <f>+Industrial!G54</f>
        <v>119.553</v>
      </c>
      <c r="K56" s="103">
        <f>+Industrial!H54</f>
        <v>0</v>
      </c>
      <c r="L56" s="103">
        <f>+Industrial!I54</f>
        <v>119.553</v>
      </c>
      <c r="M56" s="27">
        <f>+Industrial!J54</f>
        <v>0</v>
      </c>
      <c r="N56" s="142" t="s">
        <v>76</v>
      </c>
      <c r="O56" s="94">
        <f>+Resumen!C$4</f>
        <v>43915</v>
      </c>
      <c r="P56" s="103">
        <v>2020</v>
      </c>
    </row>
    <row r="57" spans="1:16">
      <c r="A57" s="97" t="s">
        <v>103</v>
      </c>
      <c r="B57" s="97" t="s">
        <v>103</v>
      </c>
      <c r="C57" s="97" t="s">
        <v>101</v>
      </c>
      <c r="D57" s="97" t="s">
        <v>95</v>
      </c>
      <c r="E57" s="97" t="str">
        <f>+Industrial!C55</f>
        <v xml:space="preserve">BAHIA CALDERA S.A. PESQ.          </v>
      </c>
      <c r="F57" s="97" t="s">
        <v>96</v>
      </c>
      <c r="G57" s="97" t="s">
        <v>99</v>
      </c>
      <c r="H57" s="103">
        <f>+Industrial!E55</f>
        <v>520.51199999999994</v>
      </c>
      <c r="I57" s="103">
        <f>+Industrial!F55</f>
        <v>0</v>
      </c>
      <c r="J57" s="103">
        <f>+Industrial!G55</f>
        <v>520.51199999999994</v>
      </c>
      <c r="K57" s="103">
        <f>+Industrial!H55</f>
        <v>0</v>
      </c>
      <c r="L57" s="103">
        <f>+Industrial!I55</f>
        <v>520.51199999999994</v>
      </c>
      <c r="M57" s="27">
        <f>+Industrial!J55</f>
        <v>0</v>
      </c>
      <c r="N57" s="142" t="s">
        <v>76</v>
      </c>
      <c r="O57" s="94">
        <f>+Resumen!C$4</f>
        <v>43915</v>
      </c>
      <c r="P57" s="103">
        <v>2020</v>
      </c>
    </row>
    <row r="58" spans="1:16">
      <c r="A58" s="97" t="s">
        <v>103</v>
      </c>
      <c r="B58" s="97" t="s">
        <v>103</v>
      </c>
      <c r="C58" s="97" t="s">
        <v>101</v>
      </c>
      <c r="D58" s="97" t="s">
        <v>95</v>
      </c>
      <c r="E58" s="97" t="str">
        <f>+Industrial!C56</f>
        <v>FOODCORP CHILE S.A.</v>
      </c>
      <c r="F58" s="97" t="s">
        <v>96</v>
      </c>
      <c r="G58" s="97" t="s">
        <v>99</v>
      </c>
      <c r="H58" s="103">
        <f>+Industrial!E56</f>
        <v>8.7999999999999995E-2</v>
      </c>
      <c r="I58" s="103">
        <f>+Industrial!F56</f>
        <v>0</v>
      </c>
      <c r="J58" s="103">
        <f>+Industrial!G56</f>
        <v>8.7999999999999995E-2</v>
      </c>
      <c r="K58" s="103">
        <f>+Industrial!H56</f>
        <v>0</v>
      </c>
      <c r="L58" s="103">
        <f>+Industrial!I56</f>
        <v>8.7999999999999995E-2</v>
      </c>
      <c r="M58" s="27">
        <f>+Industrial!J56</f>
        <v>0</v>
      </c>
      <c r="N58" s="142" t="s">
        <v>76</v>
      </c>
      <c r="O58" s="94">
        <f>+Resumen!C$4</f>
        <v>43915</v>
      </c>
      <c r="P58" s="103">
        <v>2020</v>
      </c>
    </row>
    <row r="59" spans="1:16">
      <c r="A59" s="97" t="s">
        <v>103</v>
      </c>
      <c r="B59" s="97" t="s">
        <v>103</v>
      </c>
      <c r="C59" s="97" t="s">
        <v>101</v>
      </c>
      <c r="D59" s="97" t="s">
        <v>95</v>
      </c>
      <c r="E59" s="97" t="str">
        <f>+Industrial!C57</f>
        <v>BLUMAR S.A.</v>
      </c>
      <c r="F59" s="97" t="s">
        <v>96</v>
      </c>
      <c r="G59" s="97" t="s">
        <v>99</v>
      </c>
      <c r="H59" s="103">
        <f>+Industrial!E57</f>
        <v>3.3519999999999999</v>
      </c>
      <c r="I59" s="103">
        <f>+Industrial!F57</f>
        <v>0</v>
      </c>
      <c r="J59" s="103">
        <f>+Industrial!G57</f>
        <v>3.3519999999999999</v>
      </c>
      <c r="K59" s="103">
        <f>+Industrial!H57</f>
        <v>0</v>
      </c>
      <c r="L59" s="103">
        <f>+Industrial!I57</f>
        <v>3.3519999999999999</v>
      </c>
      <c r="M59" s="27">
        <f>+Industrial!J57</f>
        <v>0</v>
      </c>
      <c r="N59" s="142" t="s">
        <v>76</v>
      </c>
      <c r="O59" s="94">
        <f>+Resumen!C$4</f>
        <v>43915</v>
      </c>
      <c r="P59" s="103">
        <v>2020</v>
      </c>
    </row>
    <row r="60" spans="1:16">
      <c r="A60" s="97" t="s">
        <v>103</v>
      </c>
      <c r="B60" s="97" t="s">
        <v>103</v>
      </c>
      <c r="C60" s="97" t="s">
        <v>101</v>
      </c>
      <c r="D60" s="97" t="s">
        <v>95</v>
      </c>
      <c r="E60" s="97" t="str">
        <f>+Industrial!C58</f>
        <v>CAMANCHACA S.A. CIA. PESQ.</v>
      </c>
      <c r="F60" s="97" t="s">
        <v>96</v>
      </c>
      <c r="G60" s="97" t="s">
        <v>99</v>
      </c>
      <c r="H60" s="103">
        <f>+Industrial!E58</f>
        <v>3.7890000000000001</v>
      </c>
      <c r="I60" s="103">
        <f>+Industrial!F58</f>
        <v>0</v>
      </c>
      <c r="J60" s="103">
        <f>+Industrial!G58</f>
        <v>3.7890000000000001</v>
      </c>
      <c r="K60" s="103">
        <f>+Industrial!H58</f>
        <v>0</v>
      </c>
      <c r="L60" s="103">
        <f>+Industrial!I58</f>
        <v>3.7890000000000001</v>
      </c>
      <c r="M60" s="27">
        <f>+Industrial!J58</f>
        <v>0</v>
      </c>
      <c r="N60" s="142" t="s">
        <v>76</v>
      </c>
      <c r="O60" s="94">
        <f>+Resumen!C$4</f>
        <v>43915</v>
      </c>
      <c r="P60" s="103">
        <v>2020</v>
      </c>
    </row>
    <row r="61" spans="1:16">
      <c r="A61" s="97" t="s">
        <v>103</v>
      </c>
      <c r="B61" s="97" t="s">
        <v>103</v>
      </c>
      <c r="C61" s="97" t="s">
        <v>101</v>
      </c>
      <c r="D61" s="97" t="s">
        <v>95</v>
      </c>
      <c r="E61" s="97" t="str">
        <f>+Industrial!C59</f>
        <v>PESQUERA LITORAL SpA</v>
      </c>
      <c r="F61" s="97" t="s">
        <v>96</v>
      </c>
      <c r="G61" s="97" t="s">
        <v>99</v>
      </c>
      <c r="H61" s="103">
        <f>+Industrial!E59</f>
        <v>1.736</v>
      </c>
      <c r="I61" s="103">
        <f>+Industrial!F59</f>
        <v>0</v>
      </c>
      <c r="J61" s="103">
        <f>+Industrial!G59</f>
        <v>1.736</v>
      </c>
      <c r="K61" s="103">
        <f>+Industrial!H59</f>
        <v>0</v>
      </c>
      <c r="L61" s="103">
        <f>+Industrial!I59</f>
        <v>1.736</v>
      </c>
      <c r="M61" s="27">
        <f>+Industrial!J59</f>
        <v>0</v>
      </c>
      <c r="N61" s="142" t="s">
        <v>76</v>
      </c>
      <c r="O61" s="94">
        <f>+Resumen!C$4</f>
        <v>43915</v>
      </c>
      <c r="P61" s="103">
        <v>2020</v>
      </c>
    </row>
    <row r="62" spans="1:16">
      <c r="A62" s="97" t="s">
        <v>103</v>
      </c>
      <c r="B62" s="97" t="s">
        <v>103</v>
      </c>
      <c r="C62" s="97" t="s">
        <v>101</v>
      </c>
      <c r="D62" s="97" t="s">
        <v>95</v>
      </c>
      <c r="E62" s="97" t="str">
        <f>+Industrial!C60</f>
        <v>ORIZON S.A.</v>
      </c>
      <c r="F62" s="97" t="s">
        <v>96</v>
      </c>
      <c r="G62" s="97" t="s">
        <v>99</v>
      </c>
      <c r="H62" s="103">
        <f>+Industrial!E60</f>
        <v>223.434</v>
      </c>
      <c r="I62" s="103">
        <f>+Industrial!F60</f>
        <v>0</v>
      </c>
      <c r="J62" s="103">
        <f>+Industrial!G60</f>
        <v>223.434</v>
      </c>
      <c r="K62" s="103">
        <f>+Industrial!H60</f>
        <v>0</v>
      </c>
      <c r="L62" s="103">
        <f>+Industrial!I60</f>
        <v>223.434</v>
      </c>
      <c r="M62" s="27">
        <f>+Industrial!J60</f>
        <v>0</v>
      </c>
      <c r="N62" s="142" t="s">
        <v>76</v>
      </c>
      <c r="O62" s="94">
        <f>+Resumen!C$4</f>
        <v>43915</v>
      </c>
      <c r="P62" s="103">
        <v>2020</v>
      </c>
    </row>
    <row r="63" spans="1:16">
      <c r="A63" s="97" t="s">
        <v>103</v>
      </c>
      <c r="B63" s="97" t="s">
        <v>103</v>
      </c>
      <c r="C63" s="97" t="s">
        <v>101</v>
      </c>
      <c r="D63" s="97" t="s">
        <v>95</v>
      </c>
      <c r="E63" s="97" t="str">
        <f>+Industrial!C61</f>
        <v>CAMANCHACA PESCA SUR S.A.</v>
      </c>
      <c r="F63" s="97" t="s">
        <v>96</v>
      </c>
      <c r="G63" s="97" t="s">
        <v>99</v>
      </c>
      <c r="H63" s="103">
        <f>+Industrial!E61</f>
        <v>1.5129999999999999</v>
      </c>
      <c r="I63" s="103">
        <f>+Industrial!F61</f>
        <v>0</v>
      </c>
      <c r="J63" s="103">
        <f>+Industrial!G61</f>
        <v>1.5129999999999999</v>
      </c>
      <c r="K63" s="103">
        <f>+Industrial!H61</f>
        <v>0</v>
      </c>
      <c r="L63" s="103">
        <f>+Industrial!I61</f>
        <v>1.5129999999999999</v>
      </c>
      <c r="M63" s="27">
        <f>+Industrial!J61</f>
        <v>0</v>
      </c>
      <c r="N63" s="142" t="s">
        <v>76</v>
      </c>
      <c r="O63" s="94">
        <f>+Resumen!C$4</f>
        <v>43915</v>
      </c>
      <c r="P63" s="103">
        <v>2020</v>
      </c>
    </row>
    <row r="64" spans="1:16">
      <c r="A64" s="97" t="s">
        <v>103</v>
      </c>
      <c r="B64" s="97" t="s">
        <v>103</v>
      </c>
      <c r="C64" s="97" t="s">
        <v>101</v>
      </c>
      <c r="D64" s="97" t="s">
        <v>95</v>
      </c>
      <c r="E64" s="97" t="str">
        <f>+Industrial!C62</f>
        <v>LANDES S.A. SOC.PESQ.</v>
      </c>
      <c r="F64" s="97" t="s">
        <v>96</v>
      </c>
      <c r="G64" s="97" t="s">
        <v>99</v>
      </c>
      <c r="H64" s="103">
        <f>+Industrial!E62</f>
        <v>1.024</v>
      </c>
      <c r="I64" s="103">
        <f>+Industrial!F62</f>
        <v>0</v>
      </c>
      <c r="J64" s="103">
        <f>+Industrial!G62</f>
        <v>1.024</v>
      </c>
      <c r="K64" s="103">
        <f>+Industrial!H62</f>
        <v>0</v>
      </c>
      <c r="L64" s="103">
        <f>+Industrial!I62</f>
        <v>1.024</v>
      </c>
      <c r="M64" s="27">
        <f>+Industrial!J62</f>
        <v>0</v>
      </c>
      <c r="N64" s="142" t="s">
        <v>76</v>
      </c>
      <c r="O64" s="94">
        <f>+Resumen!C$4</f>
        <v>43915</v>
      </c>
      <c r="P64" s="103">
        <v>2020</v>
      </c>
    </row>
    <row r="65" spans="1:16">
      <c r="A65" s="97" t="s">
        <v>103</v>
      </c>
      <c r="B65" s="97" t="s">
        <v>103</v>
      </c>
      <c r="C65" s="97" t="s">
        <v>101</v>
      </c>
      <c r="D65" s="97" t="s">
        <v>95</v>
      </c>
      <c r="E65" s="97" t="s">
        <v>102</v>
      </c>
      <c r="F65" s="97" t="s">
        <v>96</v>
      </c>
      <c r="G65" s="97" t="s">
        <v>99</v>
      </c>
      <c r="H65">
        <f>+Industrial!K63</f>
        <v>875.00099999999986</v>
      </c>
      <c r="I65" s="103">
        <f>+Industrial!L63</f>
        <v>0</v>
      </c>
      <c r="J65" s="103">
        <f>+Industrial!M63</f>
        <v>875.00099999999986</v>
      </c>
      <c r="K65" s="103">
        <f>+Industrial!N63</f>
        <v>0</v>
      </c>
      <c r="L65" s="103">
        <f>+Industrial!O63</f>
        <v>875.00099999999986</v>
      </c>
      <c r="M65" s="27">
        <f>+Industrial!P63</f>
        <v>0</v>
      </c>
      <c r="N65" s="142" t="s">
        <v>76</v>
      </c>
      <c r="O65" s="94">
        <f>+Resumen!C$4</f>
        <v>43915</v>
      </c>
      <c r="P65" s="103">
        <v>2020</v>
      </c>
    </row>
    <row r="66" spans="1:16">
      <c r="A66" s="97" t="s">
        <v>93</v>
      </c>
      <c r="B66" s="97" t="s">
        <v>93</v>
      </c>
      <c r="C66" s="97" t="s">
        <v>137</v>
      </c>
      <c r="D66" s="97" t="s">
        <v>111</v>
      </c>
      <c r="E66" t="str">
        <f>+'Artesanal Anchoveta XV-IV'!D8</f>
        <v>ASOARPES</v>
      </c>
      <c r="F66" s="97" t="s">
        <v>96</v>
      </c>
      <c r="G66" s="97" t="s">
        <v>97</v>
      </c>
      <c r="H66">
        <f>+'Artesanal Anchoveta XV-IV'!F8</f>
        <v>44960.25</v>
      </c>
      <c r="I66" s="103">
        <f>+'Artesanal Anchoveta XV-IV'!G8</f>
        <v>0</v>
      </c>
      <c r="J66" s="103">
        <f>+'Artesanal Anchoveta XV-IV'!H8</f>
        <v>44960.25</v>
      </c>
      <c r="K66" s="103">
        <f>+'Artesanal Anchoveta XV-IV'!I8</f>
        <v>11174.196</v>
      </c>
      <c r="L66" s="103">
        <f>+'Artesanal Anchoveta XV-IV'!J8</f>
        <v>33786.054000000004</v>
      </c>
      <c r="M66" s="27">
        <f>+'Artesanal Anchoveta XV-IV'!K8</f>
        <v>0.24853500592189767</v>
      </c>
      <c r="N66" s="94">
        <f>+'Artesanal Anchoveta XV-IV'!L8</f>
        <v>0</v>
      </c>
      <c r="O66" s="94">
        <f>+Resumen!C$4</f>
        <v>43915</v>
      </c>
      <c r="P66" s="103">
        <v>2020</v>
      </c>
    </row>
    <row r="67" spans="1:16">
      <c r="A67" s="97" t="s">
        <v>93</v>
      </c>
      <c r="B67" s="97" t="s">
        <v>93</v>
      </c>
      <c r="C67" s="97" t="s">
        <v>137</v>
      </c>
      <c r="D67" s="97" t="s">
        <v>111</v>
      </c>
      <c r="E67" t="str">
        <f>+'Artesanal Anchoveta XV-IV'!D8</f>
        <v>ASOARPES</v>
      </c>
      <c r="F67" s="97" t="s">
        <v>98</v>
      </c>
      <c r="G67" s="97" t="s">
        <v>99</v>
      </c>
      <c r="H67">
        <f>+'Artesanal Anchoveta XV-IV'!F9</f>
        <v>15821.754999999999</v>
      </c>
      <c r="I67" s="103">
        <f>+'Artesanal Anchoveta XV-IV'!G9</f>
        <v>0</v>
      </c>
      <c r="J67" s="103">
        <f>+'Artesanal Anchoveta XV-IV'!H9</f>
        <v>49607.809000000001</v>
      </c>
      <c r="K67" s="103">
        <f>+'Artesanal Anchoveta XV-IV'!I9</f>
        <v>0</v>
      </c>
      <c r="L67" s="103">
        <f>+'Artesanal Anchoveta XV-IV'!J9</f>
        <v>49607.809000000001</v>
      </c>
      <c r="M67" s="27">
        <f>+'Artesanal Anchoveta XV-IV'!K9</f>
        <v>0</v>
      </c>
      <c r="N67" s="94">
        <f>+'Artesanal Anchoveta XV-IV'!L9</f>
        <v>0</v>
      </c>
      <c r="O67" s="94">
        <f>+Resumen!C$4</f>
        <v>43915</v>
      </c>
      <c r="P67" s="103">
        <v>2020</v>
      </c>
    </row>
    <row r="68" spans="1:16">
      <c r="A68" s="97" t="s">
        <v>93</v>
      </c>
      <c r="B68" s="97" t="s">
        <v>93</v>
      </c>
      <c r="C68" s="97" t="s">
        <v>137</v>
      </c>
      <c r="D68" s="97" t="s">
        <v>111</v>
      </c>
      <c r="E68" s="97" t="s">
        <v>114</v>
      </c>
      <c r="F68" s="97" t="s">
        <v>96</v>
      </c>
      <c r="G68" s="97" t="s">
        <v>99</v>
      </c>
      <c r="H68">
        <f>+'Artesanal Anchoveta XV-IV'!M8</f>
        <v>60782.004999999997</v>
      </c>
      <c r="I68" s="103">
        <f>+'Artesanal Anchoveta XV-IV'!N8</f>
        <v>0</v>
      </c>
      <c r="J68" s="103">
        <f>+'Artesanal Anchoveta XV-IV'!O8</f>
        <v>60782.004999999997</v>
      </c>
      <c r="K68" s="103">
        <f>+'Artesanal Anchoveta XV-IV'!P8</f>
        <v>11174.196</v>
      </c>
      <c r="L68" s="103">
        <f>+'Artesanal Anchoveta XV-IV'!Q8</f>
        <v>49607.808999999994</v>
      </c>
      <c r="M68" s="27">
        <f>+'Artesanal Anchoveta XV-IV'!R8</f>
        <v>0.18384052977521884</v>
      </c>
      <c r="N68" s="94" t="s">
        <v>76</v>
      </c>
      <c r="O68" s="94">
        <f>+Resumen!C$4</f>
        <v>43915</v>
      </c>
      <c r="P68" s="103">
        <v>2020</v>
      </c>
    </row>
    <row r="69" spans="1:16" s="103" customFormat="1">
      <c r="A69" s="103" t="s">
        <v>93</v>
      </c>
      <c r="B69" s="103" t="s">
        <v>93</v>
      </c>
      <c r="C69" s="103" t="s">
        <v>146</v>
      </c>
      <c r="D69" s="103" t="s">
        <v>111</v>
      </c>
      <c r="E69" s="103" t="s">
        <v>157</v>
      </c>
      <c r="F69" s="103" t="s">
        <v>96</v>
      </c>
      <c r="G69" s="103" t="s">
        <v>97</v>
      </c>
      <c r="H69" s="103">
        <f>+'Artesanal Anchoveta XV-IV'!F12</f>
        <v>11669.392</v>
      </c>
      <c r="I69" s="103">
        <f>+'Artesanal Anchoveta XV-IV'!G12</f>
        <v>0</v>
      </c>
      <c r="J69" s="103">
        <f>+'Artesanal Anchoveta XV-IV'!H12</f>
        <v>11669.392</v>
      </c>
      <c r="K69" s="103">
        <f>+'Artesanal Anchoveta XV-IV'!I12</f>
        <v>487.76</v>
      </c>
      <c r="L69" s="103">
        <f>+'Artesanal Anchoveta XV-IV'!J12</f>
        <v>11181.632</v>
      </c>
      <c r="M69" s="27">
        <f>+'Artesanal Anchoveta XV-IV'!K12</f>
        <v>4.1798235932086265E-2</v>
      </c>
      <c r="N69" s="94" t="s">
        <v>76</v>
      </c>
      <c r="O69" s="94">
        <f>+Resumen!C$4</f>
        <v>43915</v>
      </c>
      <c r="P69" s="103">
        <v>2020</v>
      </c>
    </row>
    <row r="70" spans="1:16" s="103" customFormat="1">
      <c r="A70" s="103" t="s">
        <v>93</v>
      </c>
      <c r="B70" s="103" t="s">
        <v>93</v>
      </c>
      <c r="C70" s="103" t="s">
        <v>146</v>
      </c>
      <c r="D70" s="103" t="s">
        <v>111</v>
      </c>
      <c r="E70" s="103" t="s">
        <v>157</v>
      </c>
      <c r="F70" s="103" t="s">
        <v>98</v>
      </c>
      <c r="G70" s="103" t="s">
        <v>99</v>
      </c>
      <c r="H70" s="103">
        <f>+'Artesanal Anchoveta XV-IV'!F13</f>
        <v>3889.797</v>
      </c>
      <c r="I70" s="103">
        <f>+'Artesanal Anchoveta XV-IV'!G13</f>
        <v>0</v>
      </c>
      <c r="J70" s="103">
        <f>+'Artesanal Anchoveta XV-IV'!H13</f>
        <v>15071.429</v>
      </c>
      <c r="K70" s="103">
        <f>+'Artesanal Anchoveta XV-IV'!I13</f>
        <v>0</v>
      </c>
      <c r="L70" s="103">
        <f>+'Artesanal Anchoveta XV-IV'!J13</f>
        <v>15071.429</v>
      </c>
      <c r="M70" s="27">
        <f>+'Artesanal Anchoveta XV-IV'!K13</f>
        <v>0</v>
      </c>
      <c r="N70" s="94" t="s">
        <v>76</v>
      </c>
      <c r="O70" s="94">
        <f>+Resumen!C$4</f>
        <v>43915</v>
      </c>
      <c r="P70" s="103">
        <v>2020</v>
      </c>
    </row>
    <row r="71" spans="1:16" s="103" customFormat="1">
      <c r="A71" s="103" t="s">
        <v>93</v>
      </c>
      <c r="B71" s="103" t="s">
        <v>93</v>
      </c>
      <c r="C71" s="103" t="s">
        <v>146</v>
      </c>
      <c r="D71" s="103" t="s">
        <v>111</v>
      </c>
      <c r="E71" s="103" t="s">
        <v>114</v>
      </c>
      <c r="F71" s="103" t="s">
        <v>96</v>
      </c>
      <c r="G71" s="103" t="s">
        <v>99</v>
      </c>
      <c r="H71" s="103">
        <f>+'Artesanal Anchoveta XV-IV'!M12</f>
        <v>15559.189</v>
      </c>
      <c r="I71" s="103">
        <f>+'Artesanal Anchoveta XV-IV'!N12</f>
        <v>0</v>
      </c>
      <c r="J71" s="103">
        <f>+'Artesanal Anchoveta XV-IV'!O12</f>
        <v>15559.189</v>
      </c>
      <c r="K71" s="103">
        <f>+'Artesanal Anchoveta XV-IV'!P12</f>
        <v>487.76</v>
      </c>
      <c r="L71" s="103">
        <f>+'Artesanal Anchoveta XV-IV'!Q12</f>
        <v>15071.429</v>
      </c>
      <c r="M71" s="27">
        <f>+'Artesanal Anchoveta XV-IV'!R12</f>
        <v>3.1348677620665191E-2</v>
      </c>
      <c r="N71" s="94" t="s">
        <v>76</v>
      </c>
      <c r="O71" s="94">
        <f>+Resumen!C$4</f>
        <v>43915</v>
      </c>
      <c r="P71" s="103">
        <v>2020</v>
      </c>
    </row>
    <row r="72" spans="1:16">
      <c r="A72" s="97" t="s">
        <v>93</v>
      </c>
      <c r="B72" s="97" t="s">
        <v>93</v>
      </c>
      <c r="C72" s="97" t="s">
        <v>10</v>
      </c>
      <c r="D72" s="97" t="s">
        <v>111</v>
      </c>
      <c r="E72" t="str">
        <f>+'Artesanal Anchoveta XV-IV'!D16</f>
        <v>REGIÓN II</v>
      </c>
      <c r="F72" s="97" t="s">
        <v>96</v>
      </c>
      <c r="G72" s="97" t="s">
        <v>97</v>
      </c>
      <c r="H72">
        <f>+'Artesanal Anchoveta XV-IV'!F16</f>
        <v>23627</v>
      </c>
      <c r="I72" s="103">
        <f>+'Artesanal Anchoveta XV-IV'!G16</f>
        <v>0</v>
      </c>
      <c r="J72" s="103">
        <f>+'Artesanal Anchoveta XV-IV'!H16</f>
        <v>23627</v>
      </c>
      <c r="K72" s="103">
        <f>+'Artesanal Anchoveta XV-IV'!I16</f>
        <v>8959.4350000000013</v>
      </c>
      <c r="L72" s="103">
        <f>+'Artesanal Anchoveta XV-IV'!J16</f>
        <v>14667.564999999999</v>
      </c>
      <c r="M72" s="27">
        <f>+'Artesanal Anchoveta XV-IV'!K16</f>
        <v>0.3792032420535828</v>
      </c>
      <c r="N72" s="94">
        <f>+'Artesanal Anchoveta XV-IV'!L16</f>
        <v>0</v>
      </c>
      <c r="O72" s="94">
        <f>+Resumen!C$4</f>
        <v>43915</v>
      </c>
      <c r="P72" s="103">
        <v>2020</v>
      </c>
    </row>
    <row r="73" spans="1:16">
      <c r="A73" s="97" t="s">
        <v>93</v>
      </c>
      <c r="B73" s="97" t="s">
        <v>93</v>
      </c>
      <c r="C73" s="97" t="s">
        <v>10</v>
      </c>
      <c r="D73" s="97" t="s">
        <v>111</v>
      </c>
      <c r="E73" t="str">
        <f>+'Artesanal Anchoveta XV-IV'!D16</f>
        <v>REGIÓN II</v>
      </c>
      <c r="F73" s="97" t="s">
        <v>98</v>
      </c>
      <c r="G73" s="97" t="s">
        <v>99</v>
      </c>
      <c r="H73" s="103">
        <f>+'Artesanal Anchoveta XV-IV'!F17</f>
        <v>7876</v>
      </c>
      <c r="I73" s="103">
        <f>+'Artesanal Anchoveta XV-IV'!G17</f>
        <v>0</v>
      </c>
      <c r="J73" s="103">
        <f>+'Artesanal Anchoveta XV-IV'!H17</f>
        <v>22543.564999999999</v>
      </c>
      <c r="K73" s="103">
        <f>+'Artesanal Anchoveta XV-IV'!I17</f>
        <v>0</v>
      </c>
      <c r="L73" s="103">
        <f>+'Artesanal Anchoveta XV-IV'!J17</f>
        <v>22543.564999999999</v>
      </c>
      <c r="M73" s="27">
        <f>+'Artesanal Anchoveta XV-IV'!K17</f>
        <v>0</v>
      </c>
      <c r="N73" s="94">
        <f>+'Artesanal Anchoveta XV-IV'!L17</f>
        <v>0</v>
      </c>
      <c r="O73" s="94">
        <f>+Resumen!C$4</f>
        <v>43915</v>
      </c>
      <c r="P73" s="103">
        <v>2020</v>
      </c>
    </row>
    <row r="74" spans="1:16">
      <c r="A74" s="97" t="s">
        <v>93</v>
      </c>
      <c r="B74" s="97" t="s">
        <v>93</v>
      </c>
      <c r="C74" s="97" t="s">
        <v>10</v>
      </c>
      <c r="D74" s="97" t="s">
        <v>111</v>
      </c>
      <c r="E74" s="97" t="s">
        <v>114</v>
      </c>
      <c r="F74" s="97" t="s">
        <v>96</v>
      </c>
      <c r="G74" s="97" t="s">
        <v>99</v>
      </c>
      <c r="H74">
        <f>+'Artesanal Anchoveta XV-IV'!M16</f>
        <v>31503</v>
      </c>
      <c r="I74" s="103">
        <f>+'Artesanal Anchoveta XV-IV'!N16</f>
        <v>0</v>
      </c>
      <c r="J74" s="103">
        <f>+'Artesanal Anchoveta XV-IV'!O16</f>
        <v>31503</v>
      </c>
      <c r="K74" s="103">
        <f>+'Artesanal Anchoveta XV-IV'!P16</f>
        <v>8959.4350000000013</v>
      </c>
      <c r="L74" s="103">
        <f>+'Artesanal Anchoveta XV-IV'!Q16</f>
        <v>22543.564999999999</v>
      </c>
      <c r="M74" s="27">
        <f>+'Artesanal Anchoveta XV-IV'!R16</f>
        <v>0.28439942227724346</v>
      </c>
      <c r="N74" s="94" t="s">
        <v>76</v>
      </c>
      <c r="O74" s="94">
        <f>+Resumen!C$4</f>
        <v>43915</v>
      </c>
      <c r="P74" s="103">
        <v>2020</v>
      </c>
    </row>
    <row r="75" spans="1:16">
      <c r="A75" s="97" t="s">
        <v>93</v>
      </c>
      <c r="B75" s="97" t="s">
        <v>93</v>
      </c>
      <c r="C75" s="97" t="s">
        <v>11</v>
      </c>
      <c r="D75" s="97" t="s">
        <v>111</v>
      </c>
      <c r="E75" t="str">
        <f>+'Artesanal Anchoveta XV-IV'!D19</f>
        <v>REGIÓN III</v>
      </c>
      <c r="F75" s="97" t="s">
        <v>96</v>
      </c>
      <c r="G75" s="97" t="s">
        <v>99</v>
      </c>
      <c r="H75">
        <f>+'Artesanal Anchoveta XV-IV'!F19</f>
        <v>31478</v>
      </c>
      <c r="I75" s="103">
        <f>+'Artesanal Anchoveta XV-IV'!G19</f>
        <v>0</v>
      </c>
      <c r="J75" s="103">
        <f>+'Artesanal Anchoveta XV-IV'!H19</f>
        <v>31478</v>
      </c>
      <c r="K75" s="103">
        <f>+'Artesanal Anchoveta XV-IV'!I19</f>
        <v>9336.7139999999927</v>
      </c>
      <c r="L75" s="103">
        <f>+'Artesanal Anchoveta XV-IV'!J19</f>
        <v>22141.286000000007</v>
      </c>
      <c r="M75" s="27">
        <f>+'Artesanal Anchoveta XV-IV'!K19</f>
        <v>0.29661077577990952</v>
      </c>
      <c r="N75" s="94">
        <f>+'Artesanal Anchoveta XV-IV'!L19</f>
        <v>0</v>
      </c>
      <c r="O75" s="94">
        <f>+Resumen!C$4</f>
        <v>43915</v>
      </c>
      <c r="P75" s="103">
        <v>2020</v>
      </c>
    </row>
    <row r="76" spans="1:16" s="97" customFormat="1">
      <c r="A76" s="97" t="s">
        <v>93</v>
      </c>
      <c r="B76" s="97" t="s">
        <v>93</v>
      </c>
      <c r="C76" s="97" t="s">
        <v>11</v>
      </c>
      <c r="D76" s="97" t="s">
        <v>111</v>
      </c>
      <c r="E76" s="97" t="s">
        <v>114</v>
      </c>
      <c r="F76" s="97" t="s">
        <v>96</v>
      </c>
      <c r="G76" s="97" t="s">
        <v>99</v>
      </c>
      <c r="H76" s="103">
        <f>+'Artesanal Anchoveta XV-IV'!M19</f>
        <v>31478</v>
      </c>
      <c r="I76" s="103">
        <f>+'Artesanal Anchoveta XV-IV'!N19</f>
        <v>0</v>
      </c>
      <c r="J76" s="103">
        <f>+'Artesanal Anchoveta XV-IV'!O19</f>
        <v>31478</v>
      </c>
      <c r="K76" s="103">
        <f>+'Artesanal Anchoveta XV-IV'!P19</f>
        <v>9336.7139999999927</v>
      </c>
      <c r="L76" s="103">
        <f>+'Artesanal Anchoveta XV-IV'!Q19</f>
        <v>22141.286000000007</v>
      </c>
      <c r="M76" s="27">
        <f>+'Artesanal Anchoveta XV-IV'!R19</f>
        <v>0.29661077577990952</v>
      </c>
      <c r="N76" s="94" t="s">
        <v>76</v>
      </c>
      <c r="O76" s="94">
        <f>+Resumen!C$4</f>
        <v>43915</v>
      </c>
      <c r="P76" s="103">
        <v>2020</v>
      </c>
    </row>
    <row r="77" spans="1:16">
      <c r="A77" s="97" t="s">
        <v>93</v>
      </c>
      <c r="B77" s="97" t="s">
        <v>93</v>
      </c>
      <c r="C77" s="97" t="s">
        <v>12</v>
      </c>
      <c r="D77" s="97" t="s">
        <v>112</v>
      </c>
      <c r="E77" t="str">
        <f>+'Artesanal Anchoveta XV-IV'!D20</f>
        <v>CERCOPESCA</v>
      </c>
      <c r="F77" s="97" t="s">
        <v>96</v>
      </c>
      <c r="G77" s="97" t="s">
        <v>99</v>
      </c>
      <c r="H77">
        <f>+'Artesanal Anchoveta XV-IV'!F20</f>
        <v>13446.74</v>
      </c>
      <c r="I77" s="103">
        <f>+'Artesanal Anchoveta XV-IV'!G20</f>
        <v>0</v>
      </c>
      <c r="J77" s="103">
        <f>+'Artesanal Anchoveta XV-IV'!H20</f>
        <v>13446.74</v>
      </c>
      <c r="K77" s="103">
        <f>+'Artesanal Anchoveta XV-IV'!I20</f>
        <v>5198.908000000004</v>
      </c>
      <c r="L77" s="103">
        <f>+'Artesanal Anchoveta XV-IV'!J20</f>
        <v>8247.8319999999949</v>
      </c>
      <c r="M77" s="27">
        <f>+'Artesanal Anchoveta XV-IV'!K20</f>
        <v>0.38662962175218707</v>
      </c>
      <c r="N77" s="94">
        <f>+'Artesanal Anchoveta XV-IV'!L20</f>
        <v>0</v>
      </c>
      <c r="O77" s="94">
        <f>+Resumen!C$4</f>
        <v>43915</v>
      </c>
      <c r="P77" s="103">
        <v>2020</v>
      </c>
    </row>
    <row r="78" spans="1:16">
      <c r="A78" s="97" t="s">
        <v>93</v>
      </c>
      <c r="B78" s="97" t="s">
        <v>93</v>
      </c>
      <c r="C78" s="97" t="s">
        <v>12</v>
      </c>
      <c r="D78" s="97" t="s">
        <v>112</v>
      </c>
      <c r="E78" t="str">
        <f>+'Artesanal Anchoveta XV-IV'!D21</f>
        <v>RESIDUAL</v>
      </c>
      <c r="F78" s="97" t="s">
        <v>96</v>
      </c>
      <c r="G78" s="97" t="s">
        <v>99</v>
      </c>
      <c r="H78">
        <f>+'Artesanal Anchoveta XV-IV'!F21</f>
        <v>44.26</v>
      </c>
      <c r="I78" s="103">
        <f>+'Artesanal Anchoveta XV-IV'!G21</f>
        <v>0</v>
      </c>
      <c r="J78" s="103">
        <f>+'Artesanal Anchoveta XV-IV'!H21</f>
        <v>44.26</v>
      </c>
      <c r="K78" s="103">
        <f>+'Artesanal Anchoveta XV-IV'!I21</f>
        <v>0</v>
      </c>
      <c r="L78" s="103">
        <f>+'Artesanal Anchoveta XV-IV'!J21</f>
        <v>44.26</v>
      </c>
      <c r="M78" s="27">
        <f>+'Artesanal Anchoveta XV-IV'!K21</f>
        <v>0</v>
      </c>
      <c r="N78" s="94">
        <f>+'Artesanal Anchoveta XV-IV'!L21</f>
        <v>0</v>
      </c>
      <c r="O78" s="94">
        <f>+Resumen!C$4</f>
        <v>43915</v>
      </c>
      <c r="P78" s="103">
        <v>2020</v>
      </c>
    </row>
    <row r="79" spans="1:16">
      <c r="A79" s="97" t="s">
        <v>93</v>
      </c>
      <c r="B79" s="97" t="s">
        <v>93</v>
      </c>
      <c r="C79" s="97" t="s">
        <v>12</v>
      </c>
      <c r="D79" s="97" t="s">
        <v>112</v>
      </c>
      <c r="E79" s="97" t="s">
        <v>114</v>
      </c>
      <c r="F79" s="97" t="s">
        <v>96</v>
      </c>
      <c r="G79" s="97" t="s">
        <v>99</v>
      </c>
      <c r="H79">
        <f>+Resumen!E13</f>
        <v>13491</v>
      </c>
      <c r="I79" s="103">
        <f>+Resumen!F13</f>
        <v>0</v>
      </c>
      <c r="J79" s="103">
        <f>+Resumen!G13</f>
        <v>13491</v>
      </c>
      <c r="K79" s="103">
        <f>+Resumen!H13</f>
        <v>5198.908000000004</v>
      </c>
      <c r="L79" s="103">
        <f>+Resumen!I13</f>
        <v>8292.0919999999969</v>
      </c>
      <c r="M79" s="27">
        <f>+Resumen!J13</f>
        <v>0.38536120376547356</v>
      </c>
      <c r="N79" s="94" t="s">
        <v>76</v>
      </c>
      <c r="O79" s="94">
        <f>+Resumen!C$4</f>
        <v>43915</v>
      </c>
      <c r="P79" s="103">
        <v>2020</v>
      </c>
    </row>
    <row r="80" spans="1:16">
      <c r="A80" s="97" t="s">
        <v>103</v>
      </c>
      <c r="B80" s="97" t="s">
        <v>103</v>
      </c>
      <c r="C80" s="97" t="s">
        <v>104</v>
      </c>
      <c r="D80" s="97" t="s">
        <v>105</v>
      </c>
      <c r="E80" t="str">
        <f>+'Artesanal S.española XV-IV'!D7</f>
        <v>MACROZONA XV - I</v>
      </c>
      <c r="F80" s="97" t="s">
        <v>96</v>
      </c>
      <c r="G80" s="97" t="s">
        <v>97</v>
      </c>
      <c r="H80">
        <f>+'Artesanal S.española XV-IV'!F7</f>
        <v>473</v>
      </c>
      <c r="I80" s="103">
        <f>+'Artesanal S.española XV-IV'!G7</f>
        <v>0</v>
      </c>
      <c r="J80" s="103">
        <f>+'Artesanal S.española XV-IV'!H7</f>
        <v>473</v>
      </c>
      <c r="K80" s="103">
        <f>+'Artesanal S.española XV-IV'!I7</f>
        <v>0</v>
      </c>
      <c r="L80" s="103">
        <f>+'Artesanal S.española XV-IV'!J7</f>
        <v>473</v>
      </c>
      <c r="M80" s="27">
        <f>+'Artesanal S.española XV-IV'!K7</f>
        <v>0</v>
      </c>
      <c r="N80" s="103">
        <f>+'Artesanal S.española XV-IV'!L7</f>
        <v>0</v>
      </c>
      <c r="O80" s="94">
        <f>+Resumen!C$4</f>
        <v>43915</v>
      </c>
      <c r="P80" s="103">
        <v>2020</v>
      </c>
    </row>
    <row r="81" spans="1:16">
      <c r="A81" s="97" t="s">
        <v>103</v>
      </c>
      <c r="B81" s="97" t="s">
        <v>103</v>
      </c>
      <c r="C81" s="97" t="s">
        <v>104</v>
      </c>
      <c r="D81" s="97" t="s">
        <v>105</v>
      </c>
      <c r="E81" t="str">
        <f>+'Artesanal S.española XV-IV'!D7</f>
        <v>MACROZONA XV - I</v>
      </c>
      <c r="F81" s="97" t="s">
        <v>98</v>
      </c>
      <c r="G81" s="97" t="s">
        <v>99</v>
      </c>
      <c r="H81" s="103">
        <f>+'Artesanal S.española XV-IV'!F8</f>
        <v>157</v>
      </c>
      <c r="I81" s="103">
        <f>+'Artesanal S.española XV-IV'!G8</f>
        <v>0</v>
      </c>
      <c r="J81" s="103">
        <f>+'Artesanal S.española XV-IV'!H8</f>
        <v>630</v>
      </c>
      <c r="K81" s="103">
        <f>+'Artesanal S.española XV-IV'!I8</f>
        <v>0</v>
      </c>
      <c r="L81" s="103">
        <f>+'Artesanal S.española XV-IV'!J8</f>
        <v>630</v>
      </c>
      <c r="M81" s="27">
        <f>+'Artesanal S.española XV-IV'!K8</f>
        <v>0</v>
      </c>
      <c r="N81" s="103">
        <f>+'Artesanal S.española XV-IV'!L8</f>
        <v>0</v>
      </c>
      <c r="O81" s="94">
        <f>+Resumen!C$4</f>
        <v>43915</v>
      </c>
      <c r="P81" s="103">
        <v>2020</v>
      </c>
    </row>
    <row r="82" spans="1:16">
      <c r="A82" s="97" t="s">
        <v>103</v>
      </c>
      <c r="B82" s="97" t="s">
        <v>103</v>
      </c>
      <c r="C82" s="97" t="s">
        <v>104</v>
      </c>
      <c r="D82" s="97" t="s">
        <v>105</v>
      </c>
      <c r="E82" s="97" t="s">
        <v>113</v>
      </c>
      <c r="F82" s="97" t="s">
        <v>96</v>
      </c>
      <c r="G82" s="97" t="s">
        <v>99</v>
      </c>
      <c r="H82">
        <f>+'Artesanal S.española XV-IV'!M7</f>
        <v>630</v>
      </c>
      <c r="I82" s="103">
        <f>+'Artesanal S.española XV-IV'!N7</f>
        <v>0</v>
      </c>
      <c r="J82" s="103">
        <f>+'Artesanal S.española XV-IV'!O7</f>
        <v>630</v>
      </c>
      <c r="K82" s="103">
        <f>+'Artesanal S.española XV-IV'!P7</f>
        <v>0</v>
      </c>
      <c r="L82" s="103">
        <f>+'Artesanal S.española XV-IV'!Q7</f>
        <v>630</v>
      </c>
      <c r="M82" s="27">
        <f>+'Artesanal S.española XV-IV'!R7</f>
        <v>0</v>
      </c>
      <c r="N82" s="94" t="s">
        <v>76</v>
      </c>
      <c r="O82" s="94">
        <f>+Resumen!C$4</f>
        <v>43915</v>
      </c>
      <c r="P82" s="103">
        <v>2020</v>
      </c>
    </row>
    <row r="83" spans="1:16">
      <c r="A83" s="97" t="s">
        <v>103</v>
      </c>
      <c r="B83" s="97" t="s">
        <v>103</v>
      </c>
      <c r="C83" s="97" t="s">
        <v>10</v>
      </c>
      <c r="D83" s="97" t="s">
        <v>111</v>
      </c>
      <c r="E83" t="str">
        <f>+'Artesanal S.española XV-IV'!D9</f>
        <v>REGIÓN II</v>
      </c>
      <c r="F83" s="97" t="s">
        <v>96</v>
      </c>
      <c r="G83" s="97" t="s">
        <v>97</v>
      </c>
      <c r="H83">
        <f>+'Artesanal S.española XV-IV'!F9</f>
        <v>1789</v>
      </c>
      <c r="I83" s="103">
        <f>+'Artesanal S.española XV-IV'!G9</f>
        <v>0</v>
      </c>
      <c r="J83" s="103">
        <f>+'Artesanal S.española XV-IV'!H9</f>
        <v>1789</v>
      </c>
      <c r="K83" s="103">
        <f>+'Artesanal S.española XV-IV'!I9</f>
        <v>242.32599999999996</v>
      </c>
      <c r="L83" s="103">
        <f>+'Artesanal S.española XV-IV'!J9</f>
        <v>1546.674</v>
      </c>
      <c r="M83" s="27">
        <f>+'Artesanal S.española XV-IV'!K9</f>
        <v>0.13545332588038009</v>
      </c>
      <c r="N83" s="103">
        <f>+'Artesanal S.española XV-IV'!L9</f>
        <v>0</v>
      </c>
      <c r="O83" s="94">
        <f>+Resumen!C$4</f>
        <v>43915</v>
      </c>
      <c r="P83" s="103">
        <v>2020</v>
      </c>
    </row>
    <row r="84" spans="1:16">
      <c r="A84" s="97" t="s">
        <v>103</v>
      </c>
      <c r="B84" s="97" t="s">
        <v>103</v>
      </c>
      <c r="C84" s="97" t="s">
        <v>10</v>
      </c>
      <c r="D84" s="97" t="s">
        <v>111</v>
      </c>
      <c r="E84" t="str">
        <f>+'Artesanal S.española XV-IV'!D9</f>
        <v>REGIÓN II</v>
      </c>
      <c r="F84" s="97" t="s">
        <v>98</v>
      </c>
      <c r="G84" s="97" t="s">
        <v>99</v>
      </c>
      <c r="H84" s="103">
        <f>+'Artesanal S.española XV-IV'!F10</f>
        <v>596</v>
      </c>
      <c r="I84" s="103">
        <f>+'Artesanal S.española XV-IV'!G10</f>
        <v>0</v>
      </c>
      <c r="J84" s="103">
        <f>+'Artesanal S.española XV-IV'!H10</f>
        <v>2142.674</v>
      </c>
      <c r="K84" s="103">
        <f>+'Artesanal S.española XV-IV'!I10</f>
        <v>0</v>
      </c>
      <c r="L84" s="103">
        <f>+'Artesanal S.española XV-IV'!J10</f>
        <v>2142.674</v>
      </c>
      <c r="M84" s="27">
        <f>+'Artesanal S.española XV-IV'!K10</f>
        <v>0</v>
      </c>
      <c r="N84" s="103">
        <f>+'Artesanal S.española XV-IV'!L10</f>
        <v>0</v>
      </c>
      <c r="O84" s="94">
        <f>+Resumen!C$4</f>
        <v>43915</v>
      </c>
      <c r="P84" s="103">
        <v>2020</v>
      </c>
    </row>
    <row r="85" spans="1:16">
      <c r="A85" s="97" t="s">
        <v>103</v>
      </c>
      <c r="B85" s="97" t="s">
        <v>103</v>
      </c>
      <c r="C85" s="97" t="s">
        <v>10</v>
      </c>
      <c r="D85" s="97" t="s">
        <v>111</v>
      </c>
      <c r="E85" s="97" t="s">
        <v>113</v>
      </c>
      <c r="F85" s="97" t="s">
        <v>96</v>
      </c>
      <c r="G85" s="97" t="s">
        <v>99</v>
      </c>
      <c r="H85">
        <f>+'Artesanal S.española XV-IV'!M9</f>
        <v>2385</v>
      </c>
      <c r="I85" s="103">
        <f>+'Artesanal S.española XV-IV'!N9</f>
        <v>0</v>
      </c>
      <c r="J85" s="103">
        <f>+'Artesanal S.española XV-IV'!O9</f>
        <v>2385</v>
      </c>
      <c r="K85" s="103">
        <f>+'Artesanal S.española XV-IV'!P9</f>
        <v>242.32599999999996</v>
      </c>
      <c r="L85" s="103">
        <f>+'Artesanal S.española XV-IV'!Q9</f>
        <v>2142.674</v>
      </c>
      <c r="M85" s="27">
        <f>+'Artesanal S.española XV-IV'!R9</f>
        <v>0.10160419287211739</v>
      </c>
      <c r="N85" s="94" t="s">
        <v>76</v>
      </c>
      <c r="O85" s="94">
        <f>+Resumen!C$4</f>
        <v>43915</v>
      </c>
      <c r="P85" s="103">
        <v>2020</v>
      </c>
    </row>
    <row r="86" spans="1:16">
      <c r="A86" s="97" t="s">
        <v>103</v>
      </c>
      <c r="B86" s="97" t="s">
        <v>103</v>
      </c>
      <c r="C86" s="97" t="s">
        <v>11</v>
      </c>
      <c r="D86" s="97" t="s">
        <v>111</v>
      </c>
      <c r="E86" t="str">
        <f>+'Artesanal S.española XV-IV'!D12</f>
        <v>REGIÓN III</v>
      </c>
      <c r="F86" s="97" t="s">
        <v>96</v>
      </c>
      <c r="G86" s="97" t="s">
        <v>99</v>
      </c>
      <c r="H86">
        <f>+'Artesanal S.española XV-IV'!F12</f>
        <v>387.5</v>
      </c>
      <c r="I86" s="103">
        <f>+'Artesanal S.española XV-IV'!G12</f>
        <v>0</v>
      </c>
      <c r="J86" s="103">
        <f>+'Artesanal S.española XV-IV'!H12</f>
        <v>387.5</v>
      </c>
      <c r="K86" s="103">
        <f>+'Artesanal S.española XV-IV'!I12</f>
        <v>74.331000000000003</v>
      </c>
      <c r="L86" s="103">
        <f>+'Artesanal S.española XV-IV'!J12</f>
        <v>313.16899999999998</v>
      </c>
      <c r="M86" s="27">
        <f>+'Artesanal S.española XV-IV'!K12</f>
        <v>0.19182193548387097</v>
      </c>
      <c r="N86" s="103">
        <f>+'Artesanal S.española XV-IV'!L12</f>
        <v>0</v>
      </c>
      <c r="O86" s="94">
        <f>+Resumen!C$4</f>
        <v>43915</v>
      </c>
      <c r="P86" s="103">
        <v>2020</v>
      </c>
    </row>
    <row r="87" spans="1:16">
      <c r="A87" s="97" t="s">
        <v>103</v>
      </c>
      <c r="B87" s="97" t="s">
        <v>103</v>
      </c>
      <c r="C87" s="97" t="s">
        <v>11</v>
      </c>
      <c r="D87" s="97" t="s">
        <v>111</v>
      </c>
      <c r="E87" s="97" t="s">
        <v>113</v>
      </c>
      <c r="F87" s="97" t="s">
        <v>96</v>
      </c>
      <c r="G87" s="97" t="s">
        <v>99</v>
      </c>
      <c r="H87">
        <f>+'Artesanal S.española XV-IV'!M12</f>
        <v>387.5</v>
      </c>
      <c r="I87" s="103">
        <f>+'Artesanal S.española XV-IV'!N12</f>
        <v>0</v>
      </c>
      <c r="J87" s="103">
        <f>+'Artesanal S.española XV-IV'!O12</f>
        <v>387.5</v>
      </c>
      <c r="K87" s="103">
        <f>+'Artesanal S.española XV-IV'!P12</f>
        <v>74.331000000000003</v>
      </c>
      <c r="L87" s="103">
        <f>+'Artesanal S.española XV-IV'!Q12</f>
        <v>313.16899999999998</v>
      </c>
      <c r="M87" s="27">
        <f>+'Artesanal S.española XV-IV'!R12</f>
        <v>0.19182193548387097</v>
      </c>
      <c r="N87" s="94" t="s">
        <v>76</v>
      </c>
      <c r="O87" s="94">
        <f>+Resumen!C$4</f>
        <v>43915</v>
      </c>
      <c r="P87" s="103">
        <v>2020</v>
      </c>
    </row>
    <row r="88" spans="1:16">
      <c r="A88" s="97" t="s">
        <v>103</v>
      </c>
      <c r="B88" s="97" t="s">
        <v>103</v>
      </c>
      <c r="C88" s="97" t="s">
        <v>12</v>
      </c>
      <c r="D88" s="97" t="s">
        <v>111</v>
      </c>
      <c r="E88" t="str">
        <f>+'Artesanal S.española XV-IV'!D13</f>
        <v>REGIÓN IV</v>
      </c>
      <c r="F88" s="97" t="s">
        <v>96</v>
      </c>
      <c r="G88" s="97" t="s">
        <v>99</v>
      </c>
      <c r="H88">
        <f>+'Artesanal S.española XV-IV'!F13</f>
        <v>387.5</v>
      </c>
      <c r="I88" s="103">
        <f>+'Artesanal S.española XV-IV'!G13</f>
        <v>0</v>
      </c>
      <c r="J88" s="103">
        <f>+'Artesanal S.española XV-IV'!H13</f>
        <v>387.5</v>
      </c>
      <c r="K88" s="103">
        <f>+'Artesanal S.española XV-IV'!I13</f>
        <v>62.364000000000011</v>
      </c>
      <c r="L88" s="103">
        <f>+'Artesanal S.española XV-IV'!J13</f>
        <v>325.13599999999997</v>
      </c>
      <c r="M88" s="27">
        <f>+'Artesanal S.española XV-IV'!K13</f>
        <v>0.16093935483870972</v>
      </c>
      <c r="N88" s="103">
        <f>+'Artesanal S.española XV-IV'!L13</f>
        <v>0</v>
      </c>
      <c r="O88" s="94">
        <f>+Resumen!C$4</f>
        <v>43915</v>
      </c>
      <c r="P88" s="103">
        <v>2020</v>
      </c>
    </row>
    <row r="89" spans="1:16">
      <c r="A89" s="97" t="s">
        <v>103</v>
      </c>
      <c r="B89" s="97" t="s">
        <v>103</v>
      </c>
      <c r="C89" s="97" t="s">
        <v>12</v>
      </c>
      <c r="D89" s="97" t="s">
        <v>111</v>
      </c>
      <c r="E89" s="97" t="s">
        <v>113</v>
      </c>
      <c r="F89" s="97" t="s">
        <v>96</v>
      </c>
      <c r="G89" s="97" t="s">
        <v>99</v>
      </c>
      <c r="H89">
        <f>+'Artesanal S.española XV-IV'!M13</f>
        <v>387.5</v>
      </c>
      <c r="I89" s="103">
        <f>+'Artesanal S.española XV-IV'!N13</f>
        <v>0</v>
      </c>
      <c r="J89" s="103">
        <f>+'Artesanal S.española XV-IV'!O13</f>
        <v>387.5</v>
      </c>
      <c r="K89" s="103">
        <f>+'Artesanal S.española XV-IV'!P13</f>
        <v>62.364000000000011</v>
      </c>
      <c r="L89" s="103">
        <f>+'Artesanal S.española XV-IV'!Q13</f>
        <v>325.13599999999997</v>
      </c>
      <c r="M89" s="27">
        <f>+'Artesanal S.española XV-IV'!R13</f>
        <v>0.16093935483870972</v>
      </c>
      <c r="N89" s="103" t="s">
        <v>76</v>
      </c>
      <c r="O89" s="94">
        <f>+Resumen!C$4</f>
        <v>43915</v>
      </c>
      <c r="P89" s="103">
        <v>2020</v>
      </c>
    </row>
    <row r="90" spans="1:16">
      <c r="A90" s="97"/>
      <c r="B90" s="97"/>
    </row>
    <row r="91" spans="1:16">
      <c r="A91" s="97"/>
      <c r="B91" s="97"/>
    </row>
    <row r="92" spans="1:16">
      <c r="A92" s="97"/>
      <c r="B92" s="97"/>
    </row>
  </sheetData>
  <pageMargins left="0.7" right="0.7" top="0.75" bottom="0.75" header="0.3" footer="0.3"/>
  <ignoredErrors>
    <ignoredError sqref="H22:M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Resumen</vt:lpstr>
      <vt:lpstr>Artesanal Anchoveta XV-IV</vt:lpstr>
      <vt:lpstr>Artesanal S.española XV-IV</vt:lpstr>
      <vt:lpstr>Industrial</vt:lpstr>
      <vt:lpstr>Cesiones individuales</vt:lpstr>
      <vt:lpstr>P. Investigación</vt:lpstr>
      <vt:lpstr>Consumo humano</vt:lpstr>
      <vt:lpstr>Publicacion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kmolina</dc:creator>
  <cp:lastModifiedBy>Mario Cea</cp:lastModifiedBy>
  <dcterms:created xsi:type="dcterms:W3CDTF">2019-10-16T16:01:09Z</dcterms:created>
  <dcterms:modified xsi:type="dcterms:W3CDTF">2020-03-26T16:43:45Z</dcterms:modified>
</cp:coreProperties>
</file>