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782"/>
  </bookViews>
  <sheets>
    <sheet name="Resumen" sheetId="1" r:id="rId1"/>
    <sheet name="Artesanal Anchoveta XV-IV" sheetId="2" r:id="rId2"/>
    <sheet name="Remanente Anchoveta" sheetId="9" r:id="rId3"/>
    <sheet name="Artesanal S.española XV-IV" sheetId="7" r:id="rId4"/>
    <sheet name="Remanente Sard. esp." sheetId="12" r:id="rId5"/>
    <sheet name="Industrial" sheetId="3" r:id="rId6"/>
    <sheet name="Cesiones ind y colec" sheetId="5" r:id="rId7"/>
    <sheet name="Remanente Emb Anchoveta" sheetId="11" r:id="rId8"/>
    <sheet name="Remanente Emb S.española" sheetId="10" r:id="rId9"/>
    <sheet name="P. Investigación" sheetId="4" r:id="rId10"/>
    <sheet name="Consumo humano" sheetId="8" r:id="rId11"/>
    <sheet name="Publicacion web" sheetId="6" r:id="rId12"/>
  </sheets>
  <definedNames>
    <definedName name="_xlnm._FilterDatabase" localSheetId="6" hidden="1">'Cesiones ind y colec'!$B$4:$O$182</definedName>
  </definedNames>
  <calcPr calcId="125725"/>
</workbook>
</file>

<file path=xl/calcChain.xml><?xml version="1.0" encoding="utf-8"?>
<calcChain xmlns="http://schemas.openxmlformats.org/spreadsheetml/2006/main">
  <c r="S5" i="5"/>
  <c r="J194"/>
  <c r="K194"/>
  <c r="J193"/>
  <c r="K193"/>
  <c r="F14" i="3"/>
  <c r="E23"/>
  <c r="E24"/>
  <c r="E26"/>
  <c r="J192" i="5"/>
  <c r="K192"/>
  <c r="J191"/>
  <c r="K191"/>
  <c r="J190"/>
  <c r="K190"/>
  <c r="J189"/>
  <c r="K189"/>
  <c r="I14" i="4" l="1"/>
  <c r="I13"/>
  <c r="I12"/>
  <c r="I11"/>
  <c r="E12" i="3"/>
  <c r="K187" i="5"/>
  <c r="K188"/>
  <c r="J188"/>
  <c r="J187"/>
  <c r="F23" i="1"/>
  <c r="G7" i="2"/>
  <c r="K186" i="5"/>
  <c r="J186"/>
  <c r="F18" i="3"/>
  <c r="K185" i="5"/>
  <c r="J185"/>
  <c r="K184"/>
  <c r="J184"/>
  <c r="K183"/>
  <c r="J183"/>
  <c r="F25" i="3" l="1"/>
  <c r="K180" i="5" l="1"/>
  <c r="J180"/>
  <c r="K178" l="1"/>
  <c r="J178"/>
  <c r="F42" i="3"/>
  <c r="O41" i="6"/>
  <c r="I41"/>
  <c r="K41"/>
  <c r="E41"/>
  <c r="L42" i="3"/>
  <c r="N42"/>
  <c r="E42"/>
  <c r="G42" s="1"/>
  <c r="J41" i="6" s="1"/>
  <c r="I75" i="11"/>
  <c r="I15"/>
  <c r="H15"/>
  <c r="K42" i="3" l="1"/>
  <c r="H41" i="6"/>
  <c r="M42" i="3"/>
  <c r="O42" s="1"/>
  <c r="I42"/>
  <c r="L41" i="6" s="1"/>
  <c r="J42" i="3"/>
  <c r="M41" i="6" s="1"/>
  <c r="P42" i="3"/>
  <c r="T5" i="5"/>
  <c r="J175"/>
  <c r="K175"/>
  <c r="J176"/>
  <c r="K176"/>
  <c r="J177"/>
  <c r="K177"/>
  <c r="K174"/>
  <c r="J174"/>
  <c r="F13" i="3"/>
  <c r="K157" i="5"/>
  <c r="J157"/>
  <c r="F39" i="3"/>
  <c r="F60"/>
  <c r="F43"/>
  <c r="F61"/>
  <c r="F38"/>
  <c r="G60"/>
  <c r="J60" s="1"/>
  <c r="K60"/>
  <c r="L60"/>
  <c r="N60"/>
  <c r="M60" l="1"/>
  <c r="O60" s="1"/>
  <c r="I60"/>
  <c r="P60" l="1"/>
  <c r="K152" i="5"/>
  <c r="J152"/>
  <c r="P8" i="7"/>
  <c r="N8"/>
  <c r="M8"/>
  <c r="P7"/>
  <c r="N7"/>
  <c r="M7"/>
  <c r="Q8" i="2"/>
  <c r="O8"/>
  <c r="N8"/>
  <c r="Q7"/>
  <c r="O7"/>
  <c r="N7"/>
  <c r="I147" i="11"/>
  <c r="H147"/>
  <c r="H144"/>
  <c r="K151" i="5"/>
  <c r="J151"/>
  <c r="F19" i="3"/>
  <c r="K144" i="5"/>
  <c r="J144"/>
  <c r="P7" i="2" l="1"/>
  <c r="K143" i="5"/>
  <c r="J143"/>
  <c r="F15" i="3"/>
  <c r="K128" i="5" l="1"/>
  <c r="J128"/>
  <c r="F31" i="3"/>
  <c r="O20" i="6"/>
  <c r="O21"/>
  <c r="O22"/>
  <c r="I21"/>
  <c r="K21"/>
  <c r="I20"/>
  <c r="K20"/>
  <c r="E22"/>
  <c r="E21"/>
  <c r="E20"/>
  <c r="E14" i="3"/>
  <c r="E13"/>
  <c r="E22"/>
  <c r="E21"/>
  <c r="E11"/>
  <c r="H21" i="6"/>
  <c r="H20"/>
  <c r="L23" i="3"/>
  <c r="I22" i="6" s="1"/>
  <c r="N23" i="3"/>
  <c r="K22" i="6" s="1"/>
  <c r="E16" i="3"/>
  <c r="E15"/>
  <c r="E18"/>
  <c r="E17"/>
  <c r="E25"/>
  <c r="E20"/>
  <c r="E19"/>
  <c r="K121" i="5"/>
  <c r="J121"/>
  <c r="F11" i="3"/>
  <c r="K112" i="5"/>
  <c r="J112"/>
  <c r="S6"/>
  <c r="O103"/>
  <c r="N103"/>
  <c r="F58" i="3"/>
  <c r="K91" i="5"/>
  <c r="J91"/>
  <c r="H89" i="11" l="1"/>
  <c r="H77"/>
  <c r="K23" i="3"/>
  <c r="H22" i="6" s="1"/>
  <c r="E27" i="3"/>
  <c r="G23"/>
  <c r="J20" i="6" s="1"/>
  <c r="M23" i="3" l="1"/>
  <c r="I23"/>
  <c r="J23"/>
  <c r="M20" i="6" s="1"/>
  <c r="H9" i="12"/>
  <c r="G9"/>
  <c r="H8"/>
  <c r="G8"/>
  <c r="H7"/>
  <c r="G7"/>
  <c r="H6"/>
  <c r="G6"/>
  <c r="B3"/>
  <c r="G7" i="9"/>
  <c r="H7"/>
  <c r="G8"/>
  <c r="H8"/>
  <c r="G9"/>
  <c r="H9"/>
  <c r="G10"/>
  <c r="H10"/>
  <c r="H6"/>
  <c r="G6"/>
  <c r="I68" i="11"/>
  <c r="H68"/>
  <c r="I59"/>
  <c r="H59"/>
  <c r="G24" i="3" l="1"/>
  <c r="J21" i="6" s="1"/>
  <c r="L20"/>
  <c r="O23" i="3"/>
  <c r="L22" i="6" s="1"/>
  <c r="J22"/>
  <c r="P23" i="3"/>
  <c r="M22" i="6" s="1"/>
  <c r="K47" i="5"/>
  <c r="J47"/>
  <c r="J24" i="3" l="1"/>
  <c r="M21" i="6" s="1"/>
  <c r="I24" i="3"/>
  <c r="L21" i="6" s="1"/>
  <c r="K32" i="5"/>
  <c r="J32"/>
  <c r="K22"/>
  <c r="J22"/>
  <c r="I144" i="11"/>
  <c r="H75" l="1"/>
  <c r="H66"/>
  <c r="I66" s="1"/>
  <c r="I14"/>
  <c r="H14"/>
  <c r="I13"/>
  <c r="H13"/>
  <c r="I12"/>
  <c r="H12"/>
  <c r="I11"/>
  <c r="H11"/>
  <c r="I10"/>
  <c r="H10"/>
  <c r="I9"/>
  <c r="H9"/>
  <c r="I8"/>
  <c r="H8"/>
  <c r="I7"/>
  <c r="H7"/>
  <c r="I6"/>
  <c r="H6"/>
  <c r="K21" i="5" l="1"/>
  <c r="J21"/>
  <c r="K20"/>
  <c r="J20"/>
  <c r="K19"/>
  <c r="J19"/>
  <c r="J18"/>
  <c r="K18"/>
  <c r="J17"/>
  <c r="K17"/>
  <c r="J16"/>
  <c r="K16"/>
  <c r="K15"/>
  <c r="J15"/>
  <c r="I99" i="11"/>
  <c r="H99"/>
  <c r="I129" l="1"/>
  <c r="H129"/>
  <c r="I128"/>
  <c r="H128"/>
  <c r="B3" l="1"/>
  <c r="B3" i="10"/>
  <c r="B3" i="9"/>
  <c r="N64" i="6"/>
  <c r="K14" i="5"/>
  <c r="J14"/>
  <c r="K5"/>
  <c r="J5"/>
  <c r="I8" i="4"/>
  <c r="I9"/>
  <c r="I10"/>
  <c r="I7" l="1"/>
  <c r="I6"/>
  <c r="E39" i="3"/>
  <c r="E33"/>
  <c r="E37"/>
  <c r="E28"/>
  <c r="E41"/>
  <c r="E35"/>
  <c r="E30"/>
  <c r="E36"/>
  <c r="E31"/>
  <c r="N71" i="6" l="1"/>
  <c r="N66" l="1"/>
  <c r="F31" i="1" l="1"/>
  <c r="E9" l="1"/>
  <c r="F9"/>
  <c r="H9"/>
  <c r="H65" i="6" l="1"/>
  <c r="I65"/>
  <c r="K65"/>
  <c r="G9" i="1"/>
  <c r="R7" i="2" l="1"/>
  <c r="I9" i="1" s="1"/>
  <c r="J65" i="6"/>
  <c r="S7" i="2"/>
  <c r="J9" i="1" s="1"/>
  <c r="H17" i="6" l="1"/>
  <c r="H18"/>
  <c r="K18"/>
  <c r="I18"/>
  <c r="K17"/>
  <c r="I17"/>
  <c r="O17"/>
  <c r="O18"/>
  <c r="O19"/>
  <c r="E19"/>
  <c r="E17"/>
  <c r="E18"/>
  <c r="L21" i="3"/>
  <c r="I19" i="6" s="1"/>
  <c r="N21" i="3"/>
  <c r="K19" i="6" l="1"/>
  <c r="K21" i="3"/>
  <c r="G21"/>
  <c r="J17" i="6" s="1"/>
  <c r="M21" i="3" l="1"/>
  <c r="H19" i="6"/>
  <c r="J21" i="3"/>
  <c r="M17" i="6" s="1"/>
  <c r="I21" i="3"/>
  <c r="C4" i="4"/>
  <c r="J19" i="6" l="1"/>
  <c r="P21" i="3"/>
  <c r="M19" i="6" s="1"/>
  <c r="G22" i="3"/>
  <c r="J18" i="6" s="1"/>
  <c r="L17"/>
  <c r="O21" i="3"/>
  <c r="L19" i="6" s="1"/>
  <c r="D4" i="8"/>
  <c r="G25" i="1"/>
  <c r="J25" s="1"/>
  <c r="G22"/>
  <c r="J22" s="1"/>
  <c r="I22" l="1"/>
  <c r="I25"/>
  <c r="J22" i="3"/>
  <c r="M18" i="6" s="1"/>
  <c r="I22" i="3"/>
  <c r="L18" i="6" s="1"/>
  <c r="O8"/>
  <c r="O9"/>
  <c r="O10"/>
  <c r="O11"/>
  <c r="O12"/>
  <c r="O13"/>
  <c r="K12"/>
  <c r="I12"/>
  <c r="K11"/>
  <c r="I11"/>
  <c r="K9"/>
  <c r="I9"/>
  <c r="K8"/>
  <c r="I8"/>
  <c r="H8"/>
  <c r="H12"/>
  <c r="H11"/>
  <c r="L17" i="3"/>
  <c r="I13" i="6" s="1"/>
  <c r="N17" i="3"/>
  <c r="K13" i="6" s="1"/>
  <c r="L15" i="3"/>
  <c r="I10" i="6" s="1"/>
  <c r="N15" i="3"/>
  <c r="K10" i="6" s="1"/>
  <c r="O40"/>
  <c r="I40"/>
  <c r="K40"/>
  <c r="L41" i="3"/>
  <c r="N41"/>
  <c r="H40" i="6"/>
  <c r="G41" i="3" l="1"/>
  <c r="J40" i="6" s="1"/>
  <c r="G17" i="3"/>
  <c r="I17" s="1"/>
  <c r="G18" s="1"/>
  <c r="J12" i="6" s="1"/>
  <c r="E44" i="3"/>
  <c r="G15"/>
  <c r="I15" s="1"/>
  <c r="G16" s="1"/>
  <c r="I16" s="1"/>
  <c r="L9" i="6" s="1"/>
  <c r="K17" i="3"/>
  <c r="H13" i="6" s="1"/>
  <c r="K15" i="3"/>
  <c r="H10" i="6" s="1"/>
  <c r="K41" i="3"/>
  <c r="M41" s="1"/>
  <c r="P41" s="1"/>
  <c r="H9" i="6"/>
  <c r="J17" i="3" l="1"/>
  <c r="M11" i="6" s="1"/>
  <c r="I18" i="3"/>
  <c r="L12" i="6" s="1"/>
  <c r="J9"/>
  <c r="J15" i="3"/>
  <c r="M8" i="6" s="1"/>
  <c r="M15" i="3"/>
  <c r="J18"/>
  <c r="M12" i="6" s="1"/>
  <c r="L11"/>
  <c r="J8"/>
  <c r="J11"/>
  <c r="J41" i="3"/>
  <c r="M40" i="6" s="1"/>
  <c r="I41" i="3"/>
  <c r="L40" i="6" s="1"/>
  <c r="O41" i="3"/>
  <c r="M17"/>
  <c r="J16"/>
  <c r="M9" i="6" s="1"/>
  <c r="L8"/>
  <c r="J13" l="1"/>
  <c r="P17" i="3"/>
  <c r="M13" i="6" s="1"/>
  <c r="J10"/>
  <c r="P15" i="3"/>
  <c r="M10" i="6" s="1"/>
  <c r="O15" i="3"/>
  <c r="L10" i="6" s="1"/>
  <c r="O17" i="3"/>
  <c r="L13" i="6" s="1"/>
  <c r="G32" i="1"/>
  <c r="E62" i="3"/>
  <c r="E51"/>
  <c r="H24" i="1"/>
  <c r="G26"/>
  <c r="G24"/>
  <c r="G23"/>
  <c r="F20"/>
  <c r="H20"/>
  <c r="F19"/>
  <c r="H19"/>
  <c r="E20"/>
  <c r="E19"/>
  <c r="F14"/>
  <c r="H14"/>
  <c r="F13"/>
  <c r="H13"/>
  <c r="E14"/>
  <c r="E13"/>
  <c r="N9" i="7"/>
  <c r="P9"/>
  <c r="M9"/>
  <c r="M10"/>
  <c r="N10"/>
  <c r="F17" i="1" s="1"/>
  <c r="P10" i="7"/>
  <c r="H17" i="1" s="1"/>
  <c r="M12" i="7"/>
  <c r="N12"/>
  <c r="P12"/>
  <c r="H12"/>
  <c r="K12" s="1"/>
  <c r="H9"/>
  <c r="G19" i="1" s="1"/>
  <c r="O13" i="2"/>
  <c r="Q13"/>
  <c r="N13"/>
  <c r="O9"/>
  <c r="Q9"/>
  <c r="N9"/>
  <c r="H13"/>
  <c r="P13" s="1"/>
  <c r="H9"/>
  <c r="G13" i="1" s="1"/>
  <c r="H32"/>
  <c r="H31"/>
  <c r="F51" i="3"/>
  <c r="F27"/>
  <c r="E79" i="6"/>
  <c r="I79"/>
  <c r="K79"/>
  <c r="H79"/>
  <c r="I77"/>
  <c r="K77"/>
  <c r="E77"/>
  <c r="H77"/>
  <c r="I75"/>
  <c r="K75"/>
  <c r="H75"/>
  <c r="E75"/>
  <c r="E73"/>
  <c r="I73"/>
  <c r="K73"/>
  <c r="H73"/>
  <c r="P11" i="7"/>
  <c r="H18" i="1" s="1"/>
  <c r="N11" i="7"/>
  <c r="F18" i="1" s="1"/>
  <c r="M11" i="7"/>
  <c r="E18" i="1" s="1"/>
  <c r="H11" i="7"/>
  <c r="K11" s="1"/>
  <c r="M79" i="6" s="1"/>
  <c r="H10" i="7"/>
  <c r="J77" i="6" s="1"/>
  <c r="H16" i="1"/>
  <c r="F16"/>
  <c r="H8" i="7"/>
  <c r="J8" s="1"/>
  <c r="H15" i="1"/>
  <c r="F15"/>
  <c r="H7" i="7"/>
  <c r="J7" s="1"/>
  <c r="B4"/>
  <c r="O7" l="1"/>
  <c r="G15" i="1" s="1"/>
  <c r="I15" s="1"/>
  <c r="O8" i="7"/>
  <c r="G16" i="1" s="1"/>
  <c r="I16" s="1"/>
  <c r="I76" i="6"/>
  <c r="I80"/>
  <c r="G20" i="1"/>
  <c r="J20" s="1"/>
  <c r="P5" i="4"/>
  <c r="J10" i="7"/>
  <c r="L77" i="6" s="1"/>
  <c r="L75"/>
  <c r="J75"/>
  <c r="R13" i="2"/>
  <c r="L9"/>
  <c r="S13"/>
  <c r="O11" i="7"/>
  <c r="R11" s="1"/>
  <c r="M80" i="6" s="1"/>
  <c r="H74"/>
  <c r="H76"/>
  <c r="J79"/>
  <c r="H80"/>
  <c r="E15" i="1"/>
  <c r="E16"/>
  <c r="L13" i="2"/>
  <c r="J9" i="7"/>
  <c r="K9"/>
  <c r="O9"/>
  <c r="Q9" s="1"/>
  <c r="G14" i="1"/>
  <c r="J14" s="1"/>
  <c r="F44" i="3"/>
  <c r="K10" i="7"/>
  <c r="M77" i="6" s="1"/>
  <c r="J11" i="7"/>
  <c r="L79" i="6" s="1"/>
  <c r="L73"/>
  <c r="J73"/>
  <c r="K74"/>
  <c r="I74"/>
  <c r="I78"/>
  <c r="K9" i="2"/>
  <c r="K13"/>
  <c r="P9"/>
  <c r="R9" s="1"/>
  <c r="J12" i="7"/>
  <c r="O12"/>
  <c r="R12" s="1"/>
  <c r="O10"/>
  <c r="R10" s="1"/>
  <c r="M78" i="6" s="1"/>
  <c r="K80"/>
  <c r="I13" i="1"/>
  <c r="I19"/>
  <c r="J13"/>
  <c r="J19"/>
  <c r="I24"/>
  <c r="J24"/>
  <c r="H21"/>
  <c r="V6" i="5"/>
  <c r="J32" i="1" s="1"/>
  <c r="T7" i="5"/>
  <c r="U6"/>
  <c r="I32" i="1" s="1"/>
  <c r="F32"/>
  <c r="K78" i="6"/>
  <c r="K76"/>
  <c r="H78"/>
  <c r="E17" i="1"/>
  <c r="K7" i="7"/>
  <c r="M73" i="6" s="1"/>
  <c r="K8" i="7"/>
  <c r="M75" i="6" s="1"/>
  <c r="I59"/>
  <c r="I30"/>
  <c r="B7" i="3"/>
  <c r="B4" i="2"/>
  <c r="H27" i="3"/>
  <c r="K61"/>
  <c r="K11"/>
  <c r="H4" i="6" s="1"/>
  <c r="K25" i="3"/>
  <c r="H25" i="6" s="1"/>
  <c r="G21" i="1"/>
  <c r="F12"/>
  <c r="I72" i="6" s="1"/>
  <c r="H12" i="1"/>
  <c r="E12"/>
  <c r="H72" i="6" s="1"/>
  <c r="I71"/>
  <c r="K71"/>
  <c r="H71"/>
  <c r="I70"/>
  <c r="K70"/>
  <c r="H70"/>
  <c r="H68"/>
  <c r="I68"/>
  <c r="K68"/>
  <c r="I66"/>
  <c r="K66"/>
  <c r="H66"/>
  <c r="I64"/>
  <c r="K64"/>
  <c r="H64"/>
  <c r="I54"/>
  <c r="K54"/>
  <c r="I55"/>
  <c r="K55"/>
  <c r="I56"/>
  <c r="K56"/>
  <c r="I57"/>
  <c r="K57"/>
  <c r="I58"/>
  <c r="K58"/>
  <c r="K59"/>
  <c r="I60"/>
  <c r="K60"/>
  <c r="I61"/>
  <c r="K61"/>
  <c r="I62"/>
  <c r="K62"/>
  <c r="H55"/>
  <c r="H56"/>
  <c r="H57"/>
  <c r="H58"/>
  <c r="H59"/>
  <c r="H60"/>
  <c r="H61"/>
  <c r="H62"/>
  <c r="H54"/>
  <c r="I50"/>
  <c r="K50"/>
  <c r="I51"/>
  <c r="K51"/>
  <c r="H51"/>
  <c r="H50"/>
  <c r="I47"/>
  <c r="K47"/>
  <c r="I48"/>
  <c r="K48"/>
  <c r="H48"/>
  <c r="H47"/>
  <c r="I44"/>
  <c r="K44"/>
  <c r="I45"/>
  <c r="K45"/>
  <c r="H45"/>
  <c r="H44"/>
  <c r="I27"/>
  <c r="K27"/>
  <c r="I28"/>
  <c r="K28"/>
  <c r="I29"/>
  <c r="K29"/>
  <c r="K30"/>
  <c r="I31"/>
  <c r="K31"/>
  <c r="I32"/>
  <c r="K32"/>
  <c r="I33"/>
  <c r="K33"/>
  <c r="I34"/>
  <c r="K34"/>
  <c r="I35"/>
  <c r="K35"/>
  <c r="I36"/>
  <c r="K36"/>
  <c r="I37"/>
  <c r="K37"/>
  <c r="I38"/>
  <c r="K38"/>
  <c r="I39"/>
  <c r="K39"/>
  <c r="I42"/>
  <c r="K42"/>
  <c r="H28"/>
  <c r="H29"/>
  <c r="H30"/>
  <c r="H31"/>
  <c r="H32"/>
  <c r="H33"/>
  <c r="H34"/>
  <c r="H35"/>
  <c r="H36"/>
  <c r="H37"/>
  <c r="H38"/>
  <c r="H39"/>
  <c r="H42"/>
  <c r="H27"/>
  <c r="I23"/>
  <c r="K23"/>
  <c r="I24"/>
  <c r="K24"/>
  <c r="H24"/>
  <c r="H23"/>
  <c r="I14"/>
  <c r="K14"/>
  <c r="I15"/>
  <c r="K15"/>
  <c r="H15"/>
  <c r="H14"/>
  <c r="I5"/>
  <c r="K5"/>
  <c r="I6"/>
  <c r="K6"/>
  <c r="H6"/>
  <c r="H5"/>
  <c r="I2"/>
  <c r="K2"/>
  <c r="I3"/>
  <c r="K3"/>
  <c r="H3"/>
  <c r="H2"/>
  <c r="O3"/>
  <c r="O4"/>
  <c r="O5"/>
  <c r="O6"/>
  <c r="O7"/>
  <c r="O14"/>
  <c r="O15"/>
  <c r="O16"/>
  <c r="O23"/>
  <c r="O24"/>
  <c r="O25"/>
  <c r="O26"/>
  <c r="O27"/>
  <c r="O28"/>
  <c r="O29"/>
  <c r="O30"/>
  <c r="O31"/>
  <c r="O32"/>
  <c r="O33"/>
  <c r="O34"/>
  <c r="O35"/>
  <c r="O36"/>
  <c r="O37"/>
  <c r="O38"/>
  <c r="O39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2"/>
  <c r="E71"/>
  <c r="E70"/>
  <c r="E68"/>
  <c r="E66"/>
  <c r="E64"/>
  <c r="E55"/>
  <c r="E56"/>
  <c r="E57"/>
  <c r="E58"/>
  <c r="E59"/>
  <c r="E60"/>
  <c r="E61"/>
  <c r="E62"/>
  <c r="E54"/>
  <c r="E52"/>
  <c r="E51"/>
  <c r="E50"/>
  <c r="E49"/>
  <c r="E48"/>
  <c r="E47"/>
  <c r="E46"/>
  <c r="E45"/>
  <c r="E44"/>
  <c r="E37"/>
  <c r="E38"/>
  <c r="E39"/>
  <c r="E42"/>
  <c r="E28"/>
  <c r="E29"/>
  <c r="E30"/>
  <c r="E31"/>
  <c r="E32"/>
  <c r="E33"/>
  <c r="E34"/>
  <c r="E35"/>
  <c r="E36"/>
  <c r="E27"/>
  <c r="E25"/>
  <c r="E24"/>
  <c r="E23"/>
  <c r="E16"/>
  <c r="E15"/>
  <c r="E14"/>
  <c r="E7"/>
  <c r="E6"/>
  <c r="E5"/>
  <c r="E4"/>
  <c r="E3"/>
  <c r="E2"/>
  <c r="N54" i="3"/>
  <c r="N53"/>
  <c r="N52"/>
  <c r="N55"/>
  <c r="N56"/>
  <c r="N57"/>
  <c r="N58"/>
  <c r="N59"/>
  <c r="N61"/>
  <c r="L54"/>
  <c r="L55"/>
  <c r="L56"/>
  <c r="L57"/>
  <c r="L58"/>
  <c r="L59"/>
  <c r="L61"/>
  <c r="L53"/>
  <c r="L52"/>
  <c r="K53"/>
  <c r="K54"/>
  <c r="K55"/>
  <c r="K56"/>
  <c r="M56" s="1"/>
  <c r="K57"/>
  <c r="K58"/>
  <c r="K59"/>
  <c r="M59" s="1"/>
  <c r="K52"/>
  <c r="N49"/>
  <c r="N47"/>
  <c r="K49" i="6" s="1"/>
  <c r="N45" i="3"/>
  <c r="K46" i="6" s="1"/>
  <c r="L45" i="3"/>
  <c r="N28"/>
  <c r="L49"/>
  <c r="I52" i="6" s="1"/>
  <c r="L47" i="3"/>
  <c r="I49" i="6" s="1"/>
  <c r="K49" i="3"/>
  <c r="K47"/>
  <c r="H49" i="6" s="1"/>
  <c r="K45" i="3"/>
  <c r="M45" s="1"/>
  <c r="K29"/>
  <c r="L29"/>
  <c r="N29"/>
  <c r="K30"/>
  <c r="L30"/>
  <c r="N30"/>
  <c r="K31"/>
  <c r="N31"/>
  <c r="K32"/>
  <c r="L32"/>
  <c r="N32"/>
  <c r="K33"/>
  <c r="L33"/>
  <c r="N33"/>
  <c r="K34"/>
  <c r="L34"/>
  <c r="N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3"/>
  <c r="L43"/>
  <c r="N43"/>
  <c r="L28"/>
  <c r="K28"/>
  <c r="N25"/>
  <c r="K25" i="6" s="1"/>
  <c r="N19" i="3"/>
  <c r="K16" i="6" s="1"/>
  <c r="N13" i="3"/>
  <c r="N11"/>
  <c r="K4" i="6" s="1"/>
  <c r="L25" i="3"/>
  <c r="L19"/>
  <c r="I16" i="6" s="1"/>
  <c r="L13" i="3"/>
  <c r="I7" i="6" s="1"/>
  <c r="L11" i="3"/>
  <c r="I4" i="6" s="1"/>
  <c r="K19" i="3"/>
  <c r="K13"/>
  <c r="H7" i="6" s="1"/>
  <c r="G53" i="3"/>
  <c r="J55" i="6" s="1"/>
  <c r="G54" i="3"/>
  <c r="I54" s="1"/>
  <c r="L56" i="6" s="1"/>
  <c r="G55" i="3"/>
  <c r="J57" i="6" s="1"/>
  <c r="G56" i="3"/>
  <c r="I56" s="1"/>
  <c r="L58" i="6" s="1"/>
  <c r="G57" i="3"/>
  <c r="J59" i="6" s="1"/>
  <c r="G58" i="3"/>
  <c r="I58" s="1"/>
  <c r="L60" i="6" s="1"/>
  <c r="G59" i="3"/>
  <c r="J61" i="6" s="1"/>
  <c r="G61" i="3"/>
  <c r="J61" s="1"/>
  <c r="M62" i="6" s="1"/>
  <c r="J55" i="3"/>
  <c r="M57" i="6" s="1"/>
  <c r="G52" i="3"/>
  <c r="I52" s="1"/>
  <c r="L54" i="6" s="1"/>
  <c r="G49" i="3"/>
  <c r="J49" s="1"/>
  <c r="M50" i="6" s="1"/>
  <c r="G47" i="3"/>
  <c r="J47" i="6" s="1"/>
  <c r="G45" i="3"/>
  <c r="J44" i="6" s="1"/>
  <c r="G29" i="3"/>
  <c r="I29" s="1"/>
  <c r="L28" i="6" s="1"/>
  <c r="G30" i="3"/>
  <c r="J30" s="1"/>
  <c r="M29" i="6" s="1"/>
  <c r="G32" i="3"/>
  <c r="I32" s="1"/>
  <c r="L31" i="6" s="1"/>
  <c r="G33" i="3"/>
  <c r="I33" s="1"/>
  <c r="L32" i="6" s="1"/>
  <c r="G34" i="3"/>
  <c r="J34" s="1"/>
  <c r="M33" i="6" s="1"/>
  <c r="G35" i="3"/>
  <c r="I35" s="1"/>
  <c r="L34" i="6" s="1"/>
  <c r="G36" i="3"/>
  <c r="I36" s="1"/>
  <c r="L35" i="6" s="1"/>
  <c r="G37" i="3"/>
  <c r="M36" i="6" s="1"/>
  <c r="G38" i="3"/>
  <c r="I38" s="1"/>
  <c r="L37" i="6" s="1"/>
  <c r="G39" i="3"/>
  <c r="I39" s="1"/>
  <c r="L38" i="6" s="1"/>
  <c r="G40" i="3"/>
  <c r="J40" s="1"/>
  <c r="M39" i="6" s="1"/>
  <c r="G43" i="3"/>
  <c r="I43" s="1"/>
  <c r="L42" i="6" s="1"/>
  <c r="G28" i="3"/>
  <c r="I28" s="1"/>
  <c r="L27" i="6" s="1"/>
  <c r="G25" i="3"/>
  <c r="J25" s="1"/>
  <c r="M23" i="6" s="1"/>
  <c r="G19" i="3"/>
  <c r="J19" s="1"/>
  <c r="M14" i="6" s="1"/>
  <c r="G13" i="3"/>
  <c r="I13" s="1"/>
  <c r="G14" s="1"/>
  <c r="J6" i="6" s="1"/>
  <c r="G11" i="3"/>
  <c r="J11" s="1"/>
  <c r="M2" i="6" s="1"/>
  <c r="Q10" i="2"/>
  <c r="K69" i="6" s="1"/>
  <c r="O10" i="2"/>
  <c r="F11" i="1" s="1"/>
  <c r="Q11" i="2"/>
  <c r="Q12"/>
  <c r="O11"/>
  <c r="O12"/>
  <c r="N11"/>
  <c r="P11" s="1"/>
  <c r="N12"/>
  <c r="N10"/>
  <c r="H69" i="6" s="1"/>
  <c r="H10" i="1"/>
  <c r="I67" i="6"/>
  <c r="H67"/>
  <c r="H11" i="2"/>
  <c r="J70" i="6" s="1"/>
  <c r="H12" i="2"/>
  <c r="H10"/>
  <c r="K10" s="1"/>
  <c r="L68" i="6" s="1"/>
  <c r="H8" i="2"/>
  <c r="L8" s="1"/>
  <c r="M66" i="6" s="1"/>
  <c r="H7" i="2"/>
  <c r="K7" s="1"/>
  <c r="M58" i="3" l="1"/>
  <c r="P58" s="1"/>
  <c r="M54"/>
  <c r="O54" s="1"/>
  <c r="M55"/>
  <c r="P55" s="1"/>
  <c r="J78" i="6"/>
  <c r="J74"/>
  <c r="Q11" i="7"/>
  <c r="L80" i="6" s="1"/>
  <c r="K12" i="2"/>
  <c r="L71" i="6" s="1"/>
  <c r="L12" i="2"/>
  <c r="M71" i="6" s="1"/>
  <c r="Q7" i="7"/>
  <c r="L74" i="6" s="1"/>
  <c r="J15" i="1"/>
  <c r="J56" i="3"/>
  <c r="M58" i="6" s="1"/>
  <c r="J54" i="3"/>
  <c r="M56" i="6" s="1"/>
  <c r="J53" i="3"/>
  <c r="M55" i="6" s="1"/>
  <c r="R7" i="7"/>
  <c r="M74" i="6" s="1"/>
  <c r="J16" i="1"/>
  <c r="M38" i="3"/>
  <c r="P38" s="1"/>
  <c r="R8" i="7"/>
  <c r="M76" i="6" s="1"/>
  <c r="Q12" i="7"/>
  <c r="Q8"/>
  <c r="L76" i="6" s="1"/>
  <c r="J76"/>
  <c r="S11" i="2"/>
  <c r="M34" i="3"/>
  <c r="P34" s="1"/>
  <c r="K27"/>
  <c r="H26" i="6" s="1"/>
  <c r="I20" i="1"/>
  <c r="Q10" i="7"/>
  <c r="L78" i="6" s="1"/>
  <c r="I14" i="1"/>
  <c r="J52" i="3"/>
  <c r="M54" i="6" s="1"/>
  <c r="J50"/>
  <c r="G17" i="1"/>
  <c r="I17" s="1"/>
  <c r="I45" i="3"/>
  <c r="G46" s="1"/>
  <c r="J45" i="6" s="1"/>
  <c r="J45" i="3"/>
  <c r="M44" i="6" s="1"/>
  <c r="K51" i="3"/>
  <c r="E29" i="1" s="1"/>
  <c r="L51" i="3"/>
  <c r="F29" i="1" s="1"/>
  <c r="H46" i="6"/>
  <c r="J58"/>
  <c r="M61" i="3"/>
  <c r="O61" s="1"/>
  <c r="S9" i="2"/>
  <c r="L7"/>
  <c r="M64" i="6" s="1"/>
  <c r="J58" i="3"/>
  <c r="M60" i="6" s="1"/>
  <c r="M25" i="3"/>
  <c r="J25" i="6" s="1"/>
  <c r="M43" i="3"/>
  <c r="P43" s="1"/>
  <c r="M39"/>
  <c r="M37"/>
  <c r="M32"/>
  <c r="M30"/>
  <c r="P30" s="1"/>
  <c r="N44"/>
  <c r="H28" i="1" s="1"/>
  <c r="M13" i="3"/>
  <c r="J7" i="6" s="1"/>
  <c r="N51" i="3"/>
  <c r="H29" i="1" s="1"/>
  <c r="O59" i="3"/>
  <c r="L62"/>
  <c r="I63" i="6" s="1"/>
  <c r="N62" i="3"/>
  <c r="H30" i="1" s="1"/>
  <c r="J5" i="6"/>
  <c r="I46"/>
  <c r="J54"/>
  <c r="J64"/>
  <c r="F62" i="3"/>
  <c r="G18" i="1"/>
  <c r="J80" i="6"/>
  <c r="R9" i="7"/>
  <c r="M19" i="3"/>
  <c r="M11"/>
  <c r="I21" i="1"/>
  <c r="J21"/>
  <c r="M53" i="3"/>
  <c r="O53" s="1"/>
  <c r="M33"/>
  <c r="P33" s="1"/>
  <c r="J35" i="6"/>
  <c r="K72"/>
  <c r="L27" i="3"/>
  <c r="F27" i="1" s="1"/>
  <c r="M34" i="6"/>
  <c r="M35" i="3"/>
  <c r="J34" i="6"/>
  <c r="K11" i="2"/>
  <c r="L70" i="6" s="1"/>
  <c r="P10" i="2"/>
  <c r="J69" i="6" s="1"/>
  <c r="F10" i="1"/>
  <c r="I69" i="6"/>
  <c r="P12" i="2"/>
  <c r="S12" s="1"/>
  <c r="L64" i="6"/>
  <c r="G12" i="1"/>
  <c r="L10" i="2"/>
  <c r="M68" i="6" s="1"/>
  <c r="E11" i="1"/>
  <c r="J68" i="6"/>
  <c r="L11" i="2"/>
  <c r="J71" i="6"/>
  <c r="M28" i="3"/>
  <c r="P28" s="1"/>
  <c r="I25" i="6"/>
  <c r="J23"/>
  <c r="M57" i="3"/>
  <c r="O57" s="1"/>
  <c r="J57"/>
  <c r="M59" i="6" s="1"/>
  <c r="G31" i="3"/>
  <c r="I31" s="1"/>
  <c r="L30" i="6" s="1"/>
  <c r="L31" i="3"/>
  <c r="M31" s="1"/>
  <c r="P31" s="1"/>
  <c r="M40"/>
  <c r="O45"/>
  <c r="L46" i="6" s="1"/>
  <c r="J46"/>
  <c r="P45" i="3"/>
  <c r="M46" i="6" s="1"/>
  <c r="O56" i="3"/>
  <c r="P56"/>
  <c r="J47"/>
  <c r="M47" i="6" s="1"/>
  <c r="M47" i="3"/>
  <c r="H16" i="6"/>
  <c r="I47" i="3"/>
  <c r="I49"/>
  <c r="J2" i="6"/>
  <c r="J33"/>
  <c r="J29"/>
  <c r="H52"/>
  <c r="M49" i="3"/>
  <c r="J52" i="6" s="1"/>
  <c r="J39"/>
  <c r="I11" i="3"/>
  <c r="I53"/>
  <c r="L55" i="6" s="1"/>
  <c r="M36" i="3"/>
  <c r="P36" s="1"/>
  <c r="M29"/>
  <c r="P29" s="1"/>
  <c r="J14" i="6"/>
  <c r="H11" i="1"/>
  <c r="K67" i="6"/>
  <c r="K52"/>
  <c r="N27" i="3"/>
  <c r="K7" i="6"/>
  <c r="L5"/>
  <c r="K62" i="3"/>
  <c r="H63" i="6" s="1"/>
  <c r="I61" i="3"/>
  <c r="L62" i="6" s="1"/>
  <c r="J62"/>
  <c r="J59" i="3"/>
  <c r="M61" i="6" s="1"/>
  <c r="I59" i="3"/>
  <c r="L61" i="6" s="1"/>
  <c r="P59" i="3"/>
  <c r="J60" i="6"/>
  <c r="O58" i="3"/>
  <c r="I57"/>
  <c r="L59" i="6" s="1"/>
  <c r="I55" i="3"/>
  <c r="L57" i="6" s="1"/>
  <c r="J56"/>
  <c r="M52" i="3"/>
  <c r="R11" i="2"/>
  <c r="J42" i="6"/>
  <c r="J38"/>
  <c r="J37"/>
  <c r="J36"/>
  <c r="J32"/>
  <c r="J32" i="3"/>
  <c r="M31" i="6" s="1"/>
  <c r="J31"/>
  <c r="J28"/>
  <c r="K44" i="3"/>
  <c r="J27" i="6"/>
  <c r="E10" i="1"/>
  <c r="J66" i="6"/>
  <c r="P8" i="2"/>
  <c r="J36" i="3"/>
  <c r="M35" i="6" s="1"/>
  <c r="J28" i="3"/>
  <c r="M27" i="6" s="1"/>
  <c r="J38" i="3"/>
  <c r="M37" i="6" s="1"/>
  <c r="J33" i="3"/>
  <c r="M32" i="6" s="1"/>
  <c r="I19" i="3"/>
  <c r="G20" s="1"/>
  <c r="J20" s="1"/>
  <c r="I25"/>
  <c r="J39"/>
  <c r="M38" i="6" s="1"/>
  <c r="J29" i="3"/>
  <c r="M28" i="6" s="1"/>
  <c r="I14" i="3"/>
  <c r="L6" i="6" s="1"/>
  <c r="J14" i="3"/>
  <c r="M6" i="6" s="1"/>
  <c r="I40" i="3"/>
  <c r="L39" i="6" s="1"/>
  <c r="I37" i="3"/>
  <c r="L36" i="6" s="1"/>
  <c r="I34" i="3"/>
  <c r="L33" i="6" s="1"/>
  <c r="I30" i="3"/>
  <c r="L29" i="6" s="1"/>
  <c r="J13" i="3"/>
  <c r="M5" i="6" s="1"/>
  <c r="K8" i="2"/>
  <c r="P54" i="3" l="1"/>
  <c r="O55"/>
  <c r="K63" i="6"/>
  <c r="O34" i="3"/>
  <c r="K43" i="6"/>
  <c r="O19" i="3"/>
  <c r="L16" i="6" s="1"/>
  <c r="P19" i="3"/>
  <c r="M16" i="6" s="1"/>
  <c r="O37" i="3"/>
  <c r="P37"/>
  <c r="O35"/>
  <c r="P35"/>
  <c r="E30" i="1"/>
  <c r="O38" i="3"/>
  <c r="O39"/>
  <c r="P39"/>
  <c r="O40"/>
  <c r="P40"/>
  <c r="O32"/>
  <c r="P32"/>
  <c r="J4" i="6"/>
  <c r="P11" i="3"/>
  <c r="M4" i="6" s="1"/>
  <c r="I53"/>
  <c r="O49" i="3"/>
  <c r="L52" i="6" s="1"/>
  <c r="P49" i="3"/>
  <c r="M52" i="6" s="1"/>
  <c r="I46" i="3"/>
  <c r="L45" i="6" s="1"/>
  <c r="K53"/>
  <c r="J16"/>
  <c r="O33" i="3"/>
  <c r="H53" i="6"/>
  <c r="E27" i="1"/>
  <c r="J17"/>
  <c r="M27" i="3"/>
  <c r="P27" s="1"/>
  <c r="F30" i="1"/>
  <c r="P61" i="3"/>
  <c r="P57"/>
  <c r="M51"/>
  <c r="G29" i="1" s="1"/>
  <c r="I29" s="1"/>
  <c r="J46" i="3"/>
  <c r="M45" i="6" s="1"/>
  <c r="O13" i="3"/>
  <c r="L7" i="6" s="1"/>
  <c r="P13" i="3"/>
  <c r="M7" i="6" s="1"/>
  <c r="O25" i="3"/>
  <c r="L25" i="6" s="1"/>
  <c r="O43" i="3"/>
  <c r="P25"/>
  <c r="M25" i="6" s="1"/>
  <c r="O30" i="3"/>
  <c r="L44" i="6"/>
  <c r="L65"/>
  <c r="J18" i="1"/>
  <c r="I18"/>
  <c r="G31"/>
  <c r="S7" i="5"/>
  <c r="V5"/>
  <c r="J31" i="1" s="1"/>
  <c r="U5" i="5"/>
  <c r="I31" i="1" s="1"/>
  <c r="P53" i="3"/>
  <c r="O11"/>
  <c r="L4" i="6" s="1"/>
  <c r="H27" i="1"/>
  <c r="J31" i="3"/>
  <c r="M30" i="6" s="1"/>
  <c r="O36" i="3"/>
  <c r="J72" i="6"/>
  <c r="I12" i="1"/>
  <c r="L72" i="6" s="1"/>
  <c r="J12" i="1"/>
  <c r="M72" i="6" s="1"/>
  <c r="O28" i="3"/>
  <c r="J30" i="6"/>
  <c r="L44" i="3"/>
  <c r="F28" i="1" s="1"/>
  <c r="G11"/>
  <c r="I11" s="1"/>
  <c r="R10" i="2"/>
  <c r="R12"/>
  <c r="S10"/>
  <c r="M70" i="6"/>
  <c r="O29" i="3"/>
  <c r="M44"/>
  <c r="O31"/>
  <c r="J15" i="6"/>
  <c r="L14"/>
  <c r="I26"/>
  <c r="L47"/>
  <c r="G48" i="3"/>
  <c r="J49" i="6"/>
  <c r="P47" i="3"/>
  <c r="O47"/>
  <c r="L49" i="6" s="1"/>
  <c r="G12" i="3"/>
  <c r="J12" s="1"/>
  <c r="L2" i="6"/>
  <c r="L50"/>
  <c r="G50" i="3"/>
  <c r="G26"/>
  <c r="J24" i="6" s="1"/>
  <c r="L23"/>
  <c r="K26"/>
  <c r="P52" i="3"/>
  <c r="M62"/>
  <c r="P62" s="1"/>
  <c r="O52"/>
  <c r="H43" i="6"/>
  <c r="E28" i="1"/>
  <c r="L66" i="6"/>
  <c r="S8" i="2"/>
  <c r="R8"/>
  <c r="J67" i="6"/>
  <c r="G10" i="1"/>
  <c r="O62" i="3" l="1"/>
  <c r="L63" i="6" s="1"/>
  <c r="P51" i="3"/>
  <c r="J26" i="6"/>
  <c r="M65"/>
  <c r="J53"/>
  <c r="E33" i="1"/>
  <c r="G27"/>
  <c r="J27" s="1"/>
  <c r="F33"/>
  <c r="I20" i="3"/>
  <c r="L15" i="6" s="1"/>
  <c r="U7" i="5"/>
  <c r="V7"/>
  <c r="M15" i="6"/>
  <c r="J29" i="1"/>
  <c r="J43" i="6"/>
  <c r="P44" i="3"/>
  <c r="M43" i="6" s="1"/>
  <c r="I10" i="1"/>
  <c r="J10"/>
  <c r="J11"/>
  <c r="O44" i="3"/>
  <c r="L43" i="6" s="1"/>
  <c r="L69"/>
  <c r="M69"/>
  <c r="O27" i="3"/>
  <c r="L26" i="6" s="1"/>
  <c r="I43"/>
  <c r="G28" i="1"/>
  <c r="M49" i="6"/>
  <c r="J51"/>
  <c r="J50" i="3"/>
  <c r="M51" i="6" s="1"/>
  <c r="I50" i="3"/>
  <c r="L51" i="6" s="1"/>
  <c r="J3"/>
  <c r="M3"/>
  <c r="I12" i="3"/>
  <c r="L3" i="6" s="1"/>
  <c r="I48" i="3"/>
  <c r="L48" i="6" s="1"/>
  <c r="J48"/>
  <c r="J48" i="3"/>
  <c r="M48" i="6" s="1"/>
  <c r="J26" i="3"/>
  <c r="M24" i="6" s="1"/>
  <c r="M26"/>
  <c r="I26" i="3"/>
  <c r="L24" i="6" s="1"/>
  <c r="O51" i="3"/>
  <c r="L53" i="6" s="1"/>
  <c r="M63"/>
  <c r="J63"/>
  <c r="G30" i="1"/>
  <c r="L67" i="6"/>
  <c r="M67"/>
  <c r="I27" i="1" l="1"/>
  <c r="I30"/>
  <c r="J30"/>
  <c r="J28"/>
  <c r="I28"/>
  <c r="G33"/>
  <c r="M53" i="6"/>
</calcChain>
</file>

<file path=xl/comments1.xml><?xml version="1.0" encoding="utf-8"?>
<comments xmlns="http://schemas.openxmlformats.org/spreadsheetml/2006/main">
  <authors>
    <author>.</author>
    <author>Nico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Folio Dexe 202000100-20.
Folio Dexe 202100064-21 Modf Folio Dexe 202000100-20.</t>
        </r>
      </text>
    </comment>
    <comment ref="E2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 202100064-21 Modf Folio Dexe 202000100-20.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 202100064-21 Modf Folio Dexe 202000100-20.</t>
        </r>
      </text>
    </comment>
    <comment ref="F23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2268-21 Cede -7437 ton hacia cuota Arica y Parinacota.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Folio Dexe 202000100-20.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Nico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N°2763-20
Res N°1725-21 Modf Res 2763-20.</t>
        </r>
      </text>
    </comment>
    <comment ref="D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0001-21 Adelantamiento de Cuota.</t>
        </r>
      </text>
    </comment>
    <comment ref="G7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2268-21 Incremento de 7437 ton por Cuota Imprevistos.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00636-21.
Cierre Res 00125-21.
Apertura Res 00186-21.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2764-20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91-21.</t>
        </r>
      </text>
    </comment>
    <comment ref="M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00125-21.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2764-20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N°2763-20
Res N°1725-21 Modf Res 2763-20.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2764-20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
Res N°1469-21 Modf Res 2976-20 y 2977-20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1391-21 Cede -3891,137 ton hacia Emb XV.</t>
        </r>
      </text>
    </comment>
    <comment ref="E12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2329-21 Incremento de 1705,418 LTP A desde Corpesca.</t>
        </r>
      </text>
    </comment>
    <comment ref="F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1836-21 Cede -7000 ton hacia Emb XV-I.</t>
        </r>
      </text>
    </comment>
    <comment ref="F14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2028-21 Cede -3000 ton hacia Emb XV.
Res 2328-21 Cede -1400 ton hacia Emb XV.
Res 2407-21 Cede -4000 ton hacia Emb XV.
Res 2438-21 Cede -500 ton hacia Emb I.
Res 2542-21 Cede -2000 ton hacia Emb XV.</t>
        </r>
      </text>
    </comment>
    <comment ref="F1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1000-21 Cede -3500,632 ton hacia Emb XV.
Res 1157-21 Cede -478,837 ton hacia Emb XV.
Res 1520-21 Cede -1859,564 ton hacia Emb XV.</t>
        </r>
      </text>
    </comment>
    <comment ref="F18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2173-21 Cede -300,492 ton hacia Emb XV.
Res 2174-21 Cede -300,492 ton hacia Emb I.
Res 2175-21 Cede -300,492 ton hacia Emb I.
Res 2176-21 Cede -300,492 ton hacia Emb XV.</t>
        </r>
      </text>
    </comment>
    <comment ref="F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1151-21 Cede -3500,632 ton hacia Emb XV.
Res 1156-21 Cede -3021,792 ton hacia Emb XV.
Res 1152-21 Cede -251,042 ton hacia Emb XV.
Res 1153-21 Cede -251,042 ton hacia Emb XV.
Res 1154-21 Cede -251,042 ton hacia Emb XV.
Res 1155-21 Cede -251,042 ton hacia Emb XV.
Res 1538-21 Cede -144,115 ton hacia Emb XV.</t>
        </r>
      </text>
    </comment>
    <comment ref="E23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1640-21 Deja sin efecto Res 306-21 Disminución de -1235,810</t>
        </r>
      </text>
    </comment>
    <comment ref="E24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1640-21 Deja sin efecto Res 306-21 Disminución de -1235,810 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1201-21 Cede -10000 ton hacia Emb II.
Res 1239-21 Cede -35000 ton hacia Emb XV y I.
Res 1979-21 Modf Res 1239-21.
Res 1286-21 Cede -10000 ton hacia Emb II.</t>
        </r>
      </text>
    </comment>
    <comment ref="E2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2329-21 Cede -1705,418 LTP A a Arcia Seafood.
Res 1640-21 Incremento 1235,810 LTP B.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</t>
        </r>
      </text>
    </comment>
    <comment ref="F3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1497-21 Cede -14652,650 ton hacia Emb III.</t>
        </r>
      </text>
    </comment>
    <comment ref="F3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38-21 Comodato cede -0,35098 ton hacia LTP Thor Fisheries Chile.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938-21 Cede -400 ton hacia Emb IV.
Res 1204-21 Cede -11000 ton hacia Emb IV.
Res 1291-21 Cede -1000 ton hacia Emb IV.
Res 1537-21 Cede -500 ton hacia Emb IV.
Res 1776-21 Cede -200 ton hacia Emb IV.
Res 1834-21 Cede -1250 ton hacia Emb IV.</t>
        </r>
      </text>
    </comment>
    <comment ref="F42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2011-21 Cede -561 ton hacia Emb IV.</t>
        </r>
      </text>
    </comment>
    <comment ref="F4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38-21 Comodado incrmento de 0,35098 ton desde LTP Sociedad Pesquera Landes S.A.
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</t>
        </r>
      </text>
    </comment>
    <comment ref="F5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1290-21 Cede -170 ton hacia Emb IV.</t>
        </r>
      </text>
    </comment>
    <comment ref="F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40-21 Comodado incrmento de 0,00875 ton desde LTP Sociedad Pesquera Landes S.A.</t>
        </r>
      </text>
    </comment>
    <comment ref="F6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40-21 Comodato cede -0,00875 ton hacia LTP Thor Fisheries Chile.</t>
        </r>
      </text>
    </comment>
  </commentList>
</comments>
</file>

<file path=xl/comments5.xml><?xml version="1.0" encoding="utf-8"?>
<comments xmlns="http://schemas.openxmlformats.org/spreadsheetml/2006/main">
  <authors>
    <author>Nico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1979-21 Modf Res 1239-21.</t>
        </r>
      </text>
    </comment>
    <comment ref="D56" author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1979-21 Modf Res 1239-21.</t>
        </r>
      </text>
    </comment>
    <comment ref="D57" author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1979-21 Modf Res 1239-21.</t>
        </r>
      </text>
    </comment>
  </commentList>
</comments>
</file>

<file path=xl/sharedStrings.xml><?xml version="1.0" encoding="utf-8"?>
<sst xmlns="http://schemas.openxmlformats.org/spreadsheetml/2006/main" count="1958" uniqueCount="331">
  <si>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</si>
  <si>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</si>
  <si>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</si>
  <si>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</si>
  <si>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</si>
  <si>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</si>
  <si>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</si>
  <si>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</si>
  <si>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</si>
  <si>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</si>
  <si>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</si>
  <si>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</si>
  <si>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</si>
  <si>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</si>
  <si>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</si>
  <si>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</si>
  <si>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</si>
  <si>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</si>
  <si>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</si>
  <si>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</si>
  <si>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</si>
  <si>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</si>
  <si>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</si>
  <si>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</si>
  <si>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</si>
  <si>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</si>
  <si>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</si>
  <si>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</si>
  <si>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</si>
  <si>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</si>
  <si>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</si>
  <si>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</si>
  <si>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</si>
  <si>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</si>
  <si>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</si>
  <si>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</si>
  <si>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</si>
  <si>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</si>
  <si>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</si>
  <si>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</si>
  <si>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</si>
  <si>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</si>
  <si>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</si>
  <si>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</si>
  <si>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</si>
  <si>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</si>
  <si>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</si>
  <si>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</si>
  <si>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</si>
  <si>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</si>
  <si>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FOODCORP CHILE S.A.</t>
  </si>
  <si>
    <t>ATILIO REYES BARRERA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</si>
  <si>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</si>
  <si>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</si>
  <si>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</si>
  <si>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</si>
  <si>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</si>
  <si>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</si>
  <si>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</si>
  <si>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</si>
  <si>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</si>
  <si>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</si>
  <si>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</si>
  <si>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</si>
  <si>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</si>
  <si>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</si>
  <si>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</si>
  <si>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</si>
  <si>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</si>
  <si>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</si>
  <si>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</si>
  <si>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</si>
  <si>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</si>
  <si>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</si>
  <si>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</si>
  <si>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</si>
  <si>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</si>
  <si>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</si>
  <si>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</si>
  <si>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</si>
  <si>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</si>
  <si>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</si>
  <si>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</si>
  <si>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</si>
  <si>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</si>
  <si>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</si>
  <si>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</si>
  <si>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</si>
  <si>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</si>
  <si>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</si>
  <si>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</si>
  <si>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</si>
  <si>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</si>
  <si>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</si>
  <si>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</si>
  <si>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</si>
  <si>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</si>
  <si>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</si>
  <si>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</si>
  <si>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</si>
  <si>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</si>
  <si>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</si>
  <si>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</si>
  <si>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</si>
  <si>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</si>
  <si>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</si>
  <si>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</si>
  <si>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</si>
  <si>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</si>
  <si>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</si>
  <si>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</si>
  <si>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</si>
  <si>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</si>
  <si>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</si>
  <si>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</si>
  <si>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</si>
  <si>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</si>
  <si>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</si>
  <si>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</si>
  <si>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</si>
  <si>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</si>
  <si>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</si>
  <si>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</si>
  <si>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</si>
  <si>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</si>
  <si>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</si>
  <si>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</si>
  <si>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</si>
  <si>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</si>
  <si>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</si>
  <si>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</si>
  <si>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</si>
  <si>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Cesiones individuales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</si>
  <si>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</si>
  <si>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</si>
  <si>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</si>
  <si>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</si>
  <si>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</si>
  <si>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</si>
  <si>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</si>
  <si>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Total P. investigación</t>
  </si>
  <si>
    <t>TOTAL CESIONES 2020</t>
  </si>
  <si>
    <t>DEL NORTE SPA. SIND. PESQ.</t>
  </si>
  <si>
    <t>ESPACIO PESQUERO SPA.</t>
  </si>
  <si>
    <t>Consumo Humano</t>
  </si>
  <si>
    <t xml:space="preserve">Adjudicatario </t>
  </si>
  <si>
    <t>Toneladas Asignadas</t>
  </si>
  <si>
    <t xml:space="preserve">Toneladas Capturadas </t>
  </si>
  <si>
    <t xml:space="preserve">Saldo por especie </t>
  </si>
  <si>
    <t>Resolución</t>
  </si>
  <si>
    <t>Cuota</t>
  </si>
  <si>
    <t>captura</t>
  </si>
  <si>
    <t>RESUMEN CONSUMO ANUAL ANCHOVETA Y SARDINA ESPAÑOLA XV-IV AÑO 2021. Dato en toneladas</t>
  </si>
  <si>
    <t>CONTROL CUOTA ANCHOVETA  XV - IV AÑO 2021</t>
  </si>
  <si>
    <t>CONTROL CUOTA SARDINA ESPAÑOLA ARTESANAL XV - IV AÑO 2021</t>
  </si>
  <si>
    <t>CONTROL CUOTA ANCHOVETA Y SARDINA ESPAÑOLA INDUSTRIAL XV - IV AÑO 2021</t>
  </si>
  <si>
    <t>CONTROL DE CUOTAS PESCA DE INVESTIGACIÓN AÑO 2021</t>
  </si>
  <si>
    <t>ANCHOVETA 2021</t>
  </si>
  <si>
    <t>SARDINA ESPAÑOLA 2021</t>
  </si>
  <si>
    <t>CONTROL DE CUOTAS CONSUMO HUMANO AÑO 2021</t>
  </si>
  <si>
    <t>Don Pancracio</t>
  </si>
  <si>
    <t>Garota IV</t>
  </si>
  <si>
    <t>B/C Abate Molina</t>
  </si>
  <si>
    <t>Doña Bernarda</t>
  </si>
  <si>
    <t>Ind-Art</t>
  </si>
  <si>
    <t>Antonia Belen</t>
  </si>
  <si>
    <t>Sebastian II</t>
  </si>
  <si>
    <t>Pancho Malo</t>
  </si>
  <si>
    <t>El Bellaco I</t>
  </si>
  <si>
    <t>El Lolito I</t>
  </si>
  <si>
    <t>Centauro</t>
  </si>
  <si>
    <t>Kiwi</t>
  </si>
  <si>
    <t>El Reno</t>
  </si>
  <si>
    <t>El Bellaco</t>
  </si>
  <si>
    <t>XV</t>
  </si>
  <si>
    <t>Niña Ximena</t>
  </si>
  <si>
    <t xml:space="preserve">Región </t>
  </si>
  <si>
    <t>Cuota Remanente 2020 (T)</t>
  </si>
  <si>
    <t>Captura (T)</t>
  </si>
  <si>
    <t>Saldo (T)</t>
  </si>
  <si>
    <t xml:space="preserve">% Consumido </t>
  </si>
  <si>
    <t>13/04/2021 - 12/05/2021</t>
  </si>
  <si>
    <t>Antofagasta</t>
  </si>
  <si>
    <t>Don Miguel</t>
  </si>
  <si>
    <t>Santa Marta</t>
  </si>
  <si>
    <t>Garota I</t>
  </si>
  <si>
    <t>Trinquete</t>
  </si>
  <si>
    <t>Don Nino I</t>
  </si>
  <si>
    <t>Mary Paz II</t>
  </si>
  <si>
    <t>Aldebaran II</t>
  </si>
  <si>
    <t>Don Rufino II</t>
  </si>
  <si>
    <t>Doña Mercedes</t>
  </si>
  <si>
    <t>Josefa II</t>
  </si>
  <si>
    <t>Don Eleuterio</t>
  </si>
  <si>
    <t>Genesis C</t>
  </si>
  <si>
    <t>Maria Elena</t>
  </si>
  <si>
    <t>Stgo Moran</t>
  </si>
  <si>
    <t>Javiera Selmira</t>
  </si>
  <si>
    <t>La Angelita</t>
  </si>
  <si>
    <t>El Tesoro</t>
  </si>
  <si>
    <t>Socoroma</t>
  </si>
  <si>
    <t>Socoroma I</t>
  </si>
  <si>
    <t>Don Luis</t>
  </si>
  <si>
    <t>Tom Jerry</t>
  </si>
  <si>
    <t>Daniela Andrea I</t>
  </si>
  <si>
    <t>Atenea II</t>
  </si>
  <si>
    <t>Delfin 2000</t>
  </si>
  <si>
    <t>Niebla</t>
  </si>
  <si>
    <t>Garota</t>
  </si>
  <si>
    <t>Garota II</t>
  </si>
  <si>
    <t>Garota V</t>
  </si>
  <si>
    <t>Doña Olga I</t>
  </si>
  <si>
    <t>Don Victorino</t>
  </si>
  <si>
    <t>Maria Soledad II</t>
  </si>
  <si>
    <t>CONTROL DE CUOTA REMANENTE EMBARCACION SARDINA ESPAÑOLA ARTESANAL II-IV 2021</t>
  </si>
  <si>
    <t>CONTROL DE CUOTA REMANENTE EMBARCACION ANCHOVETA ARTESANAL XV-IV 2021</t>
  </si>
  <si>
    <t>Tarapacá</t>
  </si>
  <si>
    <t>Isidora I</t>
  </si>
  <si>
    <t>Arica</t>
  </si>
  <si>
    <t>Josue</t>
  </si>
  <si>
    <t>Nahum</t>
  </si>
  <si>
    <t>Abraham</t>
  </si>
  <si>
    <t>Gianpiero I</t>
  </si>
  <si>
    <t>Valentina</t>
  </si>
  <si>
    <t>Aries I</t>
  </si>
  <si>
    <t>Antonela Paz</t>
  </si>
  <si>
    <t>Lobo de Afuera III</t>
  </si>
  <si>
    <t>Arkhos IV</t>
  </si>
  <si>
    <t>Arkhos I</t>
  </si>
  <si>
    <t>Abel</t>
  </si>
  <si>
    <t>Gracias a Dios I</t>
  </si>
  <si>
    <t>Coyi I</t>
  </si>
  <si>
    <t>Coyi II</t>
  </si>
  <si>
    <t>Santa Margarita I</t>
  </si>
  <si>
    <t>Karen Pamela</t>
  </si>
  <si>
    <t>Lobo de Afuera IV</t>
  </si>
  <si>
    <t>Lobo de Afuera V</t>
  </si>
  <si>
    <t>Isaura I</t>
  </si>
  <si>
    <t>Don Jose I</t>
  </si>
  <si>
    <t>Valencia</t>
  </si>
  <si>
    <t>Arkhos III</t>
  </si>
  <si>
    <t>Guajache II</t>
  </si>
  <si>
    <t>JJ</t>
  </si>
  <si>
    <t>Tuareg I</t>
  </si>
  <si>
    <t>Don Lucho</t>
  </si>
  <si>
    <t>Amadeus</t>
  </si>
  <si>
    <t>Amadeus II</t>
  </si>
  <si>
    <t>Doña Pilar II</t>
  </si>
  <si>
    <t>Arkhos II</t>
  </si>
  <si>
    <t>Cesar Miguel</t>
  </si>
  <si>
    <t>Humboldt II</t>
  </si>
  <si>
    <t>Gringo Pablo II</t>
  </si>
  <si>
    <t>Shalom II</t>
  </si>
  <si>
    <t>Petrohue III</t>
  </si>
  <si>
    <t>Marcelo Rodolfo</t>
  </si>
  <si>
    <t>Kaweskar</t>
  </si>
  <si>
    <t>Buenaventura</t>
  </si>
  <si>
    <t>Elva S</t>
  </si>
  <si>
    <t>Petrohue II</t>
  </si>
  <si>
    <t>Rina F Y M</t>
  </si>
  <si>
    <t>Daniel</t>
  </si>
  <si>
    <t>Loreto V</t>
  </si>
  <si>
    <t>Petrohue I</t>
  </si>
  <si>
    <t>Pelicano</t>
  </si>
  <si>
    <t>Chango I</t>
  </si>
  <si>
    <t>Santiago</t>
  </si>
  <si>
    <t>Ike I</t>
  </si>
  <si>
    <t>Giovanna Priscilla IV</t>
  </si>
  <si>
    <t>Don Atilio</t>
  </si>
  <si>
    <t>Don Benito II</t>
  </si>
  <si>
    <t>Sandy III</t>
  </si>
  <si>
    <t>Don Basilio</t>
  </si>
  <si>
    <t>Punta Pichicuy</t>
  </si>
  <si>
    <t>Sion</t>
  </si>
  <si>
    <t>Lonquimay 2</t>
  </si>
  <si>
    <t>Guillermo I</t>
  </si>
  <si>
    <t>El Cid</t>
  </si>
  <si>
    <t>Oso Yogui</t>
  </si>
  <si>
    <t>Maimau I</t>
  </si>
  <si>
    <t>Kali</t>
  </si>
  <si>
    <t>Candelaria II</t>
  </si>
  <si>
    <t>Chubasco I</t>
  </si>
  <si>
    <t>Xolot</t>
  </si>
  <si>
    <t>Don Marcial</t>
  </si>
  <si>
    <t>Virgo</t>
  </si>
  <si>
    <t>Estrella III</t>
  </si>
  <si>
    <t>Don Jose Miguel</t>
  </si>
  <si>
    <t>Fortuna IV</t>
  </si>
  <si>
    <t>Raquel I</t>
  </si>
  <si>
    <t>Trinidad</t>
  </si>
  <si>
    <t>Yuliana Antonella</t>
  </si>
  <si>
    <t>Don Jose Edgardo</t>
  </si>
  <si>
    <t>Sofia Magdalena</t>
  </si>
  <si>
    <t>Fortuna III</t>
  </si>
  <si>
    <t>Fortuna V</t>
  </si>
  <si>
    <t>Don Perucho II</t>
  </si>
  <si>
    <t>Santa Norma</t>
  </si>
  <si>
    <t>Garota III</t>
  </si>
  <si>
    <t>Maria Pabla</t>
  </si>
  <si>
    <t>Jepe I</t>
  </si>
  <si>
    <t>14/04/2021 - 13/05/2021</t>
  </si>
  <si>
    <t>Genesis  C</t>
  </si>
  <si>
    <t>Doña Adriana</t>
  </si>
  <si>
    <t>Kimba I</t>
  </si>
  <si>
    <t>Gracias A Dios I</t>
  </si>
  <si>
    <t>Lobo De Afuera IV</t>
  </si>
  <si>
    <t>Lobo De Afuera V</t>
  </si>
  <si>
    <t>Don Ricardo</t>
  </si>
  <si>
    <t>Charly</t>
  </si>
  <si>
    <t>Arica y Parinacota</t>
  </si>
  <si>
    <t>Región de Arica y Parinacota</t>
  </si>
  <si>
    <t>Región de Antofagasta</t>
  </si>
  <si>
    <t>Región de Atacama</t>
  </si>
  <si>
    <t>Arica y Parinacota - Tarapacá</t>
  </si>
  <si>
    <t>Región de Arica y Parinacota - Tarapacá</t>
  </si>
  <si>
    <t>Región de Coquimbo</t>
  </si>
  <si>
    <t>CONTROL DE CUOTA REMANENTE ANCHOVETA ARTESANAL 2021</t>
  </si>
  <si>
    <t>CONTROL DE CUOTA REMANENTE SARDINA ESPAÑOLA ARTESANAL 2021</t>
  </si>
  <si>
    <t>Cargos por excesos</t>
  </si>
  <si>
    <t>Don Andres II</t>
  </si>
  <si>
    <t>COMERCIAL JOSE MARTIN DE LA VEGA E.I.R.L.</t>
  </si>
  <si>
    <t>FRANCISCO HERNANDEZ PALACIOS PESCA LITORAL COSTERO E.I.R.L</t>
  </si>
  <si>
    <t>Maimau</t>
  </si>
  <si>
    <t>Mar Primero</t>
  </si>
  <si>
    <t>THOR FISHERIES CHILE SpA</t>
  </si>
  <si>
    <t>Doña Florina</t>
  </si>
  <si>
    <t>Punta Verde</t>
  </si>
  <si>
    <t>JORGE ORTÚZAR GELTEN</t>
  </si>
  <si>
    <t>I</t>
  </si>
  <si>
    <t>Daniela Andrea</t>
  </si>
  <si>
    <t>Santa norma</t>
  </si>
</sst>
</file>

<file path=xl/styles.xml><?xml version="1.0" encoding="utf-8"?>
<styleSheet xmlns="http://schemas.openxmlformats.org/spreadsheetml/2006/main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  <numFmt numFmtId="173" formatCode="#,##0.000"/>
    <numFmt numFmtId="174" formatCode="0.0%"/>
    <numFmt numFmtId="175" formatCode="#,000.000_ "/>
    <numFmt numFmtId="176" formatCode="0.00_ "/>
    <numFmt numFmtId="177" formatCode="0.000_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trike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9" fontId="0" fillId="0" borderId="1" xfId="0" applyNumberFormat="1" applyFont="1" applyFill="1" applyBorder="1"/>
    <xf numFmtId="9" fontId="0" fillId="0" borderId="0" xfId="1" applyFont="1"/>
    <xf numFmtId="166" fontId="0" fillId="0" borderId="1" xfId="0" applyNumberFormat="1" applyFont="1" applyFill="1" applyBorder="1"/>
    <xf numFmtId="169" fontId="0" fillId="0" borderId="4" xfId="0" applyNumberFormat="1" applyFont="1" applyFill="1" applyBorder="1"/>
    <xf numFmtId="0" fontId="0" fillId="0" borderId="8" xfId="0" applyFont="1" applyFill="1" applyBorder="1"/>
    <xf numFmtId="166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9" fontId="0" fillId="0" borderId="3" xfId="0" applyNumberFormat="1" applyFont="1" applyFill="1" applyBorder="1"/>
    <xf numFmtId="0" fontId="0" fillId="0" borderId="5" xfId="0" applyFont="1" applyFill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9" fontId="0" fillId="0" borderId="5" xfId="0" applyNumberFormat="1" applyFont="1" applyFill="1" applyBorder="1"/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9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6" fontId="0" fillId="0" borderId="1" xfId="0" applyNumberFormat="1" applyFont="1" applyBorder="1"/>
    <xf numFmtId="169" fontId="0" fillId="0" borderId="1" xfId="0" applyNumberFormat="1" applyFont="1" applyBorder="1"/>
    <xf numFmtId="166" fontId="0" fillId="0" borderId="8" xfId="0" applyNumberFormat="1" applyFont="1" applyBorder="1"/>
    <xf numFmtId="169" fontId="0" fillId="0" borderId="8" xfId="0" applyNumberFormat="1" applyFont="1" applyBorder="1"/>
    <xf numFmtId="169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3" xfId="0" applyNumberFormat="1" applyBorder="1"/>
    <xf numFmtId="169" fontId="0" fillId="0" borderId="5" xfId="0" applyNumberFormat="1" applyBorder="1"/>
    <xf numFmtId="169" fontId="0" fillId="0" borderId="23" xfId="0" applyNumberFormat="1" applyBorder="1"/>
    <xf numFmtId="169" fontId="0" fillId="0" borderId="10" xfId="0" applyNumberFormat="1" applyBorder="1"/>
    <xf numFmtId="169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9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9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9" fontId="0" fillId="0" borderId="23" xfId="0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8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170" fontId="0" fillId="0" borderId="3" xfId="0" applyNumberFormat="1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70" fontId="0" fillId="0" borderId="1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69" fontId="0" fillId="0" borderId="3" xfId="0" applyNumberFormat="1" applyFill="1" applyBorder="1"/>
    <xf numFmtId="169" fontId="0" fillId="4" borderId="1" xfId="0" applyNumberFormat="1" applyFill="1" applyBorder="1" applyAlignment="1">
      <alignment horizontal="right" vertical="center"/>
    </xf>
    <xf numFmtId="169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2" fontId="0" fillId="0" borderId="3" xfId="1" applyNumberFormat="1" applyFont="1" applyBorder="1" applyAlignment="1">
      <alignment horizontal="center" vertical="center"/>
    </xf>
    <xf numFmtId="172" fontId="0" fillId="3" borderId="1" xfId="1" applyNumberFormat="1" applyFont="1" applyFill="1" applyBorder="1" applyAlignment="1">
      <alignment horizontal="center" vertical="center"/>
    </xf>
    <xf numFmtId="170" fontId="0" fillId="0" borderId="0" xfId="0" applyNumberFormat="1"/>
    <xf numFmtId="172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30" fillId="36" borderId="5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left" vertical="center"/>
    </xf>
    <xf numFmtId="0" fontId="30" fillId="36" borderId="2" xfId="0" applyFont="1" applyFill="1" applyBorder="1" applyAlignment="1">
      <alignment horizontal="left" vertical="center" wrapText="1"/>
    </xf>
    <xf numFmtId="0" fontId="30" fillId="36" borderId="8" xfId="0" applyFont="1" applyFill="1" applyBorder="1" applyAlignment="1">
      <alignment horizontal="left" vertical="center" wrapText="1"/>
    </xf>
    <xf numFmtId="0" fontId="0" fillId="37" borderId="4" xfId="0" applyFont="1" applyFill="1" applyBorder="1" applyAlignment="1">
      <alignment horizontal="left"/>
    </xf>
    <xf numFmtId="169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9" fontId="0" fillId="37" borderId="1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/>
    </xf>
    <xf numFmtId="169" fontId="0" fillId="37" borderId="8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9" fontId="0" fillId="37" borderId="5" xfId="0" applyNumberFormat="1" applyFont="1" applyFill="1" applyBorder="1" applyAlignment="1">
      <alignment horizontal="right" vertical="center"/>
    </xf>
    <xf numFmtId="169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9" fontId="0" fillId="37" borderId="2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2" fontId="0" fillId="0" borderId="1" xfId="1" applyNumberFormat="1" applyFont="1" applyFill="1" applyBorder="1" applyAlignment="1">
      <alignment horizontal="center" vertical="center"/>
    </xf>
    <xf numFmtId="16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/>
    <xf numFmtId="0" fontId="0" fillId="4" borderId="1" xfId="0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" fillId="4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44" borderId="1" xfId="0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0" fillId="44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right" vertical="center"/>
    </xf>
    <xf numFmtId="176" fontId="2" fillId="5" borderId="45" xfId="0" applyNumberFormat="1" applyFont="1" applyFill="1" applyBorder="1" applyAlignment="1">
      <alignment horizontal="right" vertical="center"/>
    </xf>
    <xf numFmtId="177" fontId="2" fillId="5" borderId="45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169" fontId="0" fillId="37" borderId="45" xfId="0" applyNumberFormat="1" applyFont="1" applyFill="1" applyBorder="1" applyAlignment="1">
      <alignment horizontal="right" vertical="center"/>
    </xf>
    <xf numFmtId="0" fontId="0" fillId="0" borderId="45" xfId="0" applyFont="1" applyFill="1" applyBorder="1"/>
    <xf numFmtId="0" fontId="0" fillId="0" borderId="1" xfId="0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 wrapText="1"/>
    </xf>
    <xf numFmtId="0" fontId="30" fillId="32" borderId="46" xfId="0" applyFont="1" applyFill="1" applyBorder="1" applyAlignment="1">
      <alignment horizontal="center" vertical="center"/>
    </xf>
    <xf numFmtId="0" fontId="30" fillId="32" borderId="46" xfId="0" applyFont="1" applyFill="1" applyBorder="1" applyAlignment="1">
      <alignment horizontal="center" vertical="center" wrapText="1"/>
    </xf>
    <xf numFmtId="169" fontId="0" fillId="3" borderId="46" xfId="0" applyNumberFormat="1" applyFill="1" applyBorder="1" applyAlignment="1">
      <alignment horizontal="center" vertical="center"/>
    </xf>
    <xf numFmtId="9" fontId="0" fillId="3" borderId="46" xfId="1" applyFont="1" applyFill="1" applyBorder="1" applyAlignment="1">
      <alignment horizontal="center" vertical="center"/>
    </xf>
    <xf numFmtId="169" fontId="0" fillId="3" borderId="45" xfId="0" applyNumberFormat="1" applyFill="1" applyBorder="1" applyAlignment="1">
      <alignment horizontal="center" vertical="center"/>
    </xf>
    <xf numFmtId="9" fontId="0" fillId="3" borderId="45" xfId="1" applyFont="1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34" borderId="46" xfId="0" applyFont="1" applyFill="1" applyBorder="1" applyAlignment="1">
      <alignment horizontal="left" vertical="center" wrapText="1"/>
    </xf>
    <xf numFmtId="169" fontId="0" fillId="2" borderId="46" xfId="0" applyNumberFormat="1" applyFont="1" applyFill="1" applyBorder="1" applyAlignment="1">
      <alignment horizontal="right" vertical="center"/>
    </xf>
    <xf numFmtId="0" fontId="0" fillId="0" borderId="46" xfId="0" applyFont="1" applyBorder="1"/>
    <xf numFmtId="0" fontId="30" fillId="36" borderId="46" xfId="0" applyFont="1" applyFill="1" applyBorder="1" applyAlignment="1">
      <alignment horizontal="left" vertical="center" wrapText="1"/>
    </xf>
    <xf numFmtId="169" fontId="0" fillId="37" borderId="46" xfId="0" applyNumberFormat="1" applyFont="1" applyFill="1" applyBorder="1" applyAlignment="1">
      <alignment horizontal="right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/>
    <xf numFmtId="0" fontId="2" fillId="0" borderId="8" xfId="0" applyFont="1" applyBorder="1"/>
    <xf numFmtId="0" fontId="0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4" fontId="40" fillId="42" borderId="1" xfId="0" applyNumberFormat="1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43" borderId="1" xfId="0" applyFont="1" applyFill="1" applyBorder="1" applyAlignment="1">
      <alignment horizontal="center" vertical="center"/>
    </xf>
    <xf numFmtId="14" fontId="2" fillId="4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71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7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32" fillId="34" borderId="1" xfId="0" applyFont="1" applyFill="1" applyBorder="1" applyAlignment="1">
      <alignment horizontal="left" vertical="center" wrapText="1"/>
    </xf>
    <xf numFmtId="0" fontId="30" fillId="36" borderId="2" xfId="0" applyFont="1" applyFill="1" applyBorder="1" applyAlignment="1">
      <alignment horizontal="center" vertical="center"/>
    </xf>
    <xf numFmtId="0" fontId="30" fillId="36" borderId="4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40" borderId="33" xfId="0" applyFont="1" applyFill="1" applyBorder="1" applyAlignment="1">
      <alignment horizontal="center" vertical="center" textRotation="90" wrapText="1"/>
    </xf>
    <xf numFmtId="0" fontId="3" fillId="40" borderId="23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0" fillId="36" borderId="4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 wrapText="1"/>
    </xf>
    <xf numFmtId="0" fontId="30" fillId="36" borderId="4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40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171" fontId="0" fillId="0" borderId="13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40" xfId="0" applyFont="1" applyFill="1" applyBorder="1" applyAlignment="1">
      <alignment horizontal="center" vertical="center" textRotation="90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46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9" fontId="0" fillId="0" borderId="44" xfId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74" fontId="0" fillId="0" borderId="44" xfId="1" applyNumberFormat="1" applyFont="1" applyBorder="1" applyAlignment="1">
      <alignment horizontal="center" vertical="center" wrapText="1"/>
    </xf>
    <xf numFmtId="174" fontId="0" fillId="0" borderId="3" xfId="1" applyNumberFormat="1" applyFont="1" applyBorder="1" applyAlignment="1">
      <alignment horizontal="center" vertical="center" wrapText="1"/>
    </xf>
    <xf numFmtId="174" fontId="0" fillId="0" borderId="4" xfId="1" applyNumberFormat="1" applyFont="1" applyBorder="1" applyAlignment="1">
      <alignment horizontal="center" vertical="center" wrapText="1"/>
    </xf>
    <xf numFmtId="173" fontId="0" fillId="0" borderId="4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9" fontId="7" fillId="0" borderId="44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5" fontId="1" fillId="5" borderId="46" xfId="0" applyNumberFormat="1" applyFont="1" applyFill="1" applyBorder="1" applyAlignment="1">
      <alignment horizontal="center" vertical="center"/>
    </xf>
    <xf numFmtId="175" fontId="1" fillId="5" borderId="3" xfId="0" applyNumberFormat="1" applyFont="1" applyFill="1" applyBorder="1" applyAlignment="1">
      <alignment horizontal="center" vertical="center"/>
    </xf>
    <xf numFmtId="172" fontId="0" fillId="0" borderId="45" xfId="1" applyNumberFormat="1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 2" xfId="14"/>
    <cellStyle name="Porcentaje 3" xfId="15"/>
    <cellStyle name="Porcentual" xfId="1" builtinId="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workbookViewId="0">
      <selection activeCell="C5" sqref="C5:J5"/>
    </sheetView>
  </sheetViews>
  <sheetFormatPr baseColWidth="10" defaultRowHeight="15"/>
  <cols>
    <col min="2" max="2" width="18.85546875" bestFit="1" customWidth="1"/>
    <col min="3" max="3" width="29.5703125" customWidth="1"/>
    <col min="4" max="4" width="21" bestFit="1" customWidth="1"/>
    <col min="5" max="5" width="14.5703125" bestFit="1" customWidth="1"/>
    <col min="6" max="6" width="12.85546875" bestFit="1" customWidth="1"/>
    <col min="9" max="9" width="11.85546875" bestFit="1" customWidth="1"/>
  </cols>
  <sheetData>
    <row r="2" spans="2:10">
      <c r="B2" s="280" t="s">
        <v>152</v>
      </c>
      <c r="C2" s="280"/>
      <c r="D2" s="280"/>
      <c r="E2" s="280"/>
      <c r="F2" s="280"/>
      <c r="G2" s="280"/>
      <c r="H2" s="280"/>
      <c r="I2" s="280"/>
      <c r="J2" s="280"/>
    </row>
    <row r="3" spans="2:10">
      <c r="B3" s="280"/>
      <c r="C3" s="280"/>
      <c r="D3" s="280"/>
      <c r="E3" s="280"/>
      <c r="F3" s="280"/>
      <c r="G3" s="280"/>
      <c r="H3" s="280"/>
      <c r="I3" s="280"/>
      <c r="J3" s="280"/>
    </row>
    <row r="4" spans="2:10">
      <c r="C4" s="282">
        <v>44454</v>
      </c>
      <c r="D4" s="282"/>
      <c r="E4" s="282"/>
      <c r="F4" s="282"/>
      <c r="G4" s="282"/>
      <c r="H4" s="282"/>
      <c r="I4" s="282"/>
      <c r="J4" s="282"/>
    </row>
    <row r="5" spans="2:10">
      <c r="C5" s="283" t="s">
        <v>0</v>
      </c>
      <c r="D5" s="283"/>
      <c r="E5" s="283"/>
      <c r="F5" s="283"/>
      <c r="G5" s="283"/>
      <c r="H5" s="283"/>
      <c r="I5" s="283"/>
      <c r="J5" s="283"/>
    </row>
    <row r="8" spans="2:10">
      <c r="B8" s="13" t="s">
        <v>1</v>
      </c>
      <c r="C8" s="13" t="s">
        <v>114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2:10" ht="15" customHeight="1">
      <c r="B9" s="284" t="s">
        <v>116</v>
      </c>
      <c r="C9" s="281" t="s">
        <v>112</v>
      </c>
      <c r="D9" s="14" t="s">
        <v>9</v>
      </c>
      <c r="E9" s="113">
        <f>'Artesanal Anchoveta XV-IV'!N7</f>
        <v>79728</v>
      </c>
      <c r="F9" s="142">
        <f>'Artesanal Anchoveta XV-IV'!O7</f>
        <v>7437</v>
      </c>
      <c r="G9" s="105">
        <f>'Artesanal Anchoveta XV-IV'!P7</f>
        <v>87165</v>
      </c>
      <c r="H9" s="105">
        <f>'Artesanal Anchoveta XV-IV'!Q7</f>
        <v>79377.888999999996</v>
      </c>
      <c r="I9" s="105">
        <f>'Artesanal Anchoveta XV-IV'!R7</f>
        <v>7787.1110000000044</v>
      </c>
      <c r="J9" s="111">
        <f>'Artesanal Anchoveta XV-IV'!S7</f>
        <v>0.91066241037113516</v>
      </c>
    </row>
    <row r="10" spans="2:10">
      <c r="B10" s="284"/>
      <c r="C10" s="281"/>
      <c r="D10" s="14" t="s">
        <v>10</v>
      </c>
      <c r="E10" s="113">
        <f>+'Artesanal Anchoveta XV-IV'!N8</f>
        <v>30056</v>
      </c>
      <c r="F10" s="142">
        <f>+'Artesanal Anchoveta XV-IV'!O8</f>
        <v>0</v>
      </c>
      <c r="G10" s="105">
        <f>+'Artesanal Anchoveta XV-IV'!P8</f>
        <v>30056</v>
      </c>
      <c r="H10" s="105">
        <f>+'Artesanal Anchoveta XV-IV'!Q8</f>
        <v>21675.215</v>
      </c>
      <c r="I10" s="105">
        <f t="shared" ref="I10:I20" si="0">+G10-H10</f>
        <v>8380.7849999999999</v>
      </c>
      <c r="J10" s="111">
        <f t="shared" ref="J10:J20" si="1">+H10/G10</f>
        <v>0.72116099946766032</v>
      </c>
    </row>
    <row r="11" spans="2:10" s="1" customFormat="1">
      <c r="B11" s="284"/>
      <c r="C11" s="281"/>
      <c r="D11" s="14" t="s">
        <v>11</v>
      </c>
      <c r="E11" s="113">
        <f>+'Artesanal Anchoveta XV-IV'!N10</f>
        <v>24219</v>
      </c>
      <c r="F11" s="142">
        <f>+'Artesanal Anchoveta XV-IV'!O10</f>
        <v>0</v>
      </c>
      <c r="G11" s="105">
        <f>+'Artesanal Anchoveta XV-IV'!P10</f>
        <v>24219</v>
      </c>
      <c r="H11" s="105">
        <f>+'Artesanal Anchoveta XV-IV'!Q10</f>
        <v>8015</v>
      </c>
      <c r="I11" s="105">
        <f t="shared" si="0"/>
        <v>16204</v>
      </c>
      <c r="J11" s="111">
        <f t="shared" si="1"/>
        <v>0.33093851934431645</v>
      </c>
    </row>
    <row r="12" spans="2:10" ht="15" customHeight="1">
      <c r="B12" s="284"/>
      <c r="C12" s="281"/>
      <c r="D12" s="14" t="s">
        <v>12</v>
      </c>
      <c r="E12" s="113">
        <f>+'Artesanal Anchoveta XV-IV'!F11+'Artesanal Anchoveta XV-IV'!F12</f>
        <v>10379</v>
      </c>
      <c r="F12" s="142">
        <f>+'Artesanal Anchoveta XV-IV'!G11+'Artesanal Anchoveta XV-IV'!G12</f>
        <v>0</v>
      </c>
      <c r="G12" s="105">
        <f>+'Artesanal Anchoveta XV-IV'!H11+'Artesanal Anchoveta XV-IV'!H12</f>
        <v>10379</v>
      </c>
      <c r="H12" s="105">
        <f>+'Artesanal Anchoveta XV-IV'!I11+'Artesanal Anchoveta XV-IV'!I12</f>
        <v>10171.352999999999</v>
      </c>
      <c r="I12" s="105">
        <f t="shared" si="0"/>
        <v>207.64700000000084</v>
      </c>
      <c r="J12" s="111">
        <f t="shared" si="1"/>
        <v>0.97999354465748134</v>
      </c>
    </row>
    <row r="13" spans="2:10">
      <c r="B13" s="284"/>
      <c r="C13" s="281"/>
      <c r="D13" s="14" t="s">
        <v>13</v>
      </c>
      <c r="E13" s="113">
        <f>+'Artesanal Anchoveta XV-IV'!F9</f>
        <v>1000</v>
      </c>
      <c r="F13" s="113">
        <f>+'Artesanal Anchoveta XV-IV'!G9</f>
        <v>0</v>
      </c>
      <c r="G13" s="113">
        <f>+'Artesanal Anchoveta XV-IV'!H9</f>
        <v>1000</v>
      </c>
      <c r="H13" s="113">
        <f>+'Artesanal Anchoveta XV-IV'!I9</f>
        <v>0</v>
      </c>
      <c r="I13" s="105">
        <f t="shared" si="0"/>
        <v>1000</v>
      </c>
      <c r="J13" s="111">
        <f t="shared" si="1"/>
        <v>0</v>
      </c>
    </row>
    <row r="14" spans="2:10">
      <c r="B14" s="284"/>
      <c r="C14" s="281"/>
      <c r="D14" s="14" t="s">
        <v>14</v>
      </c>
      <c r="E14" s="113">
        <f>+'Artesanal Anchoveta XV-IV'!F13</f>
        <v>500</v>
      </c>
      <c r="F14" s="113">
        <f>+'Artesanal Anchoveta XV-IV'!G13</f>
        <v>0</v>
      </c>
      <c r="G14" s="113">
        <f>+'Artesanal Anchoveta XV-IV'!H13</f>
        <v>500</v>
      </c>
      <c r="H14" s="113">
        <f>+'Artesanal Anchoveta XV-IV'!I13</f>
        <v>0</v>
      </c>
      <c r="I14" s="105">
        <f t="shared" si="0"/>
        <v>500</v>
      </c>
      <c r="J14" s="111">
        <f t="shared" si="1"/>
        <v>0</v>
      </c>
    </row>
    <row r="15" spans="2:10" ht="15" customHeight="1">
      <c r="B15" s="284"/>
      <c r="C15" s="281" t="s">
        <v>113</v>
      </c>
      <c r="D15" s="14" t="s">
        <v>9</v>
      </c>
      <c r="E15" s="113">
        <f>+'Artesanal S.española XV-IV'!M7</f>
        <v>733</v>
      </c>
      <c r="F15" s="143">
        <f>+'Artesanal S.española XV-IV'!N7</f>
        <v>0</v>
      </c>
      <c r="G15" s="113">
        <f>+'Artesanal S.española XV-IV'!O7</f>
        <v>733</v>
      </c>
      <c r="H15" s="113">
        <f>+'Artesanal S.española XV-IV'!P7</f>
        <v>38.197000000000003</v>
      </c>
      <c r="I15" s="113">
        <f t="shared" si="0"/>
        <v>694.803</v>
      </c>
      <c r="J15" s="140">
        <f t="shared" si="1"/>
        <v>5.2110504774897683E-2</v>
      </c>
    </row>
    <row r="16" spans="2:10">
      <c r="B16" s="284"/>
      <c r="C16" s="281"/>
      <c r="D16" s="14" t="s">
        <v>10</v>
      </c>
      <c r="E16" s="113">
        <f>+'Artesanal S.española XV-IV'!M8</f>
        <v>2772</v>
      </c>
      <c r="F16" s="143">
        <f>+'Artesanal S.española XV-IV'!N8</f>
        <v>0</v>
      </c>
      <c r="G16" s="113">
        <f>+'Artesanal S.española XV-IV'!O8</f>
        <v>2772</v>
      </c>
      <c r="H16" s="113">
        <f>+'Artesanal S.española XV-IV'!P8</f>
        <v>901.38199999999995</v>
      </c>
      <c r="I16" s="113">
        <f t="shared" si="0"/>
        <v>1870.6179999999999</v>
      </c>
      <c r="J16" s="140">
        <f t="shared" si="1"/>
        <v>0.32517388167388167</v>
      </c>
    </row>
    <row r="17" spans="2:10">
      <c r="B17" s="284"/>
      <c r="C17" s="281"/>
      <c r="D17" s="14" t="s">
        <v>11</v>
      </c>
      <c r="E17" s="113">
        <f>+'Artesanal S.española XV-IV'!M10</f>
        <v>387.5</v>
      </c>
      <c r="F17" s="143">
        <f>+'Artesanal S.española XV-IV'!N10</f>
        <v>0</v>
      </c>
      <c r="G17" s="113">
        <f>+'Artesanal S.española XV-IV'!O10</f>
        <v>387.5</v>
      </c>
      <c r="H17" s="113">
        <f>+'Artesanal S.española XV-IV'!P10</f>
        <v>108.34</v>
      </c>
      <c r="I17" s="113">
        <f t="shared" si="0"/>
        <v>279.15999999999997</v>
      </c>
      <c r="J17" s="140">
        <f t="shared" si="1"/>
        <v>0.27958709677419358</v>
      </c>
    </row>
    <row r="18" spans="2:10">
      <c r="B18" s="284"/>
      <c r="C18" s="281"/>
      <c r="D18" s="14" t="s">
        <v>12</v>
      </c>
      <c r="E18" s="113">
        <f>+'Artesanal S.española XV-IV'!M11</f>
        <v>387.5</v>
      </c>
      <c r="F18" s="143">
        <f>+'Artesanal S.española XV-IV'!N11</f>
        <v>0</v>
      </c>
      <c r="G18" s="113">
        <f>+'Artesanal S.española XV-IV'!O11</f>
        <v>387.5</v>
      </c>
      <c r="H18" s="113">
        <f>+'Artesanal S.española XV-IV'!P11</f>
        <v>26.05</v>
      </c>
      <c r="I18" s="113">
        <f t="shared" si="0"/>
        <v>361.45</v>
      </c>
      <c r="J18" s="140">
        <f t="shared" si="1"/>
        <v>6.7225806451612899E-2</v>
      </c>
    </row>
    <row r="19" spans="2:10">
      <c r="B19" s="284"/>
      <c r="C19" s="281"/>
      <c r="D19" s="14" t="s">
        <v>13</v>
      </c>
      <c r="E19" s="113">
        <f>+'Artesanal S.española XV-IV'!F9</f>
        <v>10</v>
      </c>
      <c r="F19" s="113">
        <f>+'Artesanal S.española XV-IV'!G9</f>
        <v>0</v>
      </c>
      <c r="G19" s="113">
        <f>+'Artesanal S.española XV-IV'!H9</f>
        <v>10</v>
      </c>
      <c r="H19" s="113">
        <f>+'Artesanal S.española XV-IV'!I9</f>
        <v>0</v>
      </c>
      <c r="I19" s="105">
        <f t="shared" si="0"/>
        <v>10</v>
      </c>
      <c r="J19" s="111">
        <f t="shared" si="1"/>
        <v>0</v>
      </c>
    </row>
    <row r="20" spans="2:10">
      <c r="B20" s="284"/>
      <c r="C20" s="281"/>
      <c r="D20" s="14" t="s">
        <v>14</v>
      </c>
      <c r="E20" s="113">
        <f>+'Artesanal S.española XV-IV'!F12</f>
        <v>100</v>
      </c>
      <c r="F20" s="113">
        <f>+'Artesanal S.española XV-IV'!G12</f>
        <v>0</v>
      </c>
      <c r="G20" s="113">
        <f>+'Artesanal S.española XV-IV'!H12</f>
        <v>100</v>
      </c>
      <c r="H20" s="113">
        <f>+'Artesanal S.española XV-IV'!I12</f>
        <v>5.742</v>
      </c>
      <c r="I20" s="105">
        <f t="shared" si="0"/>
        <v>94.257999999999996</v>
      </c>
      <c r="J20" s="111">
        <f t="shared" si="1"/>
        <v>5.7419999999999999E-2</v>
      </c>
    </row>
    <row r="21" spans="2:10" s="1" customFormat="1" ht="28.5" customHeight="1">
      <c r="B21" s="13" t="s">
        <v>115</v>
      </c>
      <c r="C21" s="286" t="s">
        <v>118</v>
      </c>
      <c r="D21" s="285" t="s">
        <v>15</v>
      </c>
      <c r="E21" s="113">
        <v>137</v>
      </c>
      <c r="F21" s="142">
        <v>0</v>
      </c>
      <c r="G21" s="105">
        <f t="shared" ref="G21:G26" si="2">+E21+F21</f>
        <v>137</v>
      </c>
      <c r="H21" s="105">
        <f>+'P. Investigación'!H9+'P. Investigación'!H26+'P. Investigación'!H33</f>
        <v>0</v>
      </c>
      <c r="I21" s="105">
        <f>+G21-H21</f>
        <v>137</v>
      </c>
      <c r="J21" s="111">
        <f>+H21/G21</f>
        <v>0</v>
      </c>
    </row>
    <row r="22" spans="2:10" s="101" customFormat="1" ht="18.75" customHeight="1">
      <c r="B22" s="199" t="s">
        <v>144</v>
      </c>
      <c r="C22" s="287"/>
      <c r="D22" s="285"/>
      <c r="E22" s="113">
        <v>7437</v>
      </c>
      <c r="F22" s="142">
        <v>0</v>
      </c>
      <c r="G22" s="105">
        <f>+E22+F22</f>
        <v>7437</v>
      </c>
      <c r="H22" s="105"/>
      <c r="I22" s="105">
        <f>+G22-H22</f>
        <v>7437</v>
      </c>
      <c r="J22" s="111">
        <f>+H22/G22</f>
        <v>0</v>
      </c>
    </row>
    <row r="23" spans="2:10" s="1" customFormat="1">
      <c r="B23" s="13" t="s">
        <v>117</v>
      </c>
      <c r="C23" s="100" t="s">
        <v>112</v>
      </c>
      <c r="D23" s="285"/>
      <c r="E23" s="113">
        <v>7437</v>
      </c>
      <c r="F23" s="142">
        <f>-7437</f>
        <v>-7437</v>
      </c>
      <c r="G23" s="113">
        <f>+E23+F23</f>
        <v>0</v>
      </c>
      <c r="H23" s="105">
        <v>0</v>
      </c>
      <c r="I23" s="105">
        <v>0</v>
      </c>
      <c r="J23" s="111">
        <v>0</v>
      </c>
    </row>
    <row r="24" spans="2:10" s="1" customFormat="1">
      <c r="B24" s="13" t="s">
        <v>115</v>
      </c>
      <c r="C24" s="100" t="s">
        <v>111</v>
      </c>
      <c r="D24" s="285" t="s">
        <v>16</v>
      </c>
      <c r="E24" s="113">
        <v>82</v>
      </c>
      <c r="F24" s="142">
        <v>0</v>
      </c>
      <c r="G24" s="105">
        <f t="shared" si="2"/>
        <v>82</v>
      </c>
      <c r="H24" s="105">
        <f>+'P. Investigación'!H19+'P. Investigación'!H42</f>
        <v>0</v>
      </c>
      <c r="I24" s="105">
        <f>+G24-H24</f>
        <v>82</v>
      </c>
      <c r="J24" s="111">
        <f>+H24/G24</f>
        <v>0</v>
      </c>
    </row>
    <row r="25" spans="2:10" s="101" customFormat="1">
      <c r="B25" s="199" t="s">
        <v>144</v>
      </c>
      <c r="C25" s="100" t="s">
        <v>112</v>
      </c>
      <c r="D25" s="285"/>
      <c r="E25" s="113">
        <v>709</v>
      </c>
      <c r="F25" s="142"/>
      <c r="G25" s="105">
        <f t="shared" si="2"/>
        <v>709</v>
      </c>
      <c r="H25" s="105"/>
      <c r="I25" s="105">
        <f>+G25-H25</f>
        <v>709</v>
      </c>
      <c r="J25" s="111">
        <f>+H25/G25</f>
        <v>0</v>
      </c>
    </row>
    <row r="26" spans="2:10" s="1" customFormat="1">
      <c r="B26" s="13" t="s">
        <v>115</v>
      </c>
      <c r="C26" s="100" t="s">
        <v>113</v>
      </c>
      <c r="D26" s="285"/>
      <c r="E26" s="113">
        <v>0</v>
      </c>
      <c r="F26" s="142">
        <v>0</v>
      </c>
      <c r="G26" s="105">
        <f t="shared" si="2"/>
        <v>0</v>
      </c>
      <c r="H26" s="105">
        <v>0</v>
      </c>
      <c r="I26" s="105">
        <v>0</v>
      </c>
      <c r="J26" s="111">
        <v>0</v>
      </c>
    </row>
    <row r="27" spans="2:10">
      <c r="B27" s="284" t="s">
        <v>110</v>
      </c>
      <c r="C27" s="281" t="s">
        <v>111</v>
      </c>
      <c r="D27" s="17" t="s">
        <v>15</v>
      </c>
      <c r="E27" s="113">
        <f>+Industrial!K27</f>
        <v>617904.88599999994</v>
      </c>
      <c r="F27" s="142">
        <f>+Industrial!L27</f>
        <v>-126502.845</v>
      </c>
      <c r="G27" s="105">
        <f>+Industrial!M27</f>
        <v>491402.04099999997</v>
      </c>
      <c r="H27" s="105">
        <f>+Industrial!N27</f>
        <v>87204.963999999993</v>
      </c>
      <c r="I27" s="105">
        <f>+G27-H27</f>
        <v>404197.07699999999</v>
      </c>
      <c r="J27" s="111">
        <f>+H27/G27</f>
        <v>0.1774615421265619</v>
      </c>
    </row>
    <row r="28" spans="2:10">
      <c r="B28" s="284"/>
      <c r="C28" s="281"/>
      <c r="D28" s="17" t="s">
        <v>16</v>
      </c>
      <c r="E28" s="113">
        <f>+Industrial!K44</f>
        <v>35098.004999999997</v>
      </c>
      <c r="F28" s="142">
        <f>+Industrial!L44</f>
        <v>-29563.649999999998</v>
      </c>
      <c r="G28" s="105">
        <f>+Industrial!M44</f>
        <v>5534.3549999999959</v>
      </c>
      <c r="H28" s="105">
        <f>+Industrial!N44</f>
        <v>0</v>
      </c>
      <c r="I28" s="105">
        <f t="shared" ref="I28:I30" si="3">+G28-H28</f>
        <v>5534.3549999999959</v>
      </c>
      <c r="J28" s="111">
        <f>+H28/G28</f>
        <v>0</v>
      </c>
    </row>
    <row r="29" spans="2:10">
      <c r="B29" s="284"/>
      <c r="C29" s="281" t="s">
        <v>119</v>
      </c>
      <c r="D29" s="17" t="s">
        <v>15</v>
      </c>
      <c r="E29" s="113">
        <f>+Industrial!K51</f>
        <v>1484.9989999999998</v>
      </c>
      <c r="F29" s="142">
        <f>+Industrial!L51</f>
        <v>0</v>
      </c>
      <c r="G29" s="105">
        <f>+Industrial!M51</f>
        <v>1484.9989999999998</v>
      </c>
      <c r="H29" s="105">
        <f>+Industrial!N51</f>
        <v>79.049000000000007</v>
      </c>
      <c r="I29" s="105">
        <f t="shared" si="3"/>
        <v>1405.9499999999998</v>
      </c>
      <c r="J29" s="111">
        <f>+H29/G29</f>
        <v>5.3231685677902825E-2</v>
      </c>
    </row>
    <row r="30" spans="2:10">
      <c r="B30" s="284"/>
      <c r="C30" s="281"/>
      <c r="D30" s="17" t="s">
        <v>16</v>
      </c>
      <c r="E30" s="113">
        <f>+Industrial!K62</f>
        <v>875.00099999999986</v>
      </c>
      <c r="F30" s="142">
        <f>+Industrial!L62</f>
        <v>-170</v>
      </c>
      <c r="G30" s="105">
        <f>+Industrial!M62</f>
        <v>705.00099999999986</v>
      </c>
      <c r="H30" s="105">
        <f>+Industrial!N62</f>
        <v>0</v>
      </c>
      <c r="I30" s="105">
        <f t="shared" si="3"/>
        <v>705.00099999999986</v>
      </c>
      <c r="J30" s="111">
        <f>+H30/G30</f>
        <v>0</v>
      </c>
    </row>
    <row r="31" spans="2:10" s="101" customFormat="1">
      <c r="B31" s="277" t="s">
        <v>132</v>
      </c>
      <c r="C31" s="146" t="s">
        <v>112</v>
      </c>
      <c r="D31" s="278" t="s">
        <v>133</v>
      </c>
      <c r="E31" s="113">
        <v>0</v>
      </c>
      <c r="F31" s="142">
        <f>+'Cesiones ind y colec'!S5</f>
        <v>156066.495</v>
      </c>
      <c r="G31" s="105">
        <f>+'Cesiones ind y colec'!S5</f>
        <v>156066.495</v>
      </c>
      <c r="H31" s="105">
        <f>+'Cesiones ind y colec'!T5</f>
        <v>42014.949999999968</v>
      </c>
      <c r="I31" s="105">
        <f>+'Cesiones ind y colec'!U5</f>
        <v>114051.54500000003</v>
      </c>
      <c r="J31" s="111">
        <f>+'Cesiones ind y colec'!V5</f>
        <v>0.26921185101260825</v>
      </c>
    </row>
    <row r="32" spans="2:10" s="101" customFormat="1">
      <c r="B32" s="277"/>
      <c r="C32" s="146" t="s">
        <v>113</v>
      </c>
      <c r="D32" s="279"/>
      <c r="E32" s="113">
        <v>0</v>
      </c>
      <c r="F32" s="142">
        <f>+'Cesiones ind y colec'!S6</f>
        <v>170</v>
      </c>
      <c r="G32" s="105">
        <f>+'Cesiones ind y colec'!S6</f>
        <v>170</v>
      </c>
      <c r="H32" s="105">
        <f>+'Cesiones ind y colec'!T6</f>
        <v>0</v>
      </c>
      <c r="I32" s="105">
        <f>+'Cesiones ind y colec'!U6</f>
        <v>170</v>
      </c>
      <c r="J32" s="111">
        <f>+'Cesiones ind y colec'!V6</f>
        <v>0</v>
      </c>
    </row>
    <row r="33" spans="5:7">
      <c r="E33" s="114">
        <f>SUM(E9:E32)</f>
        <v>821436.89099999995</v>
      </c>
      <c r="F33" s="108">
        <f>SUM(F9:F32)</f>
        <v>0</v>
      </c>
      <c r="G33" s="154">
        <f>SUM(G9:G32)</f>
        <v>821436.89099999995</v>
      </c>
    </row>
  </sheetData>
  <mergeCells count="14">
    <mergeCell ref="B31:B32"/>
    <mergeCell ref="D31:D32"/>
    <mergeCell ref="B2:J3"/>
    <mergeCell ref="C29:C30"/>
    <mergeCell ref="C4:J4"/>
    <mergeCell ref="C5:J5"/>
    <mergeCell ref="B27:B30"/>
    <mergeCell ref="B9:B20"/>
    <mergeCell ref="D21:D23"/>
    <mergeCell ref="D24:D26"/>
    <mergeCell ref="C9:C14"/>
    <mergeCell ref="C15:C20"/>
    <mergeCell ref="C27:C28"/>
    <mergeCell ref="C21:C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42"/>
  <sheetViews>
    <sheetView topLeftCell="B1" workbookViewId="0">
      <selection activeCell="I17" sqref="I17"/>
    </sheetView>
  </sheetViews>
  <sheetFormatPr baseColWidth="10" defaultRowHeight="15"/>
  <cols>
    <col min="1" max="1" width="11.42578125" style="115"/>
    <col min="2" max="2" width="20.7109375" style="115" customWidth="1"/>
    <col min="3" max="3" width="15.5703125" style="115" customWidth="1"/>
    <col min="4" max="5" width="18.42578125" style="115" customWidth="1"/>
    <col min="6" max="6" width="13.42578125" style="115" customWidth="1"/>
    <col min="7" max="7" width="11.42578125" style="115"/>
    <col min="8" max="8" width="14.42578125" style="115" customWidth="1"/>
    <col min="9" max="16384" width="11.42578125" style="115"/>
  </cols>
  <sheetData>
    <row r="3" spans="2:16">
      <c r="C3" s="387" t="s">
        <v>156</v>
      </c>
      <c r="D3" s="387"/>
      <c r="E3" s="387"/>
      <c r="F3" s="387"/>
      <c r="G3" s="387"/>
      <c r="H3" s="387"/>
    </row>
    <row r="4" spans="2:16">
      <c r="B4" s="203"/>
      <c r="C4" s="388">
        <f>Resumen!C4</f>
        <v>44454</v>
      </c>
      <c r="D4" s="388"/>
      <c r="E4" s="388"/>
      <c r="F4" s="388"/>
      <c r="G4" s="388"/>
      <c r="H4" s="388"/>
      <c r="I4" s="203"/>
      <c r="J4" s="203"/>
      <c r="O4" s="387" t="s">
        <v>140</v>
      </c>
      <c r="P4" s="387"/>
    </row>
    <row r="5" spans="2:16">
      <c r="B5" s="204" t="s">
        <v>149</v>
      </c>
      <c r="C5" s="204" t="s">
        <v>123</v>
      </c>
      <c r="D5" s="204" t="s">
        <v>124</v>
      </c>
      <c r="E5" s="204" t="s">
        <v>24</v>
      </c>
      <c r="F5" s="204" t="s">
        <v>114</v>
      </c>
      <c r="G5" s="204" t="s">
        <v>150</v>
      </c>
      <c r="H5" s="204" t="s">
        <v>6</v>
      </c>
      <c r="I5" s="204" t="s">
        <v>7</v>
      </c>
      <c r="J5" s="202"/>
      <c r="O5" s="206" t="s">
        <v>112</v>
      </c>
      <c r="P5" s="207">
        <f>+H9+H19+H26+H33+H42</f>
        <v>0</v>
      </c>
    </row>
    <row r="6" spans="2:16">
      <c r="B6" s="209">
        <v>11</v>
      </c>
      <c r="C6" s="210" t="s">
        <v>160</v>
      </c>
      <c r="D6" s="207">
        <v>961267</v>
      </c>
      <c r="E6" s="207" t="s">
        <v>11</v>
      </c>
      <c r="F6" s="207" t="s">
        <v>112</v>
      </c>
      <c r="G6" s="207">
        <v>8</v>
      </c>
      <c r="H6" s="211">
        <v>0.02</v>
      </c>
      <c r="I6" s="207">
        <f>G6-H6</f>
        <v>7.98</v>
      </c>
      <c r="J6" s="205"/>
      <c r="O6" s="206" t="s">
        <v>134</v>
      </c>
      <c r="P6" s="201"/>
    </row>
    <row r="7" spans="2:16">
      <c r="B7" s="209">
        <v>11</v>
      </c>
      <c r="C7" s="210" t="s">
        <v>161</v>
      </c>
      <c r="D7" s="207">
        <v>965236</v>
      </c>
      <c r="E7" s="207" t="s">
        <v>12</v>
      </c>
      <c r="F7" s="207" t="s">
        <v>112</v>
      </c>
      <c r="G7" s="207">
        <v>8</v>
      </c>
      <c r="H7" s="211">
        <v>5.6000000000000001E-2</v>
      </c>
      <c r="I7" s="207">
        <f>G7-H7</f>
        <v>7.944</v>
      </c>
      <c r="J7" s="205"/>
    </row>
    <row r="8" spans="2:16" ht="30">
      <c r="B8" s="209">
        <v>56</v>
      </c>
      <c r="C8" s="210" t="s">
        <v>162</v>
      </c>
      <c r="D8" s="207" t="s">
        <v>71</v>
      </c>
      <c r="E8" s="207" t="s">
        <v>96</v>
      </c>
      <c r="F8" s="207" t="s">
        <v>112</v>
      </c>
      <c r="G8" s="207">
        <v>30</v>
      </c>
      <c r="H8" s="211"/>
      <c r="I8" s="207">
        <f t="shared" ref="I8:I10" si="0">G8-H8</f>
        <v>30</v>
      </c>
      <c r="J8" s="205"/>
    </row>
    <row r="9" spans="2:16">
      <c r="B9" s="209">
        <v>56</v>
      </c>
      <c r="C9" s="210" t="s">
        <v>160</v>
      </c>
      <c r="D9" s="207">
        <v>961267</v>
      </c>
      <c r="E9" s="207" t="s">
        <v>11</v>
      </c>
      <c r="F9" s="207" t="s">
        <v>112</v>
      </c>
      <c r="G9" s="207">
        <v>12.5</v>
      </c>
      <c r="H9" s="211"/>
      <c r="I9" s="207">
        <f t="shared" si="0"/>
        <v>12.5</v>
      </c>
      <c r="J9" s="203"/>
    </row>
    <row r="10" spans="2:16">
      <c r="B10" s="209">
        <v>56</v>
      </c>
      <c r="C10" s="210" t="s">
        <v>163</v>
      </c>
      <c r="D10" s="207">
        <v>964933</v>
      </c>
      <c r="E10" s="207" t="s">
        <v>12</v>
      </c>
      <c r="F10" s="207" t="s">
        <v>112</v>
      </c>
      <c r="G10" s="207">
        <v>2.5</v>
      </c>
      <c r="H10" s="211">
        <v>0.01</v>
      </c>
      <c r="I10" s="207">
        <f t="shared" si="0"/>
        <v>2.4900000000000002</v>
      </c>
      <c r="J10" s="203"/>
    </row>
    <row r="11" spans="2:16">
      <c r="B11" s="209">
        <v>450</v>
      </c>
      <c r="C11" s="210" t="s">
        <v>160</v>
      </c>
      <c r="D11" s="207">
        <v>961267</v>
      </c>
      <c r="E11" s="207" t="s">
        <v>11</v>
      </c>
      <c r="F11" s="207" t="s">
        <v>112</v>
      </c>
      <c r="G11" s="207">
        <v>2.5</v>
      </c>
      <c r="H11" s="211"/>
      <c r="I11" s="207">
        <f t="shared" ref="I11" si="1">G11-H11</f>
        <v>2.5</v>
      </c>
      <c r="J11" s="203"/>
    </row>
    <row r="12" spans="2:16">
      <c r="B12" s="209">
        <v>450</v>
      </c>
      <c r="C12" s="207" t="s">
        <v>329</v>
      </c>
      <c r="D12" s="207">
        <v>697270</v>
      </c>
      <c r="E12" s="207" t="s">
        <v>11</v>
      </c>
      <c r="F12" s="207" t="s">
        <v>112</v>
      </c>
      <c r="G12" s="207">
        <v>1</v>
      </c>
      <c r="H12" s="211"/>
      <c r="I12" s="207">
        <f t="shared" ref="I12" si="2">G12-H12</f>
        <v>1</v>
      </c>
      <c r="J12" s="203"/>
    </row>
    <row r="13" spans="2:16">
      <c r="B13" s="209">
        <v>450</v>
      </c>
      <c r="C13" s="210" t="s">
        <v>210</v>
      </c>
      <c r="D13" s="207">
        <v>966707</v>
      </c>
      <c r="E13" s="207" t="s">
        <v>12</v>
      </c>
      <c r="F13" s="207" t="s">
        <v>112</v>
      </c>
      <c r="G13" s="207">
        <v>2.5</v>
      </c>
      <c r="H13" s="211"/>
      <c r="I13" s="207">
        <f>G13-H13</f>
        <v>2.5</v>
      </c>
      <c r="J13" s="203"/>
    </row>
    <row r="14" spans="2:16">
      <c r="B14" s="209">
        <v>450</v>
      </c>
      <c r="C14" s="210" t="s">
        <v>330</v>
      </c>
      <c r="D14" s="207">
        <v>966397</v>
      </c>
      <c r="E14" s="207" t="s">
        <v>12</v>
      </c>
      <c r="F14" s="207" t="s">
        <v>112</v>
      </c>
      <c r="G14" s="207">
        <v>1</v>
      </c>
      <c r="H14" s="211"/>
      <c r="I14" s="207">
        <f>G14-H14</f>
        <v>1</v>
      </c>
      <c r="J14" s="169"/>
    </row>
    <row r="15" spans="2:16">
      <c r="B15" s="209">
        <v>450</v>
      </c>
      <c r="C15" s="274" t="s">
        <v>297</v>
      </c>
      <c r="D15" s="275">
        <v>960563</v>
      </c>
      <c r="E15" s="207" t="s">
        <v>12</v>
      </c>
      <c r="F15" s="207" t="s">
        <v>112</v>
      </c>
      <c r="G15" s="207" t="s">
        <v>71</v>
      </c>
      <c r="H15" s="211"/>
      <c r="I15" s="207" t="s">
        <v>71</v>
      </c>
      <c r="J15" s="169"/>
    </row>
    <row r="16" spans="2:16">
      <c r="B16" s="209">
        <v>450</v>
      </c>
      <c r="C16" s="274" t="s">
        <v>209</v>
      </c>
      <c r="D16" s="275">
        <v>957989</v>
      </c>
      <c r="E16" s="207" t="s">
        <v>12</v>
      </c>
      <c r="F16" s="207" t="s">
        <v>112</v>
      </c>
      <c r="G16" s="207" t="s">
        <v>71</v>
      </c>
      <c r="H16" s="211"/>
      <c r="I16" s="207" t="s">
        <v>71</v>
      </c>
      <c r="J16" s="169"/>
    </row>
    <row r="17" spans="2:10">
      <c r="B17" s="173"/>
      <c r="C17" s="173"/>
      <c r="D17" s="203"/>
      <c r="E17" s="203"/>
      <c r="F17" s="203"/>
      <c r="G17" s="203"/>
      <c r="H17" s="203"/>
      <c r="I17" s="203"/>
      <c r="J17" s="169"/>
    </row>
    <row r="18" spans="2:10">
      <c r="B18" s="173"/>
      <c r="C18" s="173"/>
      <c r="D18" s="203"/>
      <c r="E18" s="203"/>
      <c r="F18" s="203"/>
      <c r="G18" s="203"/>
      <c r="H18" s="203"/>
      <c r="I18" s="203"/>
      <c r="J18" s="169"/>
    </row>
    <row r="19" spans="2:10">
      <c r="B19" s="173"/>
      <c r="C19" s="173"/>
      <c r="D19" s="203"/>
      <c r="E19" s="203"/>
      <c r="F19" s="203"/>
      <c r="G19" s="203"/>
      <c r="H19" s="203"/>
      <c r="I19" s="203"/>
      <c r="J19" s="203"/>
    </row>
    <row r="20" spans="2:10">
      <c r="B20" s="203"/>
      <c r="C20" s="203"/>
      <c r="D20" s="203"/>
      <c r="E20" s="203"/>
      <c r="F20" s="203"/>
      <c r="G20" s="203"/>
      <c r="H20" s="203"/>
      <c r="I20" s="203"/>
      <c r="J20" s="203"/>
    </row>
    <row r="21" spans="2:10">
      <c r="B21" s="203"/>
      <c r="C21" s="203"/>
      <c r="D21" s="203"/>
      <c r="E21" s="203"/>
      <c r="F21" s="203"/>
      <c r="G21" s="203"/>
      <c r="H21" s="203"/>
      <c r="I21" s="203"/>
      <c r="J21" s="203"/>
    </row>
    <row r="22" spans="2:10">
      <c r="B22" s="203"/>
      <c r="C22" s="203"/>
      <c r="D22" s="203"/>
      <c r="E22" s="203"/>
      <c r="F22" s="203"/>
      <c r="G22" s="203"/>
      <c r="H22" s="203"/>
      <c r="I22" s="203"/>
      <c r="J22" s="203"/>
    </row>
    <row r="23" spans="2:10">
      <c r="B23" s="202"/>
      <c r="C23" s="202"/>
      <c r="D23" s="202"/>
      <c r="E23" s="202"/>
      <c r="F23" s="202"/>
      <c r="G23" s="202"/>
      <c r="H23" s="202"/>
      <c r="I23" s="202"/>
      <c r="J23" s="202"/>
    </row>
    <row r="24" spans="2:10">
      <c r="B24" s="208"/>
      <c r="C24" s="173"/>
      <c r="D24" s="203"/>
      <c r="E24" s="203"/>
      <c r="F24" s="203"/>
      <c r="G24" s="203"/>
      <c r="H24" s="203"/>
      <c r="I24" s="203"/>
      <c r="J24" s="205"/>
    </row>
    <row r="25" spans="2:10">
      <c r="B25" s="208"/>
      <c r="C25" s="173"/>
      <c r="D25" s="203"/>
      <c r="E25" s="203"/>
      <c r="F25" s="203"/>
      <c r="G25" s="203"/>
      <c r="H25" s="203"/>
      <c r="I25" s="203"/>
      <c r="J25" s="205"/>
    </row>
    <row r="26" spans="2:10">
      <c r="B26" s="203"/>
      <c r="C26" s="203"/>
      <c r="D26" s="203"/>
      <c r="E26" s="203"/>
      <c r="F26" s="203"/>
      <c r="G26" s="203"/>
      <c r="H26" s="203"/>
      <c r="I26" s="203"/>
      <c r="J26" s="203"/>
    </row>
    <row r="27" spans="2:10">
      <c r="B27" s="203"/>
      <c r="C27" s="203"/>
      <c r="D27" s="203"/>
      <c r="E27" s="203"/>
      <c r="F27" s="203"/>
      <c r="G27" s="203"/>
      <c r="H27" s="203"/>
      <c r="I27" s="203"/>
      <c r="J27" s="203"/>
    </row>
    <row r="28" spans="2:10">
      <c r="B28" s="203"/>
      <c r="C28" s="203"/>
      <c r="D28" s="203"/>
      <c r="E28" s="203"/>
      <c r="F28" s="203"/>
      <c r="G28" s="203"/>
      <c r="H28" s="203"/>
      <c r="I28" s="203"/>
      <c r="J28" s="203"/>
    </row>
    <row r="29" spans="2:10">
      <c r="B29" s="203"/>
      <c r="C29" s="203"/>
      <c r="D29" s="203"/>
      <c r="E29" s="203"/>
      <c r="F29" s="203"/>
      <c r="G29" s="203"/>
      <c r="H29" s="203"/>
      <c r="I29" s="203"/>
      <c r="J29" s="203"/>
    </row>
    <row r="30" spans="2:10">
      <c r="B30" s="202"/>
      <c r="C30" s="202"/>
      <c r="D30" s="202"/>
      <c r="E30" s="202"/>
      <c r="F30" s="202"/>
      <c r="G30" s="202"/>
      <c r="H30" s="202"/>
      <c r="I30" s="202"/>
      <c r="J30" s="202"/>
    </row>
    <row r="31" spans="2:10">
      <c r="B31" s="208"/>
      <c r="C31" s="173"/>
      <c r="D31" s="203"/>
      <c r="E31" s="203"/>
      <c r="F31" s="203"/>
      <c r="G31" s="203"/>
      <c r="H31" s="203"/>
      <c r="I31" s="203"/>
      <c r="J31" s="205"/>
    </row>
    <row r="32" spans="2:10">
      <c r="B32" s="208"/>
      <c r="C32" s="173"/>
      <c r="D32" s="203"/>
      <c r="E32" s="203"/>
      <c r="F32" s="203"/>
      <c r="G32" s="203"/>
      <c r="H32" s="203"/>
      <c r="I32" s="203"/>
      <c r="J32" s="205"/>
    </row>
    <row r="33" spans="2:10">
      <c r="B33" s="203"/>
      <c r="C33" s="203"/>
      <c r="D33" s="203"/>
      <c r="E33" s="203"/>
      <c r="F33" s="203"/>
      <c r="G33" s="203"/>
      <c r="H33" s="203"/>
      <c r="I33" s="203"/>
      <c r="J33" s="203"/>
    </row>
    <row r="34" spans="2:10">
      <c r="B34" s="203"/>
      <c r="C34" s="203"/>
      <c r="D34" s="203"/>
      <c r="E34" s="203"/>
      <c r="F34" s="203"/>
      <c r="G34" s="203"/>
      <c r="H34" s="203"/>
      <c r="I34" s="203"/>
      <c r="J34" s="203"/>
    </row>
    <row r="35" spans="2:10">
      <c r="B35" s="203"/>
      <c r="C35" s="203"/>
      <c r="D35" s="203"/>
      <c r="E35" s="203"/>
      <c r="F35" s="203"/>
      <c r="G35" s="203"/>
      <c r="H35" s="203"/>
      <c r="I35" s="203"/>
      <c r="J35" s="203"/>
    </row>
    <row r="36" spans="2:10">
      <c r="B36" s="203"/>
      <c r="C36" s="203"/>
      <c r="D36" s="203"/>
      <c r="E36" s="203"/>
      <c r="F36" s="203"/>
      <c r="G36" s="203"/>
      <c r="H36" s="203"/>
      <c r="I36" s="203"/>
      <c r="J36" s="203"/>
    </row>
    <row r="37" spans="2:10">
      <c r="B37" s="202"/>
      <c r="C37" s="202"/>
      <c r="D37" s="202"/>
      <c r="E37" s="202"/>
      <c r="F37" s="202"/>
      <c r="G37" s="202"/>
      <c r="H37" s="202"/>
      <c r="I37" s="202"/>
      <c r="J37" s="202"/>
    </row>
    <row r="38" spans="2:10">
      <c r="B38" s="173"/>
      <c r="C38" s="173"/>
      <c r="D38" s="203"/>
      <c r="E38" s="203"/>
      <c r="F38" s="203"/>
      <c r="G38" s="203"/>
      <c r="H38" s="203"/>
      <c r="I38" s="203"/>
      <c r="J38" s="169"/>
    </row>
    <row r="39" spans="2:10">
      <c r="B39" s="173"/>
      <c r="C39" s="173"/>
      <c r="D39" s="203"/>
      <c r="E39" s="203"/>
      <c r="F39" s="203"/>
      <c r="G39" s="203"/>
      <c r="H39" s="203"/>
      <c r="I39" s="203"/>
      <c r="J39" s="169"/>
    </row>
    <row r="40" spans="2:10">
      <c r="B40" s="173"/>
      <c r="C40" s="173"/>
      <c r="D40" s="203"/>
      <c r="E40" s="203"/>
      <c r="F40" s="203"/>
      <c r="G40" s="203"/>
      <c r="H40" s="203"/>
      <c r="I40" s="203"/>
      <c r="J40" s="169"/>
    </row>
    <row r="41" spans="2:10">
      <c r="B41" s="173"/>
      <c r="C41" s="173"/>
      <c r="D41" s="203"/>
      <c r="E41" s="203"/>
      <c r="F41" s="203"/>
      <c r="G41" s="203"/>
      <c r="H41" s="203"/>
      <c r="I41" s="203"/>
      <c r="J41" s="169"/>
    </row>
    <row r="42" spans="2:10">
      <c r="B42" s="203"/>
      <c r="C42" s="203"/>
      <c r="D42" s="203"/>
      <c r="E42" s="203"/>
      <c r="F42" s="203"/>
      <c r="G42" s="203"/>
      <c r="H42" s="203"/>
      <c r="I42" s="203"/>
      <c r="J42" s="203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3:H13"/>
  <sheetViews>
    <sheetView workbookViewId="0">
      <selection activeCell="D4" sqref="D4:H4"/>
    </sheetView>
  </sheetViews>
  <sheetFormatPr baseColWidth="10" defaultRowHeight="15"/>
  <cols>
    <col min="4" max="4" width="13.7109375" customWidth="1"/>
    <col min="6" max="6" width="12.7109375" customWidth="1"/>
    <col min="7" max="7" width="12.42578125" customWidth="1"/>
  </cols>
  <sheetData>
    <row r="3" spans="4:8">
      <c r="D3" s="389" t="s">
        <v>159</v>
      </c>
      <c r="E3" s="389"/>
      <c r="F3" s="389"/>
      <c r="G3" s="389"/>
      <c r="H3" s="389"/>
    </row>
    <row r="4" spans="4:8">
      <c r="D4" s="390">
        <f>Resumen!C4</f>
        <v>44454</v>
      </c>
      <c r="E4" s="390"/>
      <c r="F4" s="390"/>
      <c r="G4" s="390"/>
      <c r="H4" s="390"/>
    </row>
    <row r="6" spans="4:8" ht="30">
      <c r="D6" s="200" t="s">
        <v>145</v>
      </c>
      <c r="E6" s="200" t="s">
        <v>114</v>
      </c>
      <c r="F6" s="200" t="s">
        <v>146</v>
      </c>
      <c r="G6" s="200" t="s">
        <v>147</v>
      </c>
      <c r="H6" s="200" t="s">
        <v>148</v>
      </c>
    </row>
    <row r="7" spans="4:8">
      <c r="D7" s="102"/>
      <c r="E7" s="102"/>
      <c r="F7" s="102"/>
      <c r="G7" s="102"/>
      <c r="H7" s="102"/>
    </row>
    <row r="8" spans="4:8">
      <c r="D8" s="102"/>
      <c r="E8" s="102"/>
      <c r="F8" s="102"/>
      <c r="G8" s="102"/>
      <c r="H8" s="102"/>
    </row>
    <row r="9" spans="4:8">
      <c r="D9" s="102"/>
      <c r="E9" s="102"/>
      <c r="F9" s="102"/>
      <c r="G9" s="102"/>
      <c r="H9" s="102"/>
    </row>
    <row r="10" spans="4:8">
      <c r="D10" s="102"/>
      <c r="E10" s="102"/>
      <c r="F10" s="102"/>
      <c r="G10" s="102"/>
      <c r="H10" s="102"/>
    </row>
    <row r="11" spans="4:8">
      <c r="D11" s="102"/>
      <c r="E11" s="102"/>
      <c r="F11" s="102"/>
      <c r="G11" s="102"/>
      <c r="H11" s="102"/>
    </row>
    <row r="12" spans="4:8">
      <c r="D12" s="102"/>
      <c r="E12" s="102"/>
      <c r="F12" s="102"/>
      <c r="G12" s="102"/>
      <c r="H12" s="102"/>
    </row>
    <row r="13" spans="4:8">
      <c r="D13" s="102"/>
      <c r="E13" s="102"/>
      <c r="F13" s="102"/>
      <c r="G13" s="102"/>
      <c r="H13" s="102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3"/>
  <sheetViews>
    <sheetView topLeftCell="A25" zoomScale="90" zoomScaleNormal="90" workbookViewId="0">
      <selection activeCell="I43" sqref="I43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92"/>
  </cols>
  <sheetData>
    <row r="1" spans="1:17">
      <c r="A1" s="96" t="s">
        <v>72</v>
      </c>
      <c r="B1" s="96" t="s">
        <v>73</v>
      </c>
      <c r="C1" s="96" t="s">
        <v>74</v>
      </c>
      <c r="D1" s="96" t="s">
        <v>75</v>
      </c>
      <c r="E1" s="94" t="s">
        <v>76</v>
      </c>
      <c r="F1" s="96" t="s">
        <v>77</v>
      </c>
      <c r="G1" s="96" t="s">
        <v>78</v>
      </c>
      <c r="H1" s="96" t="s">
        <v>79</v>
      </c>
      <c r="I1" s="96" t="s">
        <v>80</v>
      </c>
      <c r="J1" s="96" t="s">
        <v>81</v>
      </c>
      <c r="K1" s="96" t="s">
        <v>151</v>
      </c>
      <c r="L1" s="97" t="s">
        <v>82</v>
      </c>
      <c r="M1" s="98" t="s">
        <v>83</v>
      </c>
      <c r="N1" s="138" t="s">
        <v>84</v>
      </c>
      <c r="O1" s="99" t="s">
        <v>85</v>
      </c>
      <c r="P1" s="2" t="s">
        <v>86</v>
      </c>
      <c r="Q1" s="2" t="s">
        <v>87</v>
      </c>
    </row>
    <row r="2" spans="1:17">
      <c r="A2" s="95" t="s">
        <v>88</v>
      </c>
      <c r="B2" s="95" t="s">
        <v>88</v>
      </c>
      <c r="C2" s="95" t="s">
        <v>89</v>
      </c>
      <c r="D2" s="95" t="s">
        <v>90</v>
      </c>
      <c r="E2" t="str">
        <f>+Industrial!C11</f>
        <v>ARICA SEAFOOD PRODUCER S.A.</v>
      </c>
      <c r="F2" s="95" t="s">
        <v>91</v>
      </c>
      <c r="G2" s="95" t="s">
        <v>92</v>
      </c>
      <c r="H2">
        <f>+Industrial!E11</f>
        <v>15778.228000000001</v>
      </c>
      <c r="I2" s="101">
        <f>+Industrial!F11</f>
        <v>-3891.1370000000002</v>
      </c>
      <c r="J2" s="101">
        <f>+Industrial!G11</f>
        <v>11887.091</v>
      </c>
      <c r="K2" s="101">
        <f>+Industrial!H11</f>
        <v>0</v>
      </c>
      <c r="L2" s="101">
        <f>+Industrial!I11</f>
        <v>11887.091</v>
      </c>
      <c r="M2" s="27">
        <f>+Industrial!J11</f>
        <v>0</v>
      </c>
      <c r="N2" s="139" t="s">
        <v>71</v>
      </c>
      <c r="O2" s="92">
        <f>+Resumen!C$4</f>
        <v>44454</v>
      </c>
      <c r="P2">
        <v>2021</v>
      </c>
    </row>
    <row r="3" spans="1:17">
      <c r="A3" s="95" t="s">
        <v>88</v>
      </c>
      <c r="B3" s="95" t="s">
        <v>88</v>
      </c>
      <c r="C3" s="95" t="s">
        <v>89</v>
      </c>
      <c r="D3" s="95" t="s">
        <v>90</v>
      </c>
      <c r="E3" t="str">
        <f>+Industrial!C11</f>
        <v>ARICA SEAFOOD PRODUCER S.A.</v>
      </c>
      <c r="F3" s="95" t="s">
        <v>93</v>
      </c>
      <c r="G3" s="95" t="s">
        <v>94</v>
      </c>
      <c r="H3" s="101">
        <f>+Industrial!E12</f>
        <v>6964.8159999999989</v>
      </c>
      <c r="I3" s="101">
        <f>+Industrial!F12</f>
        <v>0</v>
      </c>
      <c r="J3" s="101">
        <f>+Industrial!G12</f>
        <v>18851.906999999999</v>
      </c>
      <c r="K3" s="101">
        <f>+Industrial!H12</f>
        <v>0</v>
      </c>
      <c r="L3" s="101">
        <f>+Industrial!I12</f>
        <v>18851.906999999999</v>
      </c>
      <c r="M3" s="27">
        <f>+Industrial!J12</f>
        <v>0</v>
      </c>
      <c r="N3" s="139" t="s">
        <v>71</v>
      </c>
      <c r="O3" s="92">
        <f>+Resumen!C$4</f>
        <v>44454</v>
      </c>
      <c r="P3" s="101">
        <v>2021</v>
      </c>
    </row>
    <row r="4" spans="1:17">
      <c r="A4" s="95" t="s">
        <v>88</v>
      </c>
      <c r="B4" s="95" t="s">
        <v>88</v>
      </c>
      <c r="C4" s="95" t="s">
        <v>89</v>
      </c>
      <c r="D4" s="95" t="s">
        <v>90</v>
      </c>
      <c r="E4" t="str">
        <f>+Industrial!C11</f>
        <v>ARICA SEAFOOD PRODUCER S.A.</v>
      </c>
      <c r="F4" s="95" t="s">
        <v>95</v>
      </c>
      <c r="G4" s="95" t="s">
        <v>94</v>
      </c>
      <c r="H4">
        <f>+Industrial!K11</f>
        <v>22743.044000000002</v>
      </c>
      <c r="I4" s="101">
        <f>+Industrial!L11</f>
        <v>-3891.1370000000002</v>
      </c>
      <c r="J4" s="101">
        <f>+Industrial!M11</f>
        <v>18851.907000000003</v>
      </c>
      <c r="K4" s="101">
        <f>+Industrial!N11</f>
        <v>0</v>
      </c>
      <c r="L4" s="101">
        <f>+Industrial!O11</f>
        <v>18851.907000000003</v>
      </c>
      <c r="M4" s="27">
        <f>+Industrial!P11</f>
        <v>0</v>
      </c>
      <c r="N4" s="139" t="s">
        <v>71</v>
      </c>
      <c r="O4" s="92">
        <f>+Resumen!C$4</f>
        <v>44454</v>
      </c>
      <c r="P4" s="101">
        <v>2021</v>
      </c>
    </row>
    <row r="5" spans="1:17">
      <c r="A5" s="95" t="s">
        <v>88</v>
      </c>
      <c r="B5" s="95" t="s">
        <v>88</v>
      </c>
      <c r="C5" s="95" t="s">
        <v>89</v>
      </c>
      <c r="D5" s="95" t="s">
        <v>90</v>
      </c>
      <c r="E5" t="str">
        <f>+Industrial!C13</f>
        <v>CAMANCHACA S.A</v>
      </c>
      <c r="F5" s="95" t="s">
        <v>91</v>
      </c>
      <c r="G5" s="95" t="s">
        <v>92</v>
      </c>
      <c r="H5">
        <f>+Industrial!E13</f>
        <v>111118.17899999996</v>
      </c>
      <c r="I5" s="101">
        <f>+Industrial!F13</f>
        <v>-7000</v>
      </c>
      <c r="J5" s="101">
        <f>+Industrial!G13</f>
        <v>104118.17899999996</v>
      </c>
      <c r="K5" s="101">
        <f>+Industrial!H13</f>
        <v>12996.005999999999</v>
      </c>
      <c r="L5" s="101">
        <f>+Industrial!I13</f>
        <v>91122.172999999966</v>
      </c>
      <c r="M5" s="27">
        <f>+Industrial!J13</f>
        <v>0.12481975890108493</v>
      </c>
      <c r="N5" s="139" t="s">
        <v>71</v>
      </c>
      <c r="O5" s="92">
        <f>+Resumen!C$4</f>
        <v>44454</v>
      </c>
      <c r="P5" s="101">
        <v>2021</v>
      </c>
    </row>
    <row r="6" spans="1:17">
      <c r="A6" s="95" t="s">
        <v>88</v>
      </c>
      <c r="B6" s="95" t="s">
        <v>88</v>
      </c>
      <c r="C6" s="95" t="s">
        <v>89</v>
      </c>
      <c r="D6" s="95" t="s">
        <v>90</v>
      </c>
      <c r="E6" s="95" t="str">
        <f>+Industrial!C13</f>
        <v>CAMANCHACA S.A</v>
      </c>
      <c r="F6" s="95" t="s">
        <v>93</v>
      </c>
      <c r="G6" s="95" t="s">
        <v>94</v>
      </c>
      <c r="H6" s="101">
        <f>+Industrial!E14</f>
        <v>37039.313000000009</v>
      </c>
      <c r="I6" s="101">
        <f>+Industrial!F14</f>
        <v>-10900</v>
      </c>
      <c r="J6" s="101">
        <f>+Industrial!G14</f>
        <v>117261.48599999998</v>
      </c>
      <c r="K6" s="101">
        <f>+Industrial!H14</f>
        <v>6048.5420000000004</v>
      </c>
      <c r="L6" s="101">
        <f>+Industrial!I14</f>
        <v>111212.94399999997</v>
      </c>
      <c r="M6" s="27">
        <f>+Industrial!J14</f>
        <v>5.1581659130603218E-2</v>
      </c>
      <c r="N6" s="139" t="s">
        <v>71</v>
      </c>
      <c r="O6" s="92">
        <f>+Resumen!C$4</f>
        <v>44454</v>
      </c>
      <c r="P6" s="101">
        <v>2021</v>
      </c>
    </row>
    <row r="7" spans="1:17">
      <c r="A7" s="95" t="s">
        <v>88</v>
      </c>
      <c r="B7" s="95" t="s">
        <v>88</v>
      </c>
      <c r="C7" s="95" t="s">
        <v>89</v>
      </c>
      <c r="D7" s="95" t="s">
        <v>90</v>
      </c>
      <c r="E7" s="95" t="str">
        <f>+Industrial!C13</f>
        <v>CAMANCHACA S.A</v>
      </c>
      <c r="F7" s="95" t="s">
        <v>95</v>
      </c>
      <c r="G7" s="95" t="s">
        <v>94</v>
      </c>
      <c r="H7">
        <f>+Industrial!K13</f>
        <v>148157.49199999997</v>
      </c>
      <c r="I7" s="101">
        <f>+Industrial!L13</f>
        <v>-17900</v>
      </c>
      <c r="J7" s="101">
        <f>+Industrial!M13</f>
        <v>130257.49199999997</v>
      </c>
      <c r="K7" s="101">
        <f>+Industrial!N13</f>
        <v>19044.547999999999</v>
      </c>
      <c r="L7" s="101">
        <f>+Industrial!O13</f>
        <v>111212.94399999997</v>
      </c>
      <c r="M7" s="27">
        <f>+Industrial!P13</f>
        <v>0.14620692988622877</v>
      </c>
      <c r="N7" s="139" t="s">
        <v>71</v>
      </c>
      <c r="O7" s="92">
        <f>+Resumen!C$4</f>
        <v>44454</v>
      </c>
      <c r="P7" s="101">
        <v>2021</v>
      </c>
    </row>
    <row r="8" spans="1:17" s="101" customFormat="1">
      <c r="A8" s="101" t="s">
        <v>88</v>
      </c>
      <c r="B8" s="101" t="s">
        <v>88</v>
      </c>
      <c r="C8" s="101" t="s">
        <v>89</v>
      </c>
      <c r="D8" s="101" t="s">
        <v>90</v>
      </c>
      <c r="E8" s="101" t="s">
        <v>142</v>
      </c>
      <c r="F8" s="101" t="s">
        <v>91</v>
      </c>
      <c r="G8" s="101" t="s">
        <v>92</v>
      </c>
      <c r="H8" s="101">
        <f>+Industrial!E15</f>
        <v>6719.7240000000002</v>
      </c>
      <c r="I8" s="101">
        <f>+Industrial!F15</f>
        <v>-5839.0330000000004</v>
      </c>
      <c r="J8" s="101">
        <f>+Industrial!G15</f>
        <v>880.6909999999998</v>
      </c>
      <c r="K8" s="101">
        <f>+Industrial!H15</f>
        <v>0</v>
      </c>
      <c r="L8" s="101">
        <f>+Industrial!I15</f>
        <v>880.6909999999998</v>
      </c>
      <c r="M8" s="27">
        <f>+Industrial!J15</f>
        <v>0</v>
      </c>
      <c r="N8" s="139" t="s">
        <v>71</v>
      </c>
      <c r="O8" s="92">
        <f>+Resumen!C$4</f>
        <v>44454</v>
      </c>
      <c r="P8" s="101">
        <v>2021</v>
      </c>
    </row>
    <row r="9" spans="1:17" s="101" customFormat="1">
      <c r="A9" s="101" t="s">
        <v>88</v>
      </c>
      <c r="B9" s="101" t="s">
        <v>88</v>
      </c>
      <c r="C9" s="101" t="s">
        <v>89</v>
      </c>
      <c r="D9" s="101" t="s">
        <v>90</v>
      </c>
      <c r="E9" s="101" t="s">
        <v>142</v>
      </c>
      <c r="F9" s="101" t="s">
        <v>93</v>
      </c>
      <c r="G9" s="101" t="s">
        <v>94</v>
      </c>
      <c r="H9" s="101">
        <f>+Industrial!E16</f>
        <v>2239.902</v>
      </c>
      <c r="I9" s="101">
        <f>+Industrial!F16</f>
        <v>0</v>
      </c>
      <c r="J9" s="101">
        <f>+Industrial!G16</f>
        <v>3120.5929999999998</v>
      </c>
      <c r="K9" s="101">
        <f>+Industrial!H16</f>
        <v>0</v>
      </c>
      <c r="L9" s="101">
        <f>+Industrial!I16</f>
        <v>3120.5929999999998</v>
      </c>
      <c r="M9" s="27">
        <f>+Industrial!J16</f>
        <v>0</v>
      </c>
      <c r="N9" s="139" t="s">
        <v>71</v>
      </c>
      <c r="O9" s="92">
        <f>+Resumen!C$4</f>
        <v>44454</v>
      </c>
      <c r="P9" s="101">
        <v>2021</v>
      </c>
    </row>
    <row r="10" spans="1:17" s="101" customFormat="1">
      <c r="A10" s="101" t="s">
        <v>88</v>
      </c>
      <c r="B10" s="101" t="s">
        <v>88</v>
      </c>
      <c r="C10" s="101" t="s">
        <v>89</v>
      </c>
      <c r="D10" s="101" t="s">
        <v>90</v>
      </c>
      <c r="E10" s="101" t="s">
        <v>142</v>
      </c>
      <c r="F10" s="101" t="s">
        <v>95</v>
      </c>
      <c r="G10" s="101" t="s">
        <v>94</v>
      </c>
      <c r="H10" s="101">
        <f>+Industrial!K15</f>
        <v>8959.6260000000002</v>
      </c>
      <c r="I10" s="101">
        <f>+Industrial!L15</f>
        <v>-5839.0330000000004</v>
      </c>
      <c r="J10" s="101">
        <f>+Industrial!M15</f>
        <v>3120.5929999999998</v>
      </c>
      <c r="K10" s="101">
        <f>+Industrial!N15</f>
        <v>0</v>
      </c>
      <c r="L10" s="101">
        <f>+Industrial!O15</f>
        <v>3120.5929999999998</v>
      </c>
      <c r="M10" s="27">
        <f>+Industrial!P15</f>
        <v>0</v>
      </c>
      <c r="N10" s="139" t="s">
        <v>71</v>
      </c>
      <c r="O10" s="92">
        <f>+Resumen!C$4</f>
        <v>44454</v>
      </c>
      <c r="P10" s="101">
        <v>2021</v>
      </c>
    </row>
    <row r="11" spans="1:17" s="101" customFormat="1">
      <c r="A11" s="101" t="s">
        <v>88</v>
      </c>
      <c r="B11" s="101" t="s">
        <v>88</v>
      </c>
      <c r="C11" s="101" t="s">
        <v>89</v>
      </c>
      <c r="D11" s="101" t="s">
        <v>90</v>
      </c>
      <c r="E11" s="101" t="s">
        <v>143</v>
      </c>
      <c r="F11" s="101" t="s">
        <v>91</v>
      </c>
      <c r="G11" s="101" t="s">
        <v>92</v>
      </c>
      <c r="H11" s="101">
        <f>+Industrial!E17</f>
        <v>2548.8599999999997</v>
      </c>
      <c r="I11" s="101">
        <f>+Industrial!F17</f>
        <v>0</v>
      </c>
      <c r="J11" s="101">
        <f>+Industrial!G17</f>
        <v>2548.8599999999997</v>
      </c>
      <c r="K11" s="101">
        <f>+Industrial!H17</f>
        <v>0</v>
      </c>
      <c r="L11" s="101">
        <f>+Industrial!I17</f>
        <v>2548.8599999999997</v>
      </c>
      <c r="M11" s="27">
        <f>+Industrial!J17</f>
        <v>0</v>
      </c>
      <c r="N11" s="139" t="s">
        <v>71</v>
      </c>
      <c r="O11" s="92">
        <f>+Resumen!C$4</f>
        <v>44454</v>
      </c>
      <c r="P11" s="101">
        <v>2021</v>
      </c>
    </row>
    <row r="12" spans="1:17" s="101" customFormat="1">
      <c r="A12" s="101" t="s">
        <v>88</v>
      </c>
      <c r="B12" s="101" t="s">
        <v>88</v>
      </c>
      <c r="C12" s="101" t="s">
        <v>89</v>
      </c>
      <c r="D12" s="101" t="s">
        <v>90</v>
      </c>
      <c r="E12" s="101" t="s">
        <v>143</v>
      </c>
      <c r="F12" s="101" t="s">
        <v>93</v>
      </c>
      <c r="G12" s="101" t="s">
        <v>94</v>
      </c>
      <c r="H12" s="101">
        <f>+Industrial!E18</f>
        <v>849.61799999999994</v>
      </c>
      <c r="I12" s="101">
        <f>+Industrial!F18</f>
        <v>-1201.9680000000001</v>
      </c>
      <c r="J12" s="101">
        <f>+Industrial!G18</f>
        <v>2196.5099999999993</v>
      </c>
      <c r="K12" s="101">
        <f>+Industrial!H18</f>
        <v>0</v>
      </c>
      <c r="L12" s="101">
        <f>+Industrial!I18</f>
        <v>2196.5099999999993</v>
      </c>
      <c r="M12" s="27">
        <f>+Industrial!J18</f>
        <v>0</v>
      </c>
      <c r="N12" s="139" t="s">
        <v>71</v>
      </c>
      <c r="O12" s="92">
        <f>+Resumen!C$4</f>
        <v>44454</v>
      </c>
      <c r="P12" s="101">
        <v>2021</v>
      </c>
    </row>
    <row r="13" spans="1:17" s="101" customFormat="1">
      <c r="A13" s="101" t="s">
        <v>88</v>
      </c>
      <c r="B13" s="101" t="s">
        <v>88</v>
      </c>
      <c r="C13" s="101" t="s">
        <v>89</v>
      </c>
      <c r="D13" s="101" t="s">
        <v>90</v>
      </c>
      <c r="E13" s="101" t="s">
        <v>143</v>
      </c>
      <c r="F13" s="101" t="s">
        <v>95</v>
      </c>
      <c r="G13" s="101" t="s">
        <v>94</v>
      </c>
      <c r="H13" s="101">
        <f>+Industrial!K17</f>
        <v>3398.4779999999996</v>
      </c>
      <c r="I13" s="101">
        <f>+Industrial!L17</f>
        <v>-1201.9680000000001</v>
      </c>
      <c r="J13" s="101">
        <f>+Industrial!M17</f>
        <v>2196.5099999999993</v>
      </c>
      <c r="K13" s="101">
        <f>+Industrial!N17</f>
        <v>0</v>
      </c>
      <c r="L13" s="101">
        <f>+Industrial!O17</f>
        <v>2196.5099999999993</v>
      </c>
      <c r="M13" s="27">
        <f>+Industrial!P17</f>
        <v>0</v>
      </c>
      <c r="N13" s="139" t="s">
        <v>71</v>
      </c>
      <c r="O13" s="92">
        <f>+Resumen!C$4</f>
        <v>44454</v>
      </c>
      <c r="P13" s="101">
        <v>2021</v>
      </c>
    </row>
    <row r="14" spans="1:17">
      <c r="A14" s="95" t="s">
        <v>88</v>
      </c>
      <c r="B14" s="95" t="s">
        <v>88</v>
      </c>
      <c r="C14" s="95" t="s">
        <v>89</v>
      </c>
      <c r="D14" s="95" t="s">
        <v>90</v>
      </c>
      <c r="E14" t="str">
        <f>+Industrial!C19</f>
        <v>PROCESOS TECNOLOGICOS DEL BIO BIO SpA</v>
      </c>
      <c r="F14" s="95" t="s">
        <v>91</v>
      </c>
      <c r="G14" s="95" t="s">
        <v>92</v>
      </c>
      <c r="H14">
        <f>+Industrial!E19</f>
        <v>7646.5840000000007</v>
      </c>
      <c r="I14" s="101">
        <f>+Industrial!F19</f>
        <v>-7670.7070000000012</v>
      </c>
      <c r="J14" s="101">
        <f>+Industrial!G19</f>
        <v>-24.123000000000502</v>
      </c>
      <c r="K14" s="101">
        <f>+Industrial!H19</f>
        <v>0</v>
      </c>
      <c r="L14" s="101">
        <f>+Industrial!I19</f>
        <v>-24.123000000000502</v>
      </c>
      <c r="M14" s="27">
        <f>+Industrial!J19</f>
        <v>0</v>
      </c>
      <c r="N14" s="139" t="s">
        <v>71</v>
      </c>
      <c r="O14" s="92">
        <f>+Resumen!C$4</f>
        <v>44454</v>
      </c>
      <c r="P14" s="101">
        <v>2021</v>
      </c>
    </row>
    <row r="15" spans="1:17">
      <c r="A15" s="95" t="s">
        <v>88</v>
      </c>
      <c r="B15" s="95" t="s">
        <v>88</v>
      </c>
      <c r="C15" s="95" t="s">
        <v>89</v>
      </c>
      <c r="D15" s="95" t="s">
        <v>90</v>
      </c>
      <c r="E15" t="str">
        <f>+Industrial!C19</f>
        <v>PROCESOS TECNOLOGICOS DEL BIO BIO SpA</v>
      </c>
      <c r="F15" s="95" t="s">
        <v>93</v>
      </c>
      <c r="G15" s="95" t="s">
        <v>94</v>
      </c>
      <c r="H15" s="101">
        <f>+Industrial!E20</f>
        <v>2548.8540000000007</v>
      </c>
      <c r="I15" s="101">
        <f>+Industrial!F20</f>
        <v>0</v>
      </c>
      <c r="J15" s="101">
        <f>+Industrial!G20</f>
        <v>2524.7310000000002</v>
      </c>
      <c r="K15" s="101">
        <f>+Industrial!H20</f>
        <v>0</v>
      </c>
      <c r="L15" s="101">
        <f>+Industrial!I20</f>
        <v>2524.7310000000002</v>
      </c>
      <c r="M15" s="27">
        <f>+Industrial!J20</f>
        <v>0</v>
      </c>
      <c r="N15" s="139" t="s">
        <v>71</v>
      </c>
      <c r="O15" s="92">
        <f>+Resumen!C$4</f>
        <v>44454</v>
      </c>
      <c r="P15" s="101">
        <v>2021</v>
      </c>
    </row>
    <row r="16" spans="1:17">
      <c r="A16" s="95" t="s">
        <v>88</v>
      </c>
      <c r="B16" s="95" t="s">
        <v>88</v>
      </c>
      <c r="C16" s="95" t="s">
        <v>89</v>
      </c>
      <c r="D16" s="95" t="s">
        <v>90</v>
      </c>
      <c r="E16" t="str">
        <f>+Industrial!C19</f>
        <v>PROCESOS TECNOLOGICOS DEL BIO BIO SpA</v>
      </c>
      <c r="F16" s="95" t="s">
        <v>95</v>
      </c>
      <c r="G16" s="95" t="s">
        <v>94</v>
      </c>
      <c r="H16">
        <f>+Industrial!K19</f>
        <v>10195.438000000002</v>
      </c>
      <c r="I16" s="101">
        <f>+Industrial!L19</f>
        <v>-7670.7070000000012</v>
      </c>
      <c r="J16" s="101">
        <f>+Industrial!M19</f>
        <v>2524.7310000000007</v>
      </c>
      <c r="K16" s="101">
        <f>+Industrial!N19</f>
        <v>0</v>
      </c>
      <c r="L16" s="101">
        <f>+Industrial!O19</f>
        <v>2524.7310000000007</v>
      </c>
      <c r="M16" s="27">
        <f>+Industrial!P19</f>
        <v>0</v>
      </c>
      <c r="N16" s="139" t="s">
        <v>71</v>
      </c>
      <c r="O16" s="92">
        <f>+Resumen!C$4</f>
        <v>44454</v>
      </c>
      <c r="P16" s="101">
        <v>2021</v>
      </c>
    </row>
    <row r="17" spans="1:16" s="101" customFormat="1">
      <c r="A17" s="101" t="s">
        <v>88</v>
      </c>
      <c r="B17" s="101" t="s">
        <v>88</v>
      </c>
      <c r="C17" s="101" t="s">
        <v>89</v>
      </c>
      <c r="D17" s="101" t="s">
        <v>90</v>
      </c>
      <c r="E17" s="101" t="str">
        <f>+Industrial!C21</f>
        <v>FRANCISCO HERNANDEZ PALACIOS PESCA LITORAL COSTERO E.I.R.L</v>
      </c>
      <c r="F17" s="101" t="s">
        <v>91</v>
      </c>
      <c r="G17" s="101" t="s">
        <v>92</v>
      </c>
      <c r="H17" s="101">
        <f>+Industrial!E21</f>
        <v>926.85799999999995</v>
      </c>
      <c r="I17" s="101">
        <f>+Industrial!F21</f>
        <v>0</v>
      </c>
      <c r="J17" s="101">
        <f>+Industrial!G21</f>
        <v>926.85799999999995</v>
      </c>
      <c r="K17" s="101">
        <f>+Industrial!H21</f>
        <v>0</v>
      </c>
      <c r="L17" s="101">
        <f>+Industrial!I21</f>
        <v>926.85799999999995</v>
      </c>
      <c r="M17" s="27">
        <f>+Industrial!J21</f>
        <v>0</v>
      </c>
      <c r="N17" s="139" t="s">
        <v>71</v>
      </c>
      <c r="O17" s="92">
        <f>+Resumen!C$4</f>
        <v>44454</v>
      </c>
      <c r="P17" s="101">
        <v>2021</v>
      </c>
    </row>
    <row r="18" spans="1:16" s="101" customFormat="1">
      <c r="A18" s="101" t="s">
        <v>88</v>
      </c>
      <c r="B18" s="101" t="s">
        <v>88</v>
      </c>
      <c r="C18" s="101" t="s">
        <v>89</v>
      </c>
      <c r="D18" s="101" t="s">
        <v>90</v>
      </c>
      <c r="E18" s="101" t="str">
        <f>+Industrial!C21</f>
        <v>FRANCISCO HERNANDEZ PALACIOS PESCA LITORAL COSTERO E.I.R.L</v>
      </c>
      <c r="F18" s="101" t="s">
        <v>93</v>
      </c>
      <c r="G18" s="101" t="s">
        <v>94</v>
      </c>
      <c r="H18" s="101">
        <f>+Industrial!E22</f>
        <v>308.952</v>
      </c>
      <c r="I18" s="101">
        <f>+Industrial!F22</f>
        <v>0</v>
      </c>
      <c r="J18" s="101">
        <f>+Industrial!G22</f>
        <v>1235.81</v>
      </c>
      <c r="K18" s="101">
        <f>+Industrial!H22</f>
        <v>0</v>
      </c>
      <c r="L18" s="101">
        <f>+Industrial!I22</f>
        <v>1235.81</v>
      </c>
      <c r="M18" s="27">
        <f>+Industrial!J22</f>
        <v>0</v>
      </c>
      <c r="N18" s="139" t="s">
        <v>71</v>
      </c>
      <c r="O18" s="92">
        <f>+Resumen!C$4</f>
        <v>44454</v>
      </c>
      <c r="P18" s="101">
        <v>2021</v>
      </c>
    </row>
    <row r="19" spans="1:16" s="101" customFormat="1">
      <c r="A19" s="101" t="s">
        <v>88</v>
      </c>
      <c r="B19" s="101" t="s">
        <v>88</v>
      </c>
      <c r="C19" s="101" t="s">
        <v>89</v>
      </c>
      <c r="D19" s="101" t="s">
        <v>90</v>
      </c>
      <c r="E19" s="101" t="str">
        <f>+Industrial!C21</f>
        <v>FRANCISCO HERNANDEZ PALACIOS PESCA LITORAL COSTERO E.I.R.L</v>
      </c>
      <c r="F19" s="101" t="s">
        <v>95</v>
      </c>
      <c r="G19" s="101" t="s">
        <v>94</v>
      </c>
      <c r="H19" s="101">
        <f>+Industrial!K21</f>
        <v>1235.81</v>
      </c>
      <c r="I19" s="101">
        <f>+Industrial!L21</f>
        <v>0</v>
      </c>
      <c r="J19" s="101">
        <f>+Industrial!M21</f>
        <v>1235.81</v>
      </c>
      <c r="K19" s="101">
        <f>+Industrial!N21</f>
        <v>0</v>
      </c>
      <c r="L19" s="101">
        <f>+Industrial!O21</f>
        <v>1235.81</v>
      </c>
      <c r="M19" s="27">
        <f>+Industrial!P21</f>
        <v>0</v>
      </c>
      <c r="N19" s="139" t="s">
        <v>71</v>
      </c>
      <c r="O19" s="92">
        <f>+Resumen!C$4</f>
        <v>44454</v>
      </c>
      <c r="P19" s="101">
        <v>2021</v>
      </c>
    </row>
    <row r="20" spans="1:16" s="101" customFormat="1">
      <c r="A20" s="101" t="s">
        <v>88</v>
      </c>
      <c r="B20" s="101" t="s">
        <v>88</v>
      </c>
      <c r="C20" s="101" t="s">
        <v>89</v>
      </c>
      <c r="D20" s="101" t="s">
        <v>90</v>
      </c>
      <c r="E20" s="101" t="str">
        <f>Industrial!C23</f>
        <v>COMERCIAL JOSE MARTIN DE LA VEGA E.I.R.L.</v>
      </c>
      <c r="F20" s="101" t="s">
        <v>91</v>
      </c>
      <c r="G20" s="101" t="s">
        <v>92</v>
      </c>
      <c r="H20" s="101">
        <f>+Industrial!E23</f>
        <v>3707.4319999999998</v>
      </c>
      <c r="I20" s="101">
        <f>+Industrial!F23</f>
        <v>0</v>
      </c>
      <c r="J20" s="101">
        <f>+Industrial!G23</f>
        <v>3707.4319999999998</v>
      </c>
      <c r="K20" s="101">
        <f>+Industrial!H23</f>
        <v>0</v>
      </c>
      <c r="L20" s="101">
        <f>+Industrial!I23</f>
        <v>3707.4319999999998</v>
      </c>
      <c r="M20" s="27">
        <f>+Industrial!J23</f>
        <v>0</v>
      </c>
      <c r="N20" s="139" t="s">
        <v>71</v>
      </c>
      <c r="O20" s="92">
        <f>+Resumen!C$4</f>
        <v>44454</v>
      </c>
      <c r="P20" s="101">
        <v>2021</v>
      </c>
    </row>
    <row r="21" spans="1:16" s="101" customFormat="1">
      <c r="A21" s="101" t="s">
        <v>88</v>
      </c>
      <c r="B21" s="101" t="s">
        <v>88</v>
      </c>
      <c r="C21" s="101" t="s">
        <v>89</v>
      </c>
      <c r="D21" s="101" t="s">
        <v>90</v>
      </c>
      <c r="E21" s="101" t="str">
        <f>Industrial!C23</f>
        <v>COMERCIAL JOSE MARTIN DE LA VEGA E.I.R.L.</v>
      </c>
      <c r="F21" s="101" t="s">
        <v>93</v>
      </c>
      <c r="G21" s="101" t="s">
        <v>94</v>
      </c>
      <c r="H21" s="101">
        <f>+Industrial!E24</f>
        <v>1235.808</v>
      </c>
      <c r="I21" s="101">
        <f>+Industrial!F24</f>
        <v>0</v>
      </c>
      <c r="J21" s="101">
        <f>+Industrial!G24</f>
        <v>4943.24</v>
      </c>
      <c r="K21" s="101">
        <f>+Industrial!H24</f>
        <v>0</v>
      </c>
      <c r="L21" s="101">
        <f>+Industrial!I24</f>
        <v>4943.24</v>
      </c>
      <c r="M21" s="27">
        <f>+Industrial!J24</f>
        <v>0</v>
      </c>
      <c r="N21" s="139" t="s">
        <v>71</v>
      </c>
      <c r="O21" s="92">
        <f>+Resumen!C$4</f>
        <v>44454</v>
      </c>
      <c r="P21" s="101">
        <v>2021</v>
      </c>
    </row>
    <row r="22" spans="1:16" s="101" customFormat="1">
      <c r="A22" s="101" t="s">
        <v>88</v>
      </c>
      <c r="B22" s="101" t="s">
        <v>88</v>
      </c>
      <c r="C22" s="101" t="s">
        <v>89</v>
      </c>
      <c r="D22" s="101" t="s">
        <v>90</v>
      </c>
      <c r="E22" s="101" t="str">
        <f>Industrial!C23</f>
        <v>COMERCIAL JOSE MARTIN DE LA VEGA E.I.R.L.</v>
      </c>
      <c r="F22" s="101" t="s">
        <v>95</v>
      </c>
      <c r="G22" s="101" t="s">
        <v>94</v>
      </c>
      <c r="H22" s="101">
        <f>+Industrial!K23</f>
        <v>4943.24</v>
      </c>
      <c r="I22" s="101">
        <f>+Industrial!L23</f>
        <v>0</v>
      </c>
      <c r="J22" s="101">
        <f>+Industrial!M23</f>
        <v>4943.24</v>
      </c>
      <c r="K22" s="101">
        <f>+Industrial!N23</f>
        <v>0</v>
      </c>
      <c r="L22" s="101">
        <f>+Industrial!O23</f>
        <v>4943.24</v>
      </c>
      <c r="M22" s="27">
        <f>+Industrial!P23</f>
        <v>0</v>
      </c>
      <c r="N22" s="139" t="s">
        <v>71</v>
      </c>
      <c r="O22" s="92">
        <f>+Resumen!C$4</f>
        <v>44454</v>
      </c>
      <c r="P22" s="101">
        <v>2021</v>
      </c>
    </row>
    <row r="23" spans="1:16">
      <c r="A23" s="95" t="s">
        <v>88</v>
      </c>
      <c r="B23" s="95" t="s">
        <v>88</v>
      </c>
      <c r="C23" s="95" t="s">
        <v>89</v>
      </c>
      <c r="D23" s="95" t="s">
        <v>90</v>
      </c>
      <c r="E23" t="str">
        <f>+Industrial!C25</f>
        <v>CORPESCA S.A</v>
      </c>
      <c r="F23" s="95" t="s">
        <v>91</v>
      </c>
      <c r="G23" s="95" t="s">
        <v>92</v>
      </c>
      <c r="H23">
        <f>+Industrial!E25</f>
        <v>314056.19399999996</v>
      </c>
      <c r="I23" s="101">
        <f>+Industrial!F25</f>
        <v>-90000</v>
      </c>
      <c r="J23" s="101">
        <f>+Industrial!G25</f>
        <v>224056.19399999996</v>
      </c>
      <c r="K23" s="101">
        <f>+Industrial!H25</f>
        <v>51653.027999999998</v>
      </c>
      <c r="L23" s="101">
        <f>+Industrial!I25</f>
        <v>172403.16599999997</v>
      </c>
      <c r="M23" s="27">
        <f>+Industrial!J25</f>
        <v>0.23053604132898914</v>
      </c>
      <c r="N23" s="139" t="s">
        <v>71</v>
      </c>
      <c r="O23" s="92">
        <f>+Resumen!C$4</f>
        <v>44454</v>
      </c>
      <c r="P23" s="101">
        <v>2021</v>
      </c>
    </row>
    <row r="24" spans="1:16">
      <c r="A24" s="95" t="s">
        <v>88</v>
      </c>
      <c r="B24" s="95" t="s">
        <v>88</v>
      </c>
      <c r="C24" s="95" t="s">
        <v>89</v>
      </c>
      <c r="D24" s="95" t="s">
        <v>90</v>
      </c>
      <c r="E24" t="str">
        <f>+Industrial!C25</f>
        <v>CORPESCA S.A</v>
      </c>
      <c r="F24" s="95" t="s">
        <v>93</v>
      </c>
      <c r="G24" s="95" t="s">
        <v>94</v>
      </c>
      <c r="H24" s="101">
        <f>+Industrial!E26</f>
        <v>104215.564</v>
      </c>
      <c r="I24" s="101">
        <f>+Industrial!F26</f>
        <v>0</v>
      </c>
      <c r="J24" s="101">
        <f>+Industrial!G26</f>
        <v>276618.73</v>
      </c>
      <c r="K24" s="101">
        <f>+Industrial!H26</f>
        <v>16507.387999999999</v>
      </c>
      <c r="L24" s="101">
        <f>+Industrial!I26</f>
        <v>260111.34199999998</v>
      </c>
      <c r="M24" s="27">
        <f>+Industrial!J26</f>
        <v>5.9675597527325791E-2</v>
      </c>
      <c r="N24" s="139" t="s">
        <v>71</v>
      </c>
      <c r="O24" s="92">
        <f>+Resumen!C$4</f>
        <v>44454</v>
      </c>
      <c r="P24" s="101">
        <v>2021</v>
      </c>
    </row>
    <row r="25" spans="1:16">
      <c r="A25" s="95" t="s">
        <v>88</v>
      </c>
      <c r="B25" s="95" t="s">
        <v>88</v>
      </c>
      <c r="C25" s="95" t="s">
        <v>89</v>
      </c>
      <c r="D25" s="95" t="s">
        <v>90</v>
      </c>
      <c r="E25" t="str">
        <f>+Industrial!C25</f>
        <v>CORPESCA S.A</v>
      </c>
      <c r="F25" s="95" t="s">
        <v>95</v>
      </c>
      <c r="G25" s="95" t="s">
        <v>94</v>
      </c>
      <c r="H25">
        <f>+Industrial!K25</f>
        <v>418271.75799999997</v>
      </c>
      <c r="I25" s="101">
        <f>+Industrial!L25</f>
        <v>-90000</v>
      </c>
      <c r="J25" s="101">
        <f>+Industrial!M25</f>
        <v>328271.75799999997</v>
      </c>
      <c r="K25" s="101">
        <f>+Industrial!N25</f>
        <v>68160.415999999997</v>
      </c>
      <c r="L25" s="101">
        <f>+Industrial!O25</f>
        <v>260111.34199999998</v>
      </c>
      <c r="M25" s="27">
        <f>+Industrial!P25</f>
        <v>0.20763411514675595</v>
      </c>
      <c r="N25" s="139" t="s">
        <v>71</v>
      </c>
      <c r="O25" s="92">
        <f>+Resumen!C$4</f>
        <v>44454</v>
      </c>
      <c r="P25" s="101">
        <v>2021</v>
      </c>
    </row>
    <row r="26" spans="1:16">
      <c r="A26" s="95" t="s">
        <v>88</v>
      </c>
      <c r="B26" s="95" t="s">
        <v>88</v>
      </c>
      <c r="C26" s="95" t="s">
        <v>89</v>
      </c>
      <c r="D26" s="95" t="s">
        <v>90</v>
      </c>
      <c r="E26" s="95" t="s">
        <v>97</v>
      </c>
      <c r="F26" s="95" t="s">
        <v>91</v>
      </c>
      <c r="G26" s="95" t="s">
        <v>94</v>
      </c>
      <c r="H26" s="112">
        <f>+Industrial!K27</f>
        <v>617904.88599999994</v>
      </c>
      <c r="I26" s="101">
        <f>+Industrial!L27</f>
        <v>-126502.845</v>
      </c>
      <c r="J26" s="101">
        <f>+Industrial!M27</f>
        <v>491402.04099999997</v>
      </c>
      <c r="K26" s="101">
        <f>+Industrial!N27</f>
        <v>87204.963999999993</v>
      </c>
      <c r="L26" s="101">
        <f>+Industrial!O27</f>
        <v>404197.07699999993</v>
      </c>
      <c r="M26" s="27">
        <f>+Industrial!P27</f>
        <v>0.1774615421265619</v>
      </c>
      <c r="N26" s="139" t="s">
        <v>71</v>
      </c>
      <c r="O26" s="92">
        <f>+Resumen!C$4</f>
        <v>44454</v>
      </c>
      <c r="P26" s="101">
        <v>2021</v>
      </c>
    </row>
    <row r="27" spans="1:16">
      <c r="A27" s="95" t="s">
        <v>88</v>
      </c>
      <c r="B27" s="95" t="s">
        <v>88</v>
      </c>
      <c r="C27" s="95" t="s">
        <v>96</v>
      </c>
      <c r="D27" s="95" t="s">
        <v>90</v>
      </c>
      <c r="E27" t="str">
        <f>+Industrial!C28</f>
        <v>ABASTECIMIENTO DEL PACIFICO S.A.</v>
      </c>
      <c r="F27" s="95" t="s">
        <v>91</v>
      </c>
      <c r="G27" s="95" t="s">
        <v>94</v>
      </c>
      <c r="H27">
        <f>+Industrial!E28</f>
        <v>368.529</v>
      </c>
      <c r="I27" s="101">
        <f>+Industrial!F28</f>
        <v>0</v>
      </c>
      <c r="J27" s="101">
        <f>+Industrial!G28</f>
        <v>368.529</v>
      </c>
      <c r="K27" s="101">
        <f>+Industrial!H28</f>
        <v>0</v>
      </c>
      <c r="L27" s="101">
        <f>+Industrial!I28</f>
        <v>368.529</v>
      </c>
      <c r="M27" s="27">
        <f>+Industrial!J28</f>
        <v>0</v>
      </c>
      <c r="N27" s="139" t="s">
        <v>71</v>
      </c>
      <c r="O27" s="92">
        <f>+Resumen!C$4</f>
        <v>44454</v>
      </c>
      <c r="P27" s="101">
        <v>2021</v>
      </c>
    </row>
    <row r="28" spans="1:16">
      <c r="A28" s="95" t="s">
        <v>88</v>
      </c>
      <c r="B28" s="95" t="s">
        <v>88</v>
      </c>
      <c r="C28" s="95" t="s">
        <v>96</v>
      </c>
      <c r="D28" s="95" t="s">
        <v>90</v>
      </c>
      <c r="E28" s="95" t="str">
        <f>+Industrial!C29</f>
        <v xml:space="preserve">ALIMENTOS MARINOS S.A.         </v>
      </c>
      <c r="F28" s="95" t="s">
        <v>91</v>
      </c>
      <c r="G28" s="95" t="s">
        <v>94</v>
      </c>
      <c r="H28" s="101">
        <f>+Industrial!E29</f>
        <v>1965.39</v>
      </c>
      <c r="I28" s="101">
        <f>+Industrial!F29</f>
        <v>0</v>
      </c>
      <c r="J28" s="101">
        <f>+Industrial!G29</f>
        <v>1965.39</v>
      </c>
      <c r="K28" s="101">
        <f>+Industrial!H29</f>
        <v>0</v>
      </c>
      <c r="L28" s="101">
        <f>+Industrial!I29</f>
        <v>1965.39</v>
      </c>
      <c r="M28" s="27">
        <f>+Industrial!J29</f>
        <v>0</v>
      </c>
      <c r="N28" s="139" t="s">
        <v>71</v>
      </c>
      <c r="O28" s="92">
        <f>+Resumen!C$4</f>
        <v>44454</v>
      </c>
      <c r="P28" s="101">
        <v>2021</v>
      </c>
    </row>
    <row r="29" spans="1:16">
      <c r="A29" s="95" t="s">
        <v>88</v>
      </c>
      <c r="B29" s="95" t="s">
        <v>88</v>
      </c>
      <c r="C29" s="95" t="s">
        <v>96</v>
      </c>
      <c r="D29" s="95" t="s">
        <v>90</v>
      </c>
      <c r="E29" s="95" t="str">
        <f>+Industrial!C30</f>
        <v>ATILIO REYES BARRERA</v>
      </c>
      <c r="F29" s="95" t="s">
        <v>91</v>
      </c>
      <c r="G29" s="95" t="s">
        <v>94</v>
      </c>
      <c r="H29" s="101">
        <f>+Industrial!E30</f>
        <v>263.23500000000001</v>
      </c>
      <c r="I29" s="101">
        <f>+Industrial!F30</f>
        <v>0</v>
      </c>
      <c r="J29" s="101">
        <f>+Industrial!G30</f>
        <v>263.23500000000001</v>
      </c>
      <c r="K29" s="101">
        <f>+Industrial!H30</f>
        <v>0</v>
      </c>
      <c r="L29" s="101">
        <f>+Industrial!I30</f>
        <v>263.23500000000001</v>
      </c>
      <c r="M29" s="27">
        <f>+Industrial!J30</f>
        <v>0</v>
      </c>
      <c r="N29" s="139" t="s">
        <v>71</v>
      </c>
      <c r="O29" s="92">
        <f>+Resumen!C$4</f>
        <v>44454</v>
      </c>
      <c r="P29" s="101">
        <v>2021</v>
      </c>
    </row>
    <row r="30" spans="1:16">
      <c r="A30" s="95" t="s">
        <v>88</v>
      </c>
      <c r="B30" s="95" t="s">
        <v>88</v>
      </c>
      <c r="C30" s="95" t="s">
        <v>96</v>
      </c>
      <c r="D30" s="95" t="s">
        <v>90</v>
      </c>
      <c r="E30" s="95" t="str">
        <f>+Industrial!C31</f>
        <v xml:space="preserve">BAHIA CALDERA S.A. PESQ.          </v>
      </c>
      <c r="F30" s="95" t="s">
        <v>91</v>
      </c>
      <c r="G30" s="95" t="s">
        <v>94</v>
      </c>
      <c r="H30" s="101">
        <f>+Industrial!E31</f>
        <v>15354.613999999996</v>
      </c>
      <c r="I30" s="101">
        <f>+Industrial!F31</f>
        <v>-14652.65</v>
      </c>
      <c r="J30" s="101">
        <f>+Industrial!G31</f>
        <v>701.9639999999963</v>
      </c>
      <c r="K30" s="101">
        <f>+Industrial!H31</f>
        <v>0</v>
      </c>
      <c r="L30" s="101">
        <f>+Industrial!I31</f>
        <v>701.9639999999963</v>
      </c>
      <c r="M30" s="27">
        <f>+Industrial!J31</f>
        <v>0</v>
      </c>
      <c r="N30" s="139" t="s">
        <v>71</v>
      </c>
      <c r="O30" s="92">
        <f>+Resumen!C$4</f>
        <v>44454</v>
      </c>
      <c r="P30" s="101">
        <v>2021</v>
      </c>
    </row>
    <row r="31" spans="1:16">
      <c r="A31" s="95" t="s">
        <v>88</v>
      </c>
      <c r="B31" s="95" t="s">
        <v>88</v>
      </c>
      <c r="C31" s="95" t="s">
        <v>96</v>
      </c>
      <c r="D31" s="95" t="s">
        <v>90</v>
      </c>
      <c r="E31" s="95" t="str">
        <f>+Industrial!C32</f>
        <v xml:space="preserve">BLUMAR S.A.                                              </v>
      </c>
      <c r="F31" s="95" t="s">
        <v>91</v>
      </c>
      <c r="G31" s="95" t="s">
        <v>94</v>
      </c>
      <c r="H31" s="101">
        <f>+Industrial!E32</f>
        <v>113.374</v>
      </c>
      <c r="I31" s="101">
        <f>+Industrial!F32</f>
        <v>0</v>
      </c>
      <c r="J31" s="101">
        <f>+Industrial!G32</f>
        <v>113.374</v>
      </c>
      <c r="K31" s="101">
        <f>+Industrial!H32</f>
        <v>0</v>
      </c>
      <c r="L31" s="101">
        <f>+Industrial!I32</f>
        <v>113.374</v>
      </c>
      <c r="M31" s="27">
        <f>+Industrial!J32</f>
        <v>0</v>
      </c>
      <c r="N31" s="139" t="s">
        <v>71</v>
      </c>
      <c r="O31" s="92">
        <f>+Resumen!C$4</f>
        <v>44454</v>
      </c>
      <c r="P31" s="101">
        <v>2021</v>
      </c>
    </row>
    <row r="32" spans="1:16">
      <c r="A32" s="95" t="s">
        <v>88</v>
      </c>
      <c r="B32" s="95" t="s">
        <v>88</v>
      </c>
      <c r="C32" s="95" t="s">
        <v>96</v>
      </c>
      <c r="D32" s="95" t="s">
        <v>90</v>
      </c>
      <c r="E32" s="95" t="str">
        <f>+Industrial!C33</f>
        <v xml:space="preserve">CAMANCHACA PESCA SUR S.A.  </v>
      </c>
      <c r="F32" s="95" t="s">
        <v>91</v>
      </c>
      <c r="G32" s="95" t="s">
        <v>94</v>
      </c>
      <c r="H32" s="101">
        <f>+Industrial!E33</f>
        <v>949.98399999999992</v>
      </c>
      <c r="I32" s="101">
        <f>+Industrial!F33</f>
        <v>0</v>
      </c>
      <c r="J32" s="101">
        <f>+Industrial!G33</f>
        <v>949.98399999999992</v>
      </c>
      <c r="K32" s="101">
        <f>+Industrial!H33</f>
        <v>0</v>
      </c>
      <c r="L32" s="101">
        <f>+Industrial!I33</f>
        <v>949.98399999999992</v>
      </c>
      <c r="M32" s="27">
        <f>+Industrial!J33</f>
        <v>0</v>
      </c>
      <c r="N32" s="139" t="s">
        <v>71</v>
      </c>
      <c r="O32" s="92">
        <f>+Resumen!C$4</f>
        <v>44454</v>
      </c>
      <c r="P32" s="101">
        <v>2021</v>
      </c>
    </row>
    <row r="33" spans="1:16">
      <c r="A33" s="95" t="s">
        <v>88</v>
      </c>
      <c r="B33" s="95" t="s">
        <v>88</v>
      </c>
      <c r="C33" s="95" t="s">
        <v>96</v>
      </c>
      <c r="D33" s="95" t="s">
        <v>90</v>
      </c>
      <c r="E33" s="95" t="str">
        <f>+Industrial!C34</f>
        <v xml:space="preserve">CAMANCHACA S.A. CIA. PESQ    </v>
      </c>
      <c r="F33" s="95" t="s">
        <v>91</v>
      </c>
      <c r="G33" s="95" t="s">
        <v>94</v>
      </c>
      <c r="H33" s="101">
        <f>+Industrial!E34</f>
        <v>27.148</v>
      </c>
      <c r="I33" s="101">
        <f>+Industrial!F34</f>
        <v>0</v>
      </c>
      <c r="J33" s="101">
        <f>+Industrial!G34</f>
        <v>27.148</v>
      </c>
      <c r="K33" s="101">
        <f>+Industrial!H34</f>
        <v>0</v>
      </c>
      <c r="L33" s="101">
        <f>+Industrial!I34</f>
        <v>27.148</v>
      </c>
      <c r="M33" s="27">
        <f>+Industrial!J34</f>
        <v>0</v>
      </c>
      <c r="N33" s="139" t="s">
        <v>71</v>
      </c>
      <c r="O33" s="92">
        <f>+Resumen!C$4</f>
        <v>44454</v>
      </c>
      <c r="P33" s="101">
        <v>2021</v>
      </c>
    </row>
    <row r="34" spans="1:16">
      <c r="A34" s="95" t="s">
        <v>88</v>
      </c>
      <c r="B34" s="95" t="s">
        <v>88</v>
      </c>
      <c r="C34" s="95" t="s">
        <v>96</v>
      </c>
      <c r="D34" s="95" t="s">
        <v>90</v>
      </c>
      <c r="E34" s="95" t="str">
        <f>+Industrial!C35</f>
        <v>ERIC ARACENA REYNUABA</v>
      </c>
      <c r="F34" s="95" t="s">
        <v>91</v>
      </c>
      <c r="G34" s="95" t="s">
        <v>94</v>
      </c>
      <c r="H34" s="101">
        <f>+Industrial!E35</f>
        <v>140.392</v>
      </c>
      <c r="I34" s="101">
        <f>+Industrial!F35</f>
        <v>0</v>
      </c>
      <c r="J34" s="101">
        <f>+Industrial!G35</f>
        <v>140.392</v>
      </c>
      <c r="K34" s="101">
        <f>+Industrial!H35</f>
        <v>0</v>
      </c>
      <c r="L34" s="101">
        <f>+Industrial!I35</f>
        <v>140.392</v>
      </c>
      <c r="M34" s="27">
        <f>+Industrial!J35</f>
        <v>0</v>
      </c>
      <c r="N34" s="139" t="s">
        <v>71</v>
      </c>
      <c r="O34" s="92">
        <f>+Resumen!C$4</f>
        <v>44454</v>
      </c>
      <c r="P34" s="101">
        <v>2021</v>
      </c>
    </row>
    <row r="35" spans="1:16">
      <c r="A35" s="95" t="s">
        <v>88</v>
      </c>
      <c r="B35" s="95" t="s">
        <v>88</v>
      </c>
      <c r="C35" s="95" t="s">
        <v>96</v>
      </c>
      <c r="D35" s="95" t="s">
        <v>90</v>
      </c>
      <c r="E35" s="95" t="str">
        <f>+Industrial!C36</f>
        <v>FOODCORP CHILE S.A.</v>
      </c>
      <c r="F35" s="95" t="s">
        <v>91</v>
      </c>
      <c r="G35" s="95" t="s">
        <v>94</v>
      </c>
      <c r="H35" s="101">
        <f>+Industrial!E36</f>
        <v>87.745000000000005</v>
      </c>
      <c r="I35" s="101">
        <f>+Industrial!F36</f>
        <v>0</v>
      </c>
      <c r="J35" s="101">
        <f>+Industrial!G36</f>
        <v>87.745000000000005</v>
      </c>
      <c r="K35" s="101">
        <f>+Industrial!H36</f>
        <v>0</v>
      </c>
      <c r="L35" s="101">
        <f>+Industrial!I36</f>
        <v>87.745000000000005</v>
      </c>
      <c r="M35" s="27">
        <f>+Industrial!J36</f>
        <v>0</v>
      </c>
      <c r="N35" s="139" t="s">
        <v>71</v>
      </c>
      <c r="O35" s="92">
        <f>+Resumen!C$4</f>
        <v>44454</v>
      </c>
      <c r="P35" s="101">
        <v>2021</v>
      </c>
    </row>
    <row r="36" spans="1:16">
      <c r="A36" s="95" t="s">
        <v>88</v>
      </c>
      <c r="B36" s="95" t="s">
        <v>88</v>
      </c>
      <c r="C36" s="95" t="s">
        <v>96</v>
      </c>
      <c r="D36" s="95" t="s">
        <v>90</v>
      </c>
      <c r="E36" s="95" t="str">
        <f>+Industrial!C37</f>
        <v>GIULLIANO REYNUABA SALAS</v>
      </c>
      <c r="F36" s="95" t="s">
        <v>91</v>
      </c>
      <c r="G36" s="95" t="s">
        <v>94</v>
      </c>
      <c r="H36" s="101">
        <f>+Industrial!E37</f>
        <v>140.392</v>
      </c>
      <c r="I36" s="101">
        <f>+Industrial!F37</f>
        <v>0</v>
      </c>
      <c r="J36" s="101">
        <f>+Industrial!G37</f>
        <v>140.392</v>
      </c>
      <c r="K36" s="101">
        <f>+Industrial!H37</f>
        <v>0</v>
      </c>
      <c r="L36" s="101">
        <f>+Industrial!I37</f>
        <v>140.392</v>
      </c>
      <c r="M36" s="27">
        <f>+Industrial!J37</f>
        <v>0</v>
      </c>
      <c r="N36" s="139" t="s">
        <v>71</v>
      </c>
      <c r="O36" s="92">
        <f>+Resumen!C$4</f>
        <v>44454</v>
      </c>
      <c r="P36" s="101">
        <v>2021</v>
      </c>
    </row>
    <row r="37" spans="1:16">
      <c r="A37" s="95" t="s">
        <v>88</v>
      </c>
      <c r="B37" s="95" t="s">
        <v>88</v>
      </c>
      <c r="C37" s="95" t="s">
        <v>96</v>
      </c>
      <c r="D37" s="95" t="s">
        <v>90</v>
      </c>
      <c r="E37" s="95" t="str">
        <f>+Industrial!C38</f>
        <v xml:space="preserve">LANDES S.A. SOC. PESQ.                           </v>
      </c>
      <c r="F37" s="95" t="s">
        <v>91</v>
      </c>
      <c r="G37" s="95" t="s">
        <v>94</v>
      </c>
      <c r="H37" s="101">
        <f>+Industrial!E38</f>
        <v>3.278</v>
      </c>
      <c r="I37" s="101">
        <f>+Industrial!F38</f>
        <v>-0.35098000000000001</v>
      </c>
      <c r="J37" s="101">
        <f>+Industrial!G38</f>
        <v>2.9270200000000002</v>
      </c>
      <c r="K37" s="101">
        <f>+Industrial!H38</f>
        <v>0</v>
      </c>
      <c r="L37" s="101">
        <f>+Industrial!I38</f>
        <v>2.9270200000000002</v>
      </c>
      <c r="M37" s="27">
        <f>+Industrial!J38</f>
        <v>0</v>
      </c>
      <c r="N37" s="139" t="s">
        <v>71</v>
      </c>
      <c r="O37" s="92">
        <f>+Resumen!C$4</f>
        <v>44454</v>
      </c>
      <c r="P37" s="101">
        <v>2021</v>
      </c>
    </row>
    <row r="38" spans="1:16">
      <c r="A38" s="95" t="s">
        <v>88</v>
      </c>
      <c r="B38" s="95" t="s">
        <v>88</v>
      </c>
      <c r="C38" s="95" t="s">
        <v>96</v>
      </c>
      <c r="D38" s="95" t="s">
        <v>90</v>
      </c>
      <c r="E38" s="95" t="str">
        <f>+Industrial!C39</f>
        <v xml:space="preserve">ORIZON S.A                                                   </v>
      </c>
      <c r="F38" s="95" t="s">
        <v>91</v>
      </c>
      <c r="G38" s="95" t="s">
        <v>94</v>
      </c>
      <c r="H38" s="101">
        <f>+Industrial!E39</f>
        <v>14377.860999999999</v>
      </c>
      <c r="I38" s="101">
        <f>+Industrial!F39</f>
        <v>-14350</v>
      </c>
      <c r="J38" s="101">
        <f>+Industrial!G39</f>
        <v>27.860999999998967</v>
      </c>
      <c r="K38" s="101">
        <f>+Industrial!H39</f>
        <v>0</v>
      </c>
      <c r="L38" s="101">
        <f>+Industrial!I39</f>
        <v>27.860999999998967</v>
      </c>
      <c r="M38" s="27">
        <f>+Industrial!J39</f>
        <v>0</v>
      </c>
      <c r="N38" s="139" t="s">
        <v>71</v>
      </c>
      <c r="O38" s="92">
        <f>+Resumen!C$4</f>
        <v>44454</v>
      </c>
      <c r="P38" s="101">
        <v>2021</v>
      </c>
    </row>
    <row r="39" spans="1:16">
      <c r="A39" s="95" t="s">
        <v>88</v>
      </c>
      <c r="B39" s="95" t="s">
        <v>88</v>
      </c>
      <c r="C39" s="95" t="s">
        <v>96</v>
      </c>
      <c r="D39" s="95" t="s">
        <v>90</v>
      </c>
      <c r="E39" s="95" t="str">
        <f>+Industrial!C40</f>
        <v>PESQUERA LITORAL SpA</v>
      </c>
      <c r="F39" s="95" t="s">
        <v>91</v>
      </c>
      <c r="G39" s="95" t="s">
        <v>94</v>
      </c>
      <c r="H39" s="101">
        <f>+Industrial!E40</f>
        <v>340.86799999999999</v>
      </c>
      <c r="I39" s="101">
        <f>+Industrial!F40</f>
        <v>0</v>
      </c>
      <c r="J39" s="101">
        <f>+Industrial!G40</f>
        <v>340.86799999999999</v>
      </c>
      <c r="K39" s="101">
        <f>+Industrial!H40</f>
        <v>0</v>
      </c>
      <c r="L39" s="101">
        <f>+Industrial!I40</f>
        <v>340.86799999999999</v>
      </c>
      <c r="M39" s="27">
        <f>+Industrial!J40</f>
        <v>0</v>
      </c>
      <c r="N39" s="139" t="s">
        <v>71</v>
      </c>
      <c r="O39" s="92">
        <f>+Resumen!C$4</f>
        <v>44454</v>
      </c>
      <c r="P39" s="101">
        <v>2021</v>
      </c>
    </row>
    <row r="40" spans="1:16" s="101" customFormat="1">
      <c r="A40" s="101" t="s">
        <v>88</v>
      </c>
      <c r="B40" s="101" t="s">
        <v>88</v>
      </c>
      <c r="C40" s="101" t="s">
        <v>96</v>
      </c>
      <c r="D40" s="101" t="s">
        <v>90</v>
      </c>
      <c r="E40" s="101" t="s">
        <v>129</v>
      </c>
      <c r="F40" s="101" t="s">
        <v>91</v>
      </c>
      <c r="G40" s="101" t="s">
        <v>94</v>
      </c>
      <c r="H40" s="101">
        <f>+Industrial!E41</f>
        <v>403.62700000000001</v>
      </c>
      <c r="I40" s="101">
        <f>+Industrial!F41</f>
        <v>0</v>
      </c>
      <c r="J40" s="101">
        <f>+Industrial!G41</f>
        <v>403.62700000000001</v>
      </c>
      <c r="K40" s="101">
        <f>+Industrial!H41</f>
        <v>0</v>
      </c>
      <c r="L40" s="101">
        <f>+Industrial!I41</f>
        <v>403.62700000000001</v>
      </c>
      <c r="M40" s="27">
        <f>+Industrial!J41</f>
        <v>0</v>
      </c>
      <c r="N40" s="139" t="s">
        <v>71</v>
      </c>
      <c r="O40" s="92">
        <f>+Resumen!C$4</f>
        <v>44454</v>
      </c>
      <c r="P40" s="101">
        <v>2021</v>
      </c>
    </row>
    <row r="41" spans="1:16" s="101" customFormat="1">
      <c r="A41" s="101" t="s">
        <v>88</v>
      </c>
      <c r="B41" s="101" t="s">
        <v>88</v>
      </c>
      <c r="C41" s="101" t="s">
        <v>96</v>
      </c>
      <c r="D41" s="101" t="s">
        <v>90</v>
      </c>
      <c r="E41" s="101" t="str">
        <f>Industrial!C42</f>
        <v>JORGE ORTÚZAR GELTEN</v>
      </c>
      <c r="F41" s="101" t="s">
        <v>91</v>
      </c>
      <c r="G41" s="101" t="s">
        <v>94</v>
      </c>
      <c r="H41" s="101">
        <f>+Industrial!E42</f>
        <v>561.56799999999998</v>
      </c>
      <c r="I41" s="101">
        <f>+Industrial!F42</f>
        <v>-561</v>
      </c>
      <c r="J41" s="101">
        <f>+Industrial!G42</f>
        <v>0.56799999999998363</v>
      </c>
      <c r="K41" s="101">
        <f>+Industrial!H42</f>
        <v>0</v>
      </c>
      <c r="L41" s="101">
        <f>+Industrial!I42</f>
        <v>0.56799999999998363</v>
      </c>
      <c r="M41" s="27">
        <f>+Industrial!J42</f>
        <v>0</v>
      </c>
      <c r="N41" s="139" t="s">
        <v>71</v>
      </c>
      <c r="O41" s="92">
        <f>+Resumen!C$4</f>
        <v>44454</v>
      </c>
      <c r="P41" s="101">
        <v>2021</v>
      </c>
    </row>
    <row r="42" spans="1:16">
      <c r="A42" s="95" t="s">
        <v>88</v>
      </c>
      <c r="B42" s="95" t="s">
        <v>88</v>
      </c>
      <c r="C42" s="95" t="s">
        <v>96</v>
      </c>
      <c r="D42" s="95" t="s">
        <v>90</v>
      </c>
      <c r="E42" s="95" t="str">
        <f>+Industrial!C43</f>
        <v>THOR FISHERIES CHILE SpA</v>
      </c>
      <c r="F42" s="95" t="s">
        <v>91</v>
      </c>
      <c r="G42" s="95" t="s">
        <v>94</v>
      </c>
      <c r="H42" s="101">
        <f>+Industrial!E43</f>
        <v>0</v>
      </c>
      <c r="I42" s="101">
        <f>+Industrial!F43</f>
        <v>0.35098000000000001</v>
      </c>
      <c r="J42" s="101">
        <f>+Industrial!G43</f>
        <v>0.35098000000000001</v>
      </c>
      <c r="K42" s="101">
        <f>+Industrial!H43</f>
        <v>0</v>
      </c>
      <c r="L42" s="101">
        <f>+Industrial!I43</f>
        <v>0.35098000000000001</v>
      </c>
      <c r="M42" s="27">
        <v>0</v>
      </c>
      <c r="N42" s="139" t="s">
        <v>71</v>
      </c>
      <c r="O42" s="92">
        <f>+Resumen!C$4</f>
        <v>44454</v>
      </c>
      <c r="P42" s="101">
        <v>2021</v>
      </c>
    </row>
    <row r="43" spans="1:16">
      <c r="A43" s="95" t="s">
        <v>88</v>
      </c>
      <c r="B43" s="95" t="s">
        <v>88</v>
      </c>
      <c r="C43" s="95" t="s">
        <v>96</v>
      </c>
      <c r="D43" s="95" t="s">
        <v>90</v>
      </c>
      <c r="E43" s="95" t="s">
        <v>97</v>
      </c>
      <c r="F43" s="95" t="s">
        <v>91</v>
      </c>
      <c r="G43" s="95" t="s">
        <v>94</v>
      </c>
      <c r="H43">
        <f>+Industrial!K44</f>
        <v>35098.004999999997</v>
      </c>
      <c r="I43" s="101">
        <f>+Industrial!L44</f>
        <v>-29563.649999999998</v>
      </c>
      <c r="J43" s="101">
        <f>+Industrial!M44</f>
        <v>5534.3549999999959</v>
      </c>
      <c r="K43" s="101">
        <f>+Industrial!N44</f>
        <v>0</v>
      </c>
      <c r="L43" s="101">
        <f>+Industrial!O44</f>
        <v>5534.3549999999959</v>
      </c>
      <c r="M43" s="27">
        <f>+Industrial!P44</f>
        <v>0</v>
      </c>
      <c r="N43" s="139" t="s">
        <v>71</v>
      </c>
      <c r="O43" s="92">
        <f>+Resumen!C$4</f>
        <v>44454</v>
      </c>
      <c r="P43" s="101">
        <v>2021</v>
      </c>
    </row>
    <row r="44" spans="1:16">
      <c r="A44" s="95" t="s">
        <v>98</v>
      </c>
      <c r="B44" s="95" t="s">
        <v>98</v>
      </c>
      <c r="C44" s="95" t="s">
        <v>89</v>
      </c>
      <c r="D44" s="95" t="s">
        <v>90</v>
      </c>
      <c r="E44" t="str">
        <f>+Industrial!C45</f>
        <v xml:space="preserve">ARICA SEAFOOD PRODUCER S.A.  </v>
      </c>
      <c r="F44" s="95" t="s">
        <v>91</v>
      </c>
      <c r="G44" s="95" t="s">
        <v>92</v>
      </c>
      <c r="H44">
        <f>+Industrial!E45</f>
        <v>3.661</v>
      </c>
      <c r="I44" s="101">
        <f>+Industrial!F45</f>
        <v>0</v>
      </c>
      <c r="J44" s="101">
        <f>+Industrial!G45</f>
        <v>3.661</v>
      </c>
      <c r="K44" s="101">
        <f>+Industrial!H45</f>
        <v>0</v>
      </c>
      <c r="L44" s="101">
        <f>+Industrial!I45</f>
        <v>3.661</v>
      </c>
      <c r="M44" s="27">
        <f>+Industrial!J45</f>
        <v>0</v>
      </c>
      <c r="N44" s="139" t="s">
        <v>71</v>
      </c>
      <c r="O44" s="92">
        <f>+Resumen!C$4</f>
        <v>44454</v>
      </c>
      <c r="P44" s="101">
        <v>2021</v>
      </c>
    </row>
    <row r="45" spans="1:16">
      <c r="A45" s="95" t="s">
        <v>98</v>
      </c>
      <c r="B45" s="95" t="s">
        <v>98</v>
      </c>
      <c r="C45" s="95" t="s">
        <v>89</v>
      </c>
      <c r="D45" s="95" t="s">
        <v>90</v>
      </c>
      <c r="E45" t="str">
        <f>+Industrial!C45</f>
        <v xml:space="preserve">ARICA SEAFOOD PRODUCER S.A.  </v>
      </c>
      <c r="F45" s="95" t="s">
        <v>93</v>
      </c>
      <c r="G45" s="95" t="s">
        <v>94</v>
      </c>
      <c r="H45" s="101">
        <f>+Industrial!E46</f>
        <v>1.2190000000000001</v>
      </c>
      <c r="I45" s="101">
        <f>+Industrial!F46</f>
        <v>0</v>
      </c>
      <c r="J45" s="101">
        <f>+Industrial!G46</f>
        <v>4.88</v>
      </c>
      <c r="K45" s="101">
        <f>+Industrial!H46</f>
        <v>0</v>
      </c>
      <c r="L45" s="101">
        <f>+Industrial!I46</f>
        <v>4.88</v>
      </c>
      <c r="M45" s="27">
        <f>+Industrial!J46</f>
        <v>0</v>
      </c>
      <c r="N45" s="139" t="s">
        <v>71</v>
      </c>
      <c r="O45" s="92">
        <f>+Resumen!C$4</f>
        <v>44454</v>
      </c>
      <c r="P45" s="101">
        <v>2021</v>
      </c>
    </row>
    <row r="46" spans="1:16">
      <c r="A46" s="95" t="s">
        <v>98</v>
      </c>
      <c r="B46" s="95" t="s">
        <v>98</v>
      </c>
      <c r="C46" s="95" t="s">
        <v>89</v>
      </c>
      <c r="D46" s="95" t="s">
        <v>90</v>
      </c>
      <c r="E46" t="str">
        <f>+Industrial!C45</f>
        <v xml:space="preserve">ARICA SEAFOOD PRODUCER S.A.  </v>
      </c>
      <c r="F46" s="95" t="s">
        <v>91</v>
      </c>
      <c r="G46" s="95" t="s">
        <v>94</v>
      </c>
      <c r="H46">
        <f>+Industrial!K45</f>
        <v>4.88</v>
      </c>
      <c r="I46" s="101">
        <f>+Industrial!L45</f>
        <v>0</v>
      </c>
      <c r="J46" s="101">
        <f>+Industrial!M45</f>
        <v>4.88</v>
      </c>
      <c r="K46" s="101">
        <f>+Industrial!N45</f>
        <v>0</v>
      </c>
      <c r="L46" s="101">
        <f>+Industrial!O45</f>
        <v>4.88</v>
      </c>
      <c r="M46" s="27">
        <f>+Industrial!P45</f>
        <v>0</v>
      </c>
      <c r="N46" s="139" t="s">
        <v>71</v>
      </c>
      <c r="O46" s="92">
        <f>+Resumen!C$4</f>
        <v>44454</v>
      </c>
      <c r="P46" s="101">
        <v>2021</v>
      </c>
    </row>
    <row r="47" spans="1:16">
      <c r="A47" s="95" t="s">
        <v>98</v>
      </c>
      <c r="B47" s="95" t="s">
        <v>98</v>
      </c>
      <c r="C47" s="95" t="s">
        <v>89</v>
      </c>
      <c r="D47" s="95" t="s">
        <v>90</v>
      </c>
      <c r="E47" t="str">
        <f>+Industrial!C47</f>
        <v xml:space="preserve">CAMANCHACA S.A. CIA. PESQ      </v>
      </c>
      <c r="F47" s="95" t="s">
        <v>91</v>
      </c>
      <c r="G47" s="95" t="s">
        <v>92</v>
      </c>
      <c r="H47">
        <f>+Industrial!E47</f>
        <v>234.869</v>
      </c>
      <c r="I47" s="101">
        <f>+Industrial!F47</f>
        <v>0</v>
      </c>
      <c r="J47" s="101">
        <f>+Industrial!G47</f>
        <v>234.869</v>
      </c>
      <c r="K47" s="101">
        <f>+Industrial!H47</f>
        <v>6.6</v>
      </c>
      <c r="L47" s="101">
        <f>+Industrial!I47</f>
        <v>228.26900000000001</v>
      </c>
      <c r="M47" s="27">
        <f>+Industrial!J47</f>
        <v>2.8100771068127337E-2</v>
      </c>
      <c r="N47" s="139" t="s">
        <v>71</v>
      </c>
      <c r="O47" s="92">
        <f>+Resumen!C$4</f>
        <v>44454</v>
      </c>
      <c r="P47" s="101">
        <v>2021</v>
      </c>
    </row>
    <row r="48" spans="1:16">
      <c r="A48" s="95" t="s">
        <v>98</v>
      </c>
      <c r="B48" s="95" t="s">
        <v>98</v>
      </c>
      <c r="C48" s="95" t="s">
        <v>89</v>
      </c>
      <c r="D48" s="95" t="s">
        <v>90</v>
      </c>
      <c r="E48" t="str">
        <f>+Industrial!C47</f>
        <v xml:space="preserve">CAMANCHACA S.A. CIA. PESQ      </v>
      </c>
      <c r="F48" s="95" t="s">
        <v>93</v>
      </c>
      <c r="G48" s="95" t="s">
        <v>94</v>
      </c>
      <c r="H48" s="101">
        <f>+Industrial!E48</f>
        <v>78.218999999999994</v>
      </c>
      <c r="I48" s="101">
        <f>+Industrial!F48</f>
        <v>0</v>
      </c>
      <c r="J48" s="101">
        <f>+Industrial!G48</f>
        <v>306.488</v>
      </c>
      <c r="K48" s="101">
        <f>+Industrial!H48</f>
        <v>12.744</v>
      </c>
      <c r="L48" s="101">
        <f>+Industrial!I48</f>
        <v>293.74400000000003</v>
      </c>
      <c r="M48" s="27">
        <f>+Industrial!J48</f>
        <v>4.1580747043929944E-2</v>
      </c>
      <c r="N48" s="139" t="s">
        <v>71</v>
      </c>
      <c r="O48" s="92">
        <f>+Resumen!C$4</f>
        <v>44454</v>
      </c>
      <c r="P48" s="101">
        <v>2021</v>
      </c>
    </row>
    <row r="49" spans="1:16">
      <c r="A49" s="95" t="s">
        <v>98</v>
      </c>
      <c r="B49" s="95" t="s">
        <v>98</v>
      </c>
      <c r="C49" s="95" t="s">
        <v>89</v>
      </c>
      <c r="D49" s="95" t="s">
        <v>90</v>
      </c>
      <c r="E49" t="str">
        <f>+Industrial!C47</f>
        <v xml:space="preserve">CAMANCHACA S.A. CIA. PESQ      </v>
      </c>
      <c r="F49" s="95" t="s">
        <v>91</v>
      </c>
      <c r="G49" s="95" t="s">
        <v>94</v>
      </c>
      <c r="H49">
        <f>+Industrial!K47</f>
        <v>313.08799999999997</v>
      </c>
      <c r="I49" s="101">
        <f>+Industrial!L47</f>
        <v>0</v>
      </c>
      <c r="J49" s="101">
        <f>+Industrial!M47</f>
        <v>313.08799999999997</v>
      </c>
      <c r="K49" s="101">
        <f>+Industrial!N47</f>
        <v>19.344000000000001</v>
      </c>
      <c r="L49" s="101">
        <f>+Industrial!O47</f>
        <v>293.74399999999997</v>
      </c>
      <c r="M49" s="27">
        <f>+Industrial!P47</f>
        <v>6.1784546197874088E-2</v>
      </c>
      <c r="N49" s="139" t="s">
        <v>71</v>
      </c>
      <c r="O49" s="92">
        <f>+Resumen!C$4</f>
        <v>44454</v>
      </c>
      <c r="P49" s="101">
        <v>2021</v>
      </c>
    </row>
    <row r="50" spans="1:16">
      <c r="A50" s="95" t="s">
        <v>98</v>
      </c>
      <c r="B50" s="95" t="s">
        <v>98</v>
      </c>
      <c r="C50" s="95" t="s">
        <v>89</v>
      </c>
      <c r="D50" s="95" t="s">
        <v>90</v>
      </c>
      <c r="E50" t="str">
        <f>+Industrial!C49</f>
        <v xml:space="preserve">CORPESCA S.A.                             </v>
      </c>
      <c r="F50" s="95" t="s">
        <v>91</v>
      </c>
      <c r="G50" s="95" t="s">
        <v>92</v>
      </c>
      <c r="H50">
        <f>+Industrial!E49</f>
        <v>875.47</v>
      </c>
      <c r="I50" s="101">
        <f>+Industrial!F49</f>
        <v>0</v>
      </c>
      <c r="J50" s="101">
        <f>+Industrial!G49</f>
        <v>875.47</v>
      </c>
      <c r="K50" s="101">
        <f>+Industrial!H49</f>
        <v>23.672999999999998</v>
      </c>
      <c r="L50" s="101">
        <f>+Industrial!I49</f>
        <v>851.79700000000003</v>
      </c>
      <c r="M50" s="27">
        <f>+Industrial!J49</f>
        <v>2.7040332621334824E-2</v>
      </c>
      <c r="N50" s="139" t="s">
        <v>71</v>
      </c>
      <c r="O50" s="92">
        <f>+Resumen!C$4</f>
        <v>44454</v>
      </c>
      <c r="P50" s="101">
        <v>2021</v>
      </c>
    </row>
    <row r="51" spans="1:16">
      <c r="A51" s="95" t="s">
        <v>98</v>
      </c>
      <c r="B51" s="95" t="s">
        <v>98</v>
      </c>
      <c r="C51" s="95" t="s">
        <v>89</v>
      </c>
      <c r="D51" s="95" t="s">
        <v>90</v>
      </c>
      <c r="E51" t="str">
        <f>+Industrial!C49</f>
        <v xml:space="preserve">CORPESCA S.A.                             </v>
      </c>
      <c r="F51" s="95" t="s">
        <v>93</v>
      </c>
      <c r="G51" s="95" t="s">
        <v>94</v>
      </c>
      <c r="H51" s="101">
        <f>+Industrial!E50</f>
        <v>291.56099999999998</v>
      </c>
      <c r="I51" s="101">
        <f>+Industrial!F50</f>
        <v>0</v>
      </c>
      <c r="J51" s="101">
        <f>+Industrial!G50</f>
        <v>1143.3579999999999</v>
      </c>
      <c r="K51" s="101">
        <f>+Industrial!H50</f>
        <v>36.031999999999996</v>
      </c>
      <c r="L51" s="101">
        <f>+Industrial!I50</f>
        <v>1107.326</v>
      </c>
      <c r="M51" s="27">
        <f>+Industrial!J50</f>
        <v>3.1514188906711635E-2</v>
      </c>
      <c r="N51" s="139" t="s">
        <v>71</v>
      </c>
      <c r="O51" s="92">
        <f>+Resumen!C$4</f>
        <v>44454</v>
      </c>
      <c r="P51" s="101">
        <v>2021</v>
      </c>
    </row>
    <row r="52" spans="1:16">
      <c r="A52" s="95" t="s">
        <v>98</v>
      </c>
      <c r="B52" s="95" t="s">
        <v>98</v>
      </c>
      <c r="C52" s="95" t="s">
        <v>89</v>
      </c>
      <c r="D52" s="95" t="s">
        <v>90</v>
      </c>
      <c r="E52" t="str">
        <f>+Industrial!C49</f>
        <v xml:space="preserve">CORPESCA S.A.                             </v>
      </c>
      <c r="F52" s="95" t="s">
        <v>91</v>
      </c>
      <c r="G52" s="95" t="s">
        <v>94</v>
      </c>
      <c r="H52">
        <f>+Industrial!K49</f>
        <v>1167.0309999999999</v>
      </c>
      <c r="I52" s="101">
        <f>+Industrial!L49</f>
        <v>0</v>
      </c>
      <c r="J52" s="101">
        <f>+Industrial!M49</f>
        <v>1167.0309999999999</v>
      </c>
      <c r="K52" s="101">
        <f>+Industrial!N49</f>
        <v>59.704999999999998</v>
      </c>
      <c r="L52" s="101">
        <f>+Industrial!O49</f>
        <v>1107.326</v>
      </c>
      <c r="M52" s="27">
        <f>+Industrial!P49</f>
        <v>5.1159737830443239E-2</v>
      </c>
      <c r="N52" s="139" t="s">
        <v>71</v>
      </c>
      <c r="O52" s="92">
        <f>+Resumen!C$4</f>
        <v>44454</v>
      </c>
      <c r="P52" s="101">
        <v>2021</v>
      </c>
    </row>
    <row r="53" spans="1:16">
      <c r="A53" s="95" t="s">
        <v>98</v>
      </c>
      <c r="B53" s="95" t="s">
        <v>98</v>
      </c>
      <c r="C53" s="95" t="s">
        <v>89</v>
      </c>
      <c r="D53" s="95" t="s">
        <v>90</v>
      </c>
      <c r="E53" s="95" t="s">
        <v>97</v>
      </c>
      <c r="F53" s="95" t="s">
        <v>91</v>
      </c>
      <c r="G53" s="95" t="s">
        <v>94</v>
      </c>
      <c r="H53">
        <f>+Industrial!K51</f>
        <v>1484.9989999999998</v>
      </c>
      <c r="I53" s="101">
        <f>+Industrial!L51</f>
        <v>0</v>
      </c>
      <c r="J53" s="101">
        <f>+Industrial!M51</f>
        <v>1484.9989999999998</v>
      </c>
      <c r="K53" s="101">
        <f>+Industrial!N51</f>
        <v>79.049000000000007</v>
      </c>
      <c r="L53" s="101">
        <f>+Industrial!O51</f>
        <v>1405.95</v>
      </c>
      <c r="M53" s="27">
        <f>+Industrial!P51</f>
        <v>5.3231685677902825E-2</v>
      </c>
      <c r="N53" s="139" t="s">
        <v>71</v>
      </c>
      <c r="O53" s="92">
        <f>+Resumen!C$4</f>
        <v>44454</v>
      </c>
      <c r="P53" s="101">
        <v>2021</v>
      </c>
    </row>
    <row r="54" spans="1:16">
      <c r="A54" s="95" t="s">
        <v>98</v>
      </c>
      <c r="B54" s="95" t="s">
        <v>98</v>
      </c>
      <c r="C54" s="95" t="s">
        <v>96</v>
      </c>
      <c r="D54" s="95" t="s">
        <v>90</v>
      </c>
      <c r="E54" t="str">
        <f>+Industrial!C52</f>
        <v xml:space="preserve">ALIMENTOS MARINOS S.A.          </v>
      </c>
      <c r="F54" s="95" t="s">
        <v>91</v>
      </c>
      <c r="G54" s="95" t="s">
        <v>94</v>
      </c>
      <c r="H54">
        <f>+Industrial!E52</f>
        <v>119.553</v>
      </c>
      <c r="I54" s="101">
        <f>+Industrial!F52</f>
        <v>0</v>
      </c>
      <c r="J54" s="101">
        <f>+Industrial!G52</f>
        <v>119.553</v>
      </c>
      <c r="K54" s="101">
        <f>+Industrial!H52</f>
        <v>0</v>
      </c>
      <c r="L54" s="101">
        <f>+Industrial!I52</f>
        <v>119.553</v>
      </c>
      <c r="M54" s="27">
        <f>+Industrial!J52</f>
        <v>0</v>
      </c>
      <c r="N54" s="139" t="s">
        <v>71</v>
      </c>
      <c r="O54" s="92">
        <f>+Resumen!C$4</f>
        <v>44454</v>
      </c>
      <c r="P54" s="101">
        <v>2021</v>
      </c>
    </row>
    <row r="55" spans="1:16">
      <c r="A55" s="95" t="s">
        <v>98</v>
      </c>
      <c r="B55" s="95" t="s">
        <v>98</v>
      </c>
      <c r="C55" s="95" t="s">
        <v>96</v>
      </c>
      <c r="D55" s="95" t="s">
        <v>90</v>
      </c>
      <c r="E55" s="95" t="str">
        <f>+Industrial!C53</f>
        <v xml:space="preserve">BAHIA CALDERA S.A. PESQ.          </v>
      </c>
      <c r="F55" s="95" t="s">
        <v>91</v>
      </c>
      <c r="G55" s="95" t="s">
        <v>94</v>
      </c>
      <c r="H55" s="101">
        <f>+Industrial!E53</f>
        <v>520.51199999999994</v>
      </c>
      <c r="I55" s="101">
        <f>+Industrial!F53</f>
        <v>0</v>
      </c>
      <c r="J55" s="101">
        <f>+Industrial!G53</f>
        <v>520.51199999999994</v>
      </c>
      <c r="K55" s="101">
        <f>+Industrial!H53</f>
        <v>0</v>
      </c>
      <c r="L55" s="101">
        <f>+Industrial!I53</f>
        <v>520.51199999999994</v>
      </c>
      <c r="M55" s="27">
        <f>+Industrial!J53</f>
        <v>0</v>
      </c>
      <c r="N55" s="139" t="s">
        <v>71</v>
      </c>
      <c r="O55" s="92">
        <f>+Resumen!C$4</f>
        <v>44454</v>
      </c>
      <c r="P55" s="101">
        <v>2021</v>
      </c>
    </row>
    <row r="56" spans="1:16">
      <c r="A56" s="95" t="s">
        <v>98</v>
      </c>
      <c r="B56" s="95" t="s">
        <v>98</v>
      </c>
      <c r="C56" s="95" t="s">
        <v>96</v>
      </c>
      <c r="D56" s="95" t="s">
        <v>90</v>
      </c>
      <c r="E56" s="95" t="str">
        <f>+Industrial!C54</f>
        <v>FOODCORP CHILE S.A.</v>
      </c>
      <c r="F56" s="95" t="s">
        <v>91</v>
      </c>
      <c r="G56" s="95" t="s">
        <v>94</v>
      </c>
      <c r="H56" s="101">
        <f>+Industrial!E54</f>
        <v>8.7999999999999995E-2</v>
      </c>
      <c r="I56" s="101">
        <f>+Industrial!F54</f>
        <v>0</v>
      </c>
      <c r="J56" s="101">
        <f>+Industrial!G54</f>
        <v>8.7999999999999995E-2</v>
      </c>
      <c r="K56" s="101">
        <f>+Industrial!H54</f>
        <v>0</v>
      </c>
      <c r="L56" s="101">
        <f>+Industrial!I54</f>
        <v>8.7999999999999995E-2</v>
      </c>
      <c r="M56" s="27">
        <f>+Industrial!J54</f>
        <v>0</v>
      </c>
      <c r="N56" s="139" t="s">
        <v>71</v>
      </c>
      <c r="O56" s="92">
        <f>+Resumen!C$4</f>
        <v>44454</v>
      </c>
      <c r="P56" s="101">
        <v>2021</v>
      </c>
    </row>
    <row r="57" spans="1:16">
      <c r="A57" s="95" t="s">
        <v>98</v>
      </c>
      <c r="B57" s="95" t="s">
        <v>98</v>
      </c>
      <c r="C57" s="95" t="s">
        <v>96</v>
      </c>
      <c r="D57" s="95" t="s">
        <v>90</v>
      </c>
      <c r="E57" s="95" t="str">
        <f>+Industrial!C55</f>
        <v>BLUMAR S.A.</v>
      </c>
      <c r="F57" s="95" t="s">
        <v>91</v>
      </c>
      <c r="G57" s="95" t="s">
        <v>94</v>
      </c>
      <c r="H57" s="101">
        <f>+Industrial!E55</f>
        <v>3.3519999999999999</v>
      </c>
      <c r="I57" s="101">
        <f>+Industrial!F55</f>
        <v>0</v>
      </c>
      <c r="J57" s="101">
        <f>+Industrial!G55</f>
        <v>3.3519999999999999</v>
      </c>
      <c r="K57" s="101">
        <f>+Industrial!H55</f>
        <v>0</v>
      </c>
      <c r="L57" s="101">
        <f>+Industrial!I55</f>
        <v>3.3519999999999999</v>
      </c>
      <c r="M57" s="27">
        <f>+Industrial!J55</f>
        <v>0</v>
      </c>
      <c r="N57" s="139" t="s">
        <v>71</v>
      </c>
      <c r="O57" s="92">
        <f>+Resumen!C$4</f>
        <v>44454</v>
      </c>
      <c r="P57" s="101">
        <v>2021</v>
      </c>
    </row>
    <row r="58" spans="1:16">
      <c r="A58" s="95" t="s">
        <v>98</v>
      </c>
      <c r="B58" s="95" t="s">
        <v>98</v>
      </c>
      <c r="C58" s="95" t="s">
        <v>96</v>
      </c>
      <c r="D58" s="95" t="s">
        <v>90</v>
      </c>
      <c r="E58" s="95" t="str">
        <f>+Industrial!C56</f>
        <v>CAMANCHACA S.A. CIA. PESQ.</v>
      </c>
      <c r="F58" s="95" t="s">
        <v>91</v>
      </c>
      <c r="G58" s="95" t="s">
        <v>94</v>
      </c>
      <c r="H58" s="101">
        <f>+Industrial!E56</f>
        <v>3.7890000000000001</v>
      </c>
      <c r="I58" s="101">
        <f>+Industrial!F56</f>
        <v>0</v>
      </c>
      <c r="J58" s="101">
        <f>+Industrial!G56</f>
        <v>3.7890000000000001</v>
      </c>
      <c r="K58" s="101">
        <f>+Industrial!H56</f>
        <v>0</v>
      </c>
      <c r="L58" s="101">
        <f>+Industrial!I56</f>
        <v>3.7890000000000001</v>
      </c>
      <c r="M58" s="27">
        <f>+Industrial!J56</f>
        <v>0</v>
      </c>
      <c r="N58" s="139" t="s">
        <v>71</v>
      </c>
      <c r="O58" s="92">
        <f>+Resumen!C$4</f>
        <v>44454</v>
      </c>
      <c r="P58" s="101">
        <v>2021</v>
      </c>
    </row>
    <row r="59" spans="1:16">
      <c r="A59" s="95" t="s">
        <v>98</v>
      </c>
      <c r="B59" s="95" t="s">
        <v>98</v>
      </c>
      <c r="C59" s="95" t="s">
        <v>96</v>
      </c>
      <c r="D59" s="95" t="s">
        <v>90</v>
      </c>
      <c r="E59" s="95" t="str">
        <f>+Industrial!C57</f>
        <v>PESQUERA LITORAL SpA</v>
      </c>
      <c r="F59" s="95" t="s">
        <v>91</v>
      </c>
      <c r="G59" s="95" t="s">
        <v>94</v>
      </c>
      <c r="H59" s="101">
        <f>+Industrial!E57</f>
        <v>1.736</v>
      </c>
      <c r="I59" s="101">
        <f>+Industrial!F57</f>
        <v>0</v>
      </c>
      <c r="J59" s="101">
        <f>+Industrial!G57</f>
        <v>1.736</v>
      </c>
      <c r="K59" s="101">
        <f>+Industrial!H57</f>
        <v>0</v>
      </c>
      <c r="L59" s="101">
        <f>+Industrial!I57</f>
        <v>1.736</v>
      </c>
      <c r="M59" s="27">
        <f>+Industrial!J57</f>
        <v>0</v>
      </c>
      <c r="N59" s="139" t="s">
        <v>71</v>
      </c>
      <c r="O59" s="92">
        <f>+Resumen!C$4</f>
        <v>44454</v>
      </c>
      <c r="P59" s="101">
        <v>2021</v>
      </c>
    </row>
    <row r="60" spans="1:16">
      <c r="A60" s="95" t="s">
        <v>98</v>
      </c>
      <c r="B60" s="95" t="s">
        <v>98</v>
      </c>
      <c r="C60" s="95" t="s">
        <v>96</v>
      </c>
      <c r="D60" s="95" t="s">
        <v>90</v>
      </c>
      <c r="E60" s="95" t="str">
        <f>+Industrial!C58</f>
        <v>ORIZON S.A.</v>
      </c>
      <c r="F60" s="95" t="s">
        <v>91</v>
      </c>
      <c r="G60" s="95" t="s">
        <v>94</v>
      </c>
      <c r="H60" s="101">
        <f>+Industrial!E58</f>
        <v>223.434</v>
      </c>
      <c r="I60" s="101">
        <f>+Industrial!F58</f>
        <v>-170</v>
      </c>
      <c r="J60" s="101">
        <f>+Industrial!G58</f>
        <v>53.433999999999997</v>
      </c>
      <c r="K60" s="101">
        <f>+Industrial!H58</f>
        <v>0</v>
      </c>
      <c r="L60" s="101">
        <f>+Industrial!I58</f>
        <v>53.433999999999997</v>
      </c>
      <c r="M60" s="27">
        <f>+Industrial!J58</f>
        <v>0</v>
      </c>
      <c r="N60" s="139" t="s">
        <v>71</v>
      </c>
      <c r="O60" s="92">
        <f>+Resumen!C$4</f>
        <v>44454</v>
      </c>
      <c r="P60" s="101">
        <v>2021</v>
      </c>
    </row>
    <row r="61" spans="1:16">
      <c r="A61" s="95" t="s">
        <v>98</v>
      </c>
      <c r="B61" s="95" t="s">
        <v>98</v>
      </c>
      <c r="C61" s="95" t="s">
        <v>96</v>
      </c>
      <c r="D61" s="95" t="s">
        <v>90</v>
      </c>
      <c r="E61" s="95" t="str">
        <f>+Industrial!C59</f>
        <v>CAMANCHACA PESCA SUR S.A.</v>
      </c>
      <c r="F61" s="95" t="s">
        <v>91</v>
      </c>
      <c r="G61" s="95" t="s">
        <v>94</v>
      </c>
      <c r="H61" s="101">
        <f>+Industrial!E59</f>
        <v>1.5129999999999999</v>
      </c>
      <c r="I61" s="101">
        <f>+Industrial!F59</f>
        <v>0</v>
      </c>
      <c r="J61" s="101">
        <f>+Industrial!G59</f>
        <v>1.5129999999999999</v>
      </c>
      <c r="K61" s="101">
        <f>+Industrial!H59</f>
        <v>0</v>
      </c>
      <c r="L61" s="101">
        <f>+Industrial!I59</f>
        <v>1.5129999999999999</v>
      </c>
      <c r="M61" s="27">
        <f>+Industrial!J59</f>
        <v>0</v>
      </c>
      <c r="N61" s="139" t="s">
        <v>71</v>
      </c>
      <c r="O61" s="92">
        <f>+Resumen!C$4</f>
        <v>44454</v>
      </c>
      <c r="P61" s="101">
        <v>2021</v>
      </c>
    </row>
    <row r="62" spans="1:16">
      <c r="A62" s="95" t="s">
        <v>98</v>
      </c>
      <c r="B62" s="95" t="s">
        <v>98</v>
      </c>
      <c r="C62" s="95" t="s">
        <v>96</v>
      </c>
      <c r="D62" s="95" t="s">
        <v>90</v>
      </c>
      <c r="E62" s="95" t="str">
        <f>+Industrial!C61</f>
        <v>LANDES S.A. SOC.PESQ.</v>
      </c>
      <c r="F62" s="95" t="s">
        <v>91</v>
      </c>
      <c r="G62" s="95" t="s">
        <v>94</v>
      </c>
      <c r="H62" s="101">
        <f>+Industrial!E61</f>
        <v>1.024</v>
      </c>
      <c r="I62" s="101">
        <f>+Industrial!F61</f>
        <v>-8.7500000000000008E-3</v>
      </c>
      <c r="J62" s="101">
        <f>+Industrial!G61</f>
        <v>1.01525</v>
      </c>
      <c r="K62" s="101">
        <f>+Industrial!H61</f>
        <v>0</v>
      </c>
      <c r="L62" s="101">
        <f>+Industrial!I61</f>
        <v>1.01525</v>
      </c>
      <c r="M62" s="27">
        <f>+Industrial!J61</f>
        <v>0</v>
      </c>
      <c r="N62" s="139" t="s">
        <v>71</v>
      </c>
      <c r="O62" s="92">
        <f>+Resumen!C$4</f>
        <v>44454</v>
      </c>
      <c r="P62" s="101">
        <v>2021</v>
      </c>
    </row>
    <row r="63" spans="1:16">
      <c r="A63" s="95" t="s">
        <v>98</v>
      </c>
      <c r="B63" s="95" t="s">
        <v>98</v>
      </c>
      <c r="C63" s="95" t="s">
        <v>96</v>
      </c>
      <c r="D63" s="95" t="s">
        <v>90</v>
      </c>
      <c r="E63" s="95" t="s">
        <v>97</v>
      </c>
      <c r="F63" s="95" t="s">
        <v>91</v>
      </c>
      <c r="G63" s="95" t="s">
        <v>94</v>
      </c>
      <c r="H63">
        <f>+Industrial!K62</f>
        <v>875.00099999999986</v>
      </c>
      <c r="I63" s="101">
        <f>+Industrial!L62</f>
        <v>-170</v>
      </c>
      <c r="J63" s="101">
        <f>+Industrial!M62</f>
        <v>705.00099999999986</v>
      </c>
      <c r="K63" s="101">
        <f>+Industrial!N62</f>
        <v>0</v>
      </c>
      <c r="L63" s="101">
        <f>+Industrial!O62</f>
        <v>705.00099999999986</v>
      </c>
      <c r="M63" s="27">
        <f>+Industrial!P62</f>
        <v>0</v>
      </c>
      <c r="N63" s="139" t="s">
        <v>71</v>
      </c>
      <c r="O63" s="92">
        <f>+Resumen!C$4</f>
        <v>44454</v>
      </c>
      <c r="P63" s="101">
        <v>2021</v>
      </c>
    </row>
    <row r="64" spans="1:16">
      <c r="A64" s="95" t="s">
        <v>88</v>
      </c>
      <c r="B64" s="95" t="s">
        <v>88</v>
      </c>
      <c r="C64" s="101" t="s">
        <v>99</v>
      </c>
      <c r="D64" s="101" t="s">
        <v>106</v>
      </c>
      <c r="E64" t="str">
        <f>+'Artesanal Anchoveta XV-IV'!D7</f>
        <v>MACROZONA XV - I</v>
      </c>
      <c r="F64" s="101" t="s">
        <v>91</v>
      </c>
      <c r="G64" s="101" t="s">
        <v>94</v>
      </c>
      <c r="H64">
        <f>+'Artesanal Anchoveta XV-IV'!F7</f>
        <v>79728</v>
      </c>
      <c r="I64" s="101">
        <f>+'Artesanal Anchoveta XV-IV'!G7</f>
        <v>7437</v>
      </c>
      <c r="J64" s="101">
        <f>+'Artesanal Anchoveta XV-IV'!H7</f>
        <v>87165</v>
      </c>
      <c r="K64" s="101">
        <f>+'Artesanal Anchoveta XV-IV'!I7</f>
        <v>79377.888999999996</v>
      </c>
      <c r="L64" s="101">
        <f>+'Artesanal Anchoveta XV-IV'!K7</f>
        <v>7787.1110000000044</v>
      </c>
      <c r="M64" s="27">
        <f>+'Artesanal Anchoveta XV-IV'!L7</f>
        <v>0.91066241037113516</v>
      </c>
      <c r="N64" s="139">
        <f>'Artesanal Anchoveta XV-IV'!M7</f>
        <v>44386</v>
      </c>
      <c r="O64" s="92">
        <f>+Resumen!C$4</f>
        <v>44454</v>
      </c>
      <c r="P64" s="101">
        <v>2021</v>
      </c>
    </row>
    <row r="65" spans="1:16">
      <c r="A65" s="95" t="s">
        <v>88</v>
      </c>
      <c r="B65" s="95" t="s">
        <v>88</v>
      </c>
      <c r="C65" s="101" t="s">
        <v>99</v>
      </c>
      <c r="D65" s="95" t="s">
        <v>106</v>
      </c>
      <c r="E65" s="101" t="s">
        <v>108</v>
      </c>
      <c r="F65" s="95" t="s">
        <v>91</v>
      </c>
      <c r="G65" s="95" t="s">
        <v>94</v>
      </c>
      <c r="H65">
        <f>Resumen!E9</f>
        <v>79728</v>
      </c>
      <c r="I65" s="101">
        <f>Resumen!F9</f>
        <v>7437</v>
      </c>
      <c r="J65" s="101">
        <f>Resumen!G9</f>
        <v>87165</v>
      </c>
      <c r="K65" s="101">
        <f>Resumen!H9</f>
        <v>79377.888999999996</v>
      </c>
      <c r="L65" s="101">
        <f>Resumen!I9</f>
        <v>7787.1110000000044</v>
      </c>
      <c r="M65" s="27">
        <f>Resumen!J9</f>
        <v>0.91066241037113516</v>
      </c>
      <c r="N65" s="139" t="s">
        <v>71</v>
      </c>
      <c r="O65" s="92">
        <f>+Resumen!C$4</f>
        <v>44454</v>
      </c>
      <c r="P65" s="101">
        <v>2021</v>
      </c>
    </row>
    <row r="66" spans="1:16">
      <c r="A66" s="95" t="s">
        <v>88</v>
      </c>
      <c r="B66" s="95" t="s">
        <v>88</v>
      </c>
      <c r="C66" s="95" t="s">
        <v>10</v>
      </c>
      <c r="D66" s="95" t="s">
        <v>106</v>
      </c>
      <c r="E66" t="str">
        <f>+'Artesanal Anchoveta XV-IV'!D8</f>
        <v>REGIÓN II</v>
      </c>
      <c r="F66" s="95" t="s">
        <v>91</v>
      </c>
      <c r="G66" s="101" t="s">
        <v>94</v>
      </c>
      <c r="H66">
        <f>+'Artesanal Anchoveta XV-IV'!F8</f>
        <v>30056</v>
      </c>
      <c r="I66" s="101">
        <f>+'Artesanal Anchoveta XV-IV'!G8</f>
        <v>0</v>
      </c>
      <c r="J66" s="101">
        <f>+'Artesanal Anchoveta XV-IV'!H8</f>
        <v>30056</v>
      </c>
      <c r="K66" s="101">
        <f>+'Artesanal Anchoveta XV-IV'!I8</f>
        <v>21675.215</v>
      </c>
      <c r="L66" s="101">
        <f>+'Artesanal Anchoveta XV-IV'!K8</f>
        <v>8380.7849999999999</v>
      </c>
      <c r="M66" s="27">
        <f>+'Artesanal Anchoveta XV-IV'!L8</f>
        <v>0.72116099946766032</v>
      </c>
      <c r="N66" s="139" t="str">
        <f>'Artesanal Anchoveta XV-IV'!M8</f>
        <v>-</v>
      </c>
      <c r="O66" s="92">
        <f>+Resumen!C$4</f>
        <v>44454</v>
      </c>
      <c r="P66" s="101">
        <v>2021</v>
      </c>
    </row>
    <row r="67" spans="1:16">
      <c r="A67" s="95" t="s">
        <v>88</v>
      </c>
      <c r="B67" s="95" t="s">
        <v>88</v>
      </c>
      <c r="C67" s="95" t="s">
        <v>10</v>
      </c>
      <c r="D67" s="95" t="s">
        <v>106</v>
      </c>
      <c r="E67" s="95" t="s">
        <v>109</v>
      </c>
      <c r="F67" s="95" t="s">
        <v>91</v>
      </c>
      <c r="G67" s="95" t="s">
        <v>94</v>
      </c>
      <c r="H67">
        <f>+'Artesanal Anchoveta XV-IV'!N8</f>
        <v>30056</v>
      </c>
      <c r="I67" s="101">
        <f>+'Artesanal Anchoveta XV-IV'!O8</f>
        <v>0</v>
      </c>
      <c r="J67" s="101">
        <f>+'Artesanal Anchoveta XV-IV'!P8</f>
        <v>30056</v>
      </c>
      <c r="K67" s="101">
        <f>+'Artesanal Anchoveta XV-IV'!Q8</f>
        <v>21675.215</v>
      </c>
      <c r="L67" s="101">
        <f>+'Artesanal Anchoveta XV-IV'!R8</f>
        <v>8380.7849999999999</v>
      </c>
      <c r="M67" s="27">
        <f>+'Artesanal Anchoveta XV-IV'!S8</f>
        <v>0.72116099946766032</v>
      </c>
      <c r="N67" s="139" t="s">
        <v>71</v>
      </c>
      <c r="O67" s="92">
        <f>+Resumen!C$4</f>
        <v>44454</v>
      </c>
      <c r="P67" s="101">
        <v>2021</v>
      </c>
    </row>
    <row r="68" spans="1:16">
      <c r="A68" s="95" t="s">
        <v>88</v>
      </c>
      <c r="B68" s="95" t="s">
        <v>88</v>
      </c>
      <c r="C68" s="95" t="s">
        <v>11</v>
      </c>
      <c r="D68" s="95" t="s">
        <v>106</v>
      </c>
      <c r="E68" t="str">
        <f>+'Artesanal Anchoveta XV-IV'!D10</f>
        <v>REGIÓN III</v>
      </c>
      <c r="F68" s="95" t="s">
        <v>91</v>
      </c>
      <c r="G68" s="95" t="s">
        <v>94</v>
      </c>
      <c r="H68">
        <f>+'Artesanal Anchoveta XV-IV'!F10</f>
        <v>24219</v>
      </c>
      <c r="I68" s="101">
        <f>+'Artesanal Anchoveta XV-IV'!G10</f>
        <v>0</v>
      </c>
      <c r="J68" s="101">
        <f>+'Artesanal Anchoveta XV-IV'!H10</f>
        <v>24219</v>
      </c>
      <c r="K68" s="101">
        <f>+'Artesanal Anchoveta XV-IV'!I10</f>
        <v>8015</v>
      </c>
      <c r="L68" s="101">
        <f>+'Artesanal Anchoveta XV-IV'!K10</f>
        <v>16204</v>
      </c>
      <c r="M68" s="27">
        <f>+'Artesanal Anchoveta XV-IV'!L10</f>
        <v>0.33093851934431645</v>
      </c>
      <c r="N68" s="139" t="s">
        <v>71</v>
      </c>
      <c r="O68" s="92">
        <f>+Resumen!C$4</f>
        <v>44454</v>
      </c>
      <c r="P68" s="101">
        <v>2021</v>
      </c>
    </row>
    <row r="69" spans="1:16" s="95" customFormat="1">
      <c r="A69" s="95" t="s">
        <v>88</v>
      </c>
      <c r="B69" s="95" t="s">
        <v>88</v>
      </c>
      <c r="C69" s="95" t="s">
        <v>11</v>
      </c>
      <c r="D69" s="95" t="s">
        <v>106</v>
      </c>
      <c r="E69" s="95" t="s">
        <v>109</v>
      </c>
      <c r="F69" s="95" t="s">
        <v>91</v>
      </c>
      <c r="G69" s="95" t="s">
        <v>94</v>
      </c>
      <c r="H69" s="101">
        <f>+'Artesanal Anchoveta XV-IV'!N10</f>
        <v>24219</v>
      </c>
      <c r="I69" s="101">
        <f>+'Artesanal Anchoveta XV-IV'!O10</f>
        <v>0</v>
      </c>
      <c r="J69" s="101">
        <f>+'Artesanal Anchoveta XV-IV'!P10</f>
        <v>24219</v>
      </c>
      <c r="K69" s="101">
        <f>+'Artesanal Anchoveta XV-IV'!Q10</f>
        <v>8015</v>
      </c>
      <c r="L69" s="101">
        <f>+'Artesanal Anchoveta XV-IV'!R10</f>
        <v>16204</v>
      </c>
      <c r="M69" s="27">
        <f>+'Artesanal Anchoveta XV-IV'!S10</f>
        <v>0.33093851934431645</v>
      </c>
      <c r="N69" s="139" t="s">
        <v>71</v>
      </c>
      <c r="O69" s="92">
        <f>+Resumen!C$4</f>
        <v>44454</v>
      </c>
      <c r="P69" s="101">
        <v>2021</v>
      </c>
    </row>
    <row r="70" spans="1:16">
      <c r="A70" s="95" t="s">
        <v>88</v>
      </c>
      <c r="B70" s="95" t="s">
        <v>88</v>
      </c>
      <c r="C70" s="95" t="s">
        <v>12</v>
      </c>
      <c r="D70" s="95" t="s">
        <v>107</v>
      </c>
      <c r="E70" t="str">
        <f>+'Artesanal Anchoveta XV-IV'!D11</f>
        <v>CERCOPESCA</v>
      </c>
      <c r="F70" s="95" t="s">
        <v>91</v>
      </c>
      <c r="G70" s="95" t="s">
        <v>94</v>
      </c>
      <c r="H70">
        <f>+'Artesanal Anchoveta XV-IV'!F11</f>
        <v>10273.669</v>
      </c>
      <c r="I70" s="101">
        <f>+'Artesanal Anchoveta XV-IV'!G11</f>
        <v>0</v>
      </c>
      <c r="J70" s="101">
        <f>+'Artesanal Anchoveta XV-IV'!H11</f>
        <v>10273.669</v>
      </c>
      <c r="K70" s="101">
        <f>+'Artesanal Anchoveta XV-IV'!I11</f>
        <v>10083.924999999999</v>
      </c>
      <c r="L70" s="101">
        <f>+'Artesanal Anchoveta XV-IV'!K11</f>
        <v>189.7440000000006</v>
      </c>
      <c r="M70" s="27">
        <f>+'Artesanal Anchoveta XV-IV'!L11</f>
        <v>0.98153103822986698</v>
      </c>
      <c r="N70" s="139" t="s">
        <v>71</v>
      </c>
      <c r="O70" s="92">
        <f>+Resumen!C$4</f>
        <v>44454</v>
      </c>
      <c r="P70" s="101">
        <v>2021</v>
      </c>
    </row>
    <row r="71" spans="1:16">
      <c r="A71" s="95" t="s">
        <v>88</v>
      </c>
      <c r="B71" s="95" t="s">
        <v>88</v>
      </c>
      <c r="C71" s="95" t="s">
        <v>12</v>
      </c>
      <c r="D71" s="95" t="s">
        <v>107</v>
      </c>
      <c r="E71" t="str">
        <f>+'Artesanal Anchoveta XV-IV'!D12</f>
        <v>RESIDUAL</v>
      </c>
      <c r="F71" s="95" t="s">
        <v>91</v>
      </c>
      <c r="G71" s="95" t="s">
        <v>94</v>
      </c>
      <c r="H71">
        <f>+'Artesanal Anchoveta XV-IV'!F12</f>
        <v>105.331</v>
      </c>
      <c r="I71" s="101">
        <f>+'Artesanal Anchoveta XV-IV'!G12</f>
        <v>0</v>
      </c>
      <c r="J71" s="101">
        <f>+'Artesanal Anchoveta XV-IV'!H12</f>
        <v>105.331</v>
      </c>
      <c r="K71" s="101">
        <f>+'Artesanal Anchoveta XV-IV'!I12</f>
        <v>87.427999999999983</v>
      </c>
      <c r="L71" s="101">
        <f>+'Artesanal Anchoveta XV-IV'!K12</f>
        <v>-0.33499999999997954</v>
      </c>
      <c r="M71" s="27">
        <f>+'Artesanal Anchoveta XV-IV'!L12</f>
        <v>1.003180450199846</v>
      </c>
      <c r="N71" s="139">
        <f>'Artesanal Anchoveta XV-IV'!M12</f>
        <v>44340</v>
      </c>
      <c r="O71" s="92">
        <f>+Resumen!C$4</f>
        <v>44454</v>
      </c>
      <c r="P71" s="101">
        <v>2021</v>
      </c>
    </row>
    <row r="72" spans="1:16">
      <c r="A72" s="95" t="s">
        <v>88</v>
      </c>
      <c r="B72" s="95" t="s">
        <v>88</v>
      </c>
      <c r="C72" s="95" t="s">
        <v>12</v>
      </c>
      <c r="D72" s="95" t="s">
        <v>107</v>
      </c>
      <c r="E72" s="95" t="s">
        <v>109</v>
      </c>
      <c r="F72" s="95" t="s">
        <v>91</v>
      </c>
      <c r="G72" s="95" t="s">
        <v>94</v>
      </c>
      <c r="H72">
        <f>+Resumen!E12</f>
        <v>10379</v>
      </c>
      <c r="I72" s="101">
        <f>+Resumen!F12</f>
        <v>0</v>
      </c>
      <c r="J72" s="101">
        <f>+Resumen!G12</f>
        <v>10379</v>
      </c>
      <c r="K72" s="101">
        <f>+Resumen!H12</f>
        <v>10171.352999999999</v>
      </c>
      <c r="L72" s="101">
        <f>+Resumen!I12</f>
        <v>207.64700000000084</v>
      </c>
      <c r="M72" s="27">
        <f>+Resumen!J12</f>
        <v>0.97999354465748134</v>
      </c>
      <c r="N72" s="139" t="s">
        <v>71</v>
      </c>
      <c r="O72" s="92">
        <f>+Resumen!C$4</f>
        <v>44454</v>
      </c>
      <c r="P72" s="101">
        <v>2021</v>
      </c>
    </row>
    <row r="73" spans="1:16">
      <c r="A73" s="95" t="s">
        <v>98</v>
      </c>
      <c r="B73" s="95" t="s">
        <v>98</v>
      </c>
      <c r="C73" s="95" t="s">
        <v>99</v>
      </c>
      <c r="D73" s="95" t="s">
        <v>100</v>
      </c>
      <c r="E73" t="str">
        <f>+'Artesanal S.española XV-IV'!D7</f>
        <v>MACROZONA XV - I</v>
      </c>
      <c r="F73" s="95" t="s">
        <v>91</v>
      </c>
      <c r="G73" s="101" t="s">
        <v>94</v>
      </c>
      <c r="H73">
        <f>+'Artesanal S.española XV-IV'!F7</f>
        <v>733</v>
      </c>
      <c r="I73" s="101">
        <f>+'Artesanal S.española XV-IV'!G7</f>
        <v>0</v>
      </c>
      <c r="J73" s="101">
        <f>+'Artesanal S.española XV-IV'!H7</f>
        <v>733</v>
      </c>
      <c r="K73" s="101">
        <f>+'Artesanal S.española XV-IV'!I7</f>
        <v>38.197000000000003</v>
      </c>
      <c r="L73" s="101">
        <f>+'Artesanal S.española XV-IV'!J7</f>
        <v>694.803</v>
      </c>
      <c r="M73" s="27">
        <f>+'Artesanal S.española XV-IV'!K7</f>
        <v>5.2110504774897683E-2</v>
      </c>
      <c r="N73" s="139" t="s">
        <v>71</v>
      </c>
      <c r="O73" s="92">
        <f>+Resumen!C$4</f>
        <v>44454</v>
      </c>
      <c r="P73" s="101">
        <v>2021</v>
      </c>
    </row>
    <row r="74" spans="1:16">
      <c r="A74" s="95" t="s">
        <v>98</v>
      </c>
      <c r="B74" s="95" t="s">
        <v>98</v>
      </c>
      <c r="C74" s="95" t="s">
        <v>99</v>
      </c>
      <c r="D74" s="95" t="s">
        <v>100</v>
      </c>
      <c r="E74" s="95" t="s">
        <v>108</v>
      </c>
      <c r="F74" s="95" t="s">
        <v>91</v>
      </c>
      <c r="G74" s="95" t="s">
        <v>94</v>
      </c>
      <c r="H74">
        <f>+'Artesanal S.española XV-IV'!M7</f>
        <v>733</v>
      </c>
      <c r="I74" s="101">
        <f>+'Artesanal S.española XV-IV'!N7</f>
        <v>0</v>
      </c>
      <c r="J74" s="101">
        <f>+'Artesanal S.española XV-IV'!O7</f>
        <v>733</v>
      </c>
      <c r="K74" s="101">
        <f>+'Artesanal S.española XV-IV'!P7</f>
        <v>38.197000000000003</v>
      </c>
      <c r="L74" s="101">
        <f>+'Artesanal S.española XV-IV'!Q7</f>
        <v>694.803</v>
      </c>
      <c r="M74" s="27">
        <f>+'Artesanal S.española XV-IV'!R7</f>
        <v>5.2110504774897683E-2</v>
      </c>
      <c r="N74" s="139" t="s">
        <v>71</v>
      </c>
      <c r="O74" s="92">
        <f>+Resumen!C$4</f>
        <v>44454</v>
      </c>
      <c r="P74" s="101">
        <v>2021</v>
      </c>
    </row>
    <row r="75" spans="1:16">
      <c r="A75" s="95" t="s">
        <v>98</v>
      </c>
      <c r="B75" s="95" t="s">
        <v>98</v>
      </c>
      <c r="C75" s="95" t="s">
        <v>10</v>
      </c>
      <c r="D75" s="95" t="s">
        <v>106</v>
      </c>
      <c r="E75" t="str">
        <f>+'Artesanal S.española XV-IV'!D8</f>
        <v>REGIÓN II</v>
      </c>
      <c r="F75" s="95" t="s">
        <v>91</v>
      </c>
      <c r="G75" s="101" t="s">
        <v>94</v>
      </c>
      <c r="H75">
        <f>+'Artesanal S.española XV-IV'!F8</f>
        <v>2772</v>
      </c>
      <c r="I75" s="101">
        <f>+'Artesanal S.española XV-IV'!G8</f>
        <v>0</v>
      </c>
      <c r="J75" s="101">
        <f>+'Artesanal S.española XV-IV'!H8</f>
        <v>2772</v>
      </c>
      <c r="K75" s="101">
        <f>+'Artesanal S.española XV-IV'!I8</f>
        <v>901.38199999999995</v>
      </c>
      <c r="L75" s="101">
        <f>+'Artesanal S.española XV-IV'!J8</f>
        <v>1870.6179999999999</v>
      </c>
      <c r="M75" s="27">
        <f>+'Artesanal S.española XV-IV'!K8</f>
        <v>0.32517388167388167</v>
      </c>
      <c r="N75" s="139" t="s">
        <v>71</v>
      </c>
      <c r="O75" s="92">
        <f>+Resumen!C$4</f>
        <v>44454</v>
      </c>
      <c r="P75" s="101">
        <v>2021</v>
      </c>
    </row>
    <row r="76" spans="1:16">
      <c r="A76" s="95" t="s">
        <v>98</v>
      </c>
      <c r="B76" s="95" t="s">
        <v>98</v>
      </c>
      <c r="C76" s="95" t="s">
        <v>10</v>
      </c>
      <c r="D76" s="95" t="s">
        <v>106</v>
      </c>
      <c r="E76" s="95" t="s">
        <v>108</v>
      </c>
      <c r="F76" s="95" t="s">
        <v>91</v>
      </c>
      <c r="G76" s="95" t="s">
        <v>94</v>
      </c>
      <c r="H76">
        <f>+'Artesanal S.española XV-IV'!M8</f>
        <v>2772</v>
      </c>
      <c r="I76" s="101">
        <f>+'Artesanal S.española XV-IV'!N8</f>
        <v>0</v>
      </c>
      <c r="J76" s="101">
        <f>+'Artesanal S.española XV-IV'!O8</f>
        <v>2772</v>
      </c>
      <c r="K76" s="101">
        <f>+'Artesanal S.española XV-IV'!P8</f>
        <v>901.38199999999995</v>
      </c>
      <c r="L76" s="101">
        <f>+'Artesanal S.española XV-IV'!Q8</f>
        <v>1870.6179999999999</v>
      </c>
      <c r="M76" s="27">
        <f>+'Artesanal S.española XV-IV'!R8</f>
        <v>0.32517388167388167</v>
      </c>
      <c r="N76" s="139" t="s">
        <v>71</v>
      </c>
      <c r="O76" s="92">
        <f>+Resumen!C$4</f>
        <v>44454</v>
      </c>
      <c r="P76" s="101">
        <v>2021</v>
      </c>
    </row>
    <row r="77" spans="1:16">
      <c r="A77" s="95" t="s">
        <v>98</v>
      </c>
      <c r="B77" s="95" t="s">
        <v>98</v>
      </c>
      <c r="C77" s="95" t="s">
        <v>11</v>
      </c>
      <c r="D77" s="95" t="s">
        <v>106</v>
      </c>
      <c r="E77" t="str">
        <f>+'Artesanal S.española XV-IV'!D10</f>
        <v>REGIÓN III</v>
      </c>
      <c r="F77" s="95" t="s">
        <v>91</v>
      </c>
      <c r="G77" s="95" t="s">
        <v>94</v>
      </c>
      <c r="H77">
        <f>+'Artesanal S.española XV-IV'!F10</f>
        <v>387.5</v>
      </c>
      <c r="I77" s="101">
        <f>+'Artesanal S.española XV-IV'!G10</f>
        <v>0</v>
      </c>
      <c r="J77" s="101">
        <f>+'Artesanal S.española XV-IV'!H10</f>
        <v>387.5</v>
      </c>
      <c r="K77" s="101">
        <f>+'Artesanal S.española XV-IV'!I10</f>
        <v>108.34</v>
      </c>
      <c r="L77" s="101">
        <f>+'Artesanal S.española XV-IV'!J10</f>
        <v>279.15999999999997</v>
      </c>
      <c r="M77" s="27">
        <f>+'Artesanal S.española XV-IV'!K10</f>
        <v>0.27958709677419358</v>
      </c>
      <c r="N77" s="139" t="s">
        <v>71</v>
      </c>
      <c r="O77" s="92">
        <f>+Resumen!C$4</f>
        <v>44454</v>
      </c>
      <c r="P77" s="101">
        <v>2021</v>
      </c>
    </row>
    <row r="78" spans="1:16">
      <c r="A78" s="95" t="s">
        <v>98</v>
      </c>
      <c r="B78" s="95" t="s">
        <v>98</v>
      </c>
      <c r="C78" s="95" t="s">
        <v>11</v>
      </c>
      <c r="D78" s="95" t="s">
        <v>106</v>
      </c>
      <c r="E78" s="95" t="s">
        <v>108</v>
      </c>
      <c r="F78" s="95" t="s">
        <v>91</v>
      </c>
      <c r="G78" s="95" t="s">
        <v>94</v>
      </c>
      <c r="H78">
        <f>+'Artesanal S.española XV-IV'!M10</f>
        <v>387.5</v>
      </c>
      <c r="I78" s="101">
        <f>+'Artesanal S.española XV-IV'!N10</f>
        <v>0</v>
      </c>
      <c r="J78" s="101">
        <f>+'Artesanal S.española XV-IV'!O10</f>
        <v>387.5</v>
      </c>
      <c r="K78" s="101">
        <f>+'Artesanal S.española XV-IV'!P10</f>
        <v>108.34</v>
      </c>
      <c r="L78" s="101">
        <f>+'Artesanal S.española XV-IV'!Q10</f>
        <v>279.15999999999997</v>
      </c>
      <c r="M78" s="27">
        <f>+'Artesanal S.española XV-IV'!R10</f>
        <v>0.27958709677419358</v>
      </c>
      <c r="N78" s="139" t="s">
        <v>71</v>
      </c>
      <c r="O78" s="92">
        <f>+Resumen!C$4</f>
        <v>44454</v>
      </c>
      <c r="P78" s="101">
        <v>2021</v>
      </c>
    </row>
    <row r="79" spans="1:16">
      <c r="A79" s="95" t="s">
        <v>98</v>
      </c>
      <c r="B79" s="95" t="s">
        <v>98</v>
      </c>
      <c r="C79" s="95" t="s">
        <v>12</v>
      </c>
      <c r="D79" s="95" t="s">
        <v>106</v>
      </c>
      <c r="E79" t="str">
        <f>+'Artesanal S.española XV-IV'!D11</f>
        <v>REGIÓN IV</v>
      </c>
      <c r="F79" s="95" t="s">
        <v>91</v>
      </c>
      <c r="G79" s="95" t="s">
        <v>94</v>
      </c>
      <c r="H79">
        <f>+'Artesanal S.española XV-IV'!F11</f>
        <v>387.5</v>
      </c>
      <c r="I79" s="101">
        <f>+'Artesanal S.española XV-IV'!G11</f>
        <v>0</v>
      </c>
      <c r="J79" s="101">
        <f>+'Artesanal S.española XV-IV'!H11</f>
        <v>387.5</v>
      </c>
      <c r="K79" s="101">
        <f>+'Artesanal S.española XV-IV'!I11</f>
        <v>26.05</v>
      </c>
      <c r="L79" s="101">
        <f>+'Artesanal S.española XV-IV'!J11</f>
        <v>361.45</v>
      </c>
      <c r="M79" s="27">
        <f>+'Artesanal S.española XV-IV'!K11</f>
        <v>6.7225806451612899E-2</v>
      </c>
      <c r="N79" s="139" t="s">
        <v>71</v>
      </c>
      <c r="O79" s="92">
        <f>+Resumen!C$4</f>
        <v>44454</v>
      </c>
      <c r="P79" s="101">
        <v>2021</v>
      </c>
    </row>
    <row r="80" spans="1:16">
      <c r="A80" s="95" t="s">
        <v>98</v>
      </c>
      <c r="B80" s="95" t="s">
        <v>98</v>
      </c>
      <c r="C80" s="95" t="s">
        <v>12</v>
      </c>
      <c r="D80" s="95" t="s">
        <v>106</v>
      </c>
      <c r="E80" s="95" t="s">
        <v>108</v>
      </c>
      <c r="F80" s="95" t="s">
        <v>91</v>
      </c>
      <c r="G80" s="95" t="s">
        <v>94</v>
      </c>
      <c r="H80">
        <f>+'Artesanal S.española XV-IV'!M11</f>
        <v>387.5</v>
      </c>
      <c r="I80" s="101">
        <f>+'Artesanal S.española XV-IV'!N11</f>
        <v>0</v>
      </c>
      <c r="J80" s="101">
        <f>+'Artesanal S.española XV-IV'!O11</f>
        <v>387.5</v>
      </c>
      <c r="K80" s="101">
        <f>+'Artesanal S.española XV-IV'!P11</f>
        <v>26.05</v>
      </c>
      <c r="L80" s="101">
        <f>+'Artesanal S.española XV-IV'!Q11</f>
        <v>361.45</v>
      </c>
      <c r="M80" s="27">
        <f>+'Artesanal S.española XV-IV'!R11</f>
        <v>6.7225806451612899E-2</v>
      </c>
      <c r="N80" s="139" t="s">
        <v>71</v>
      </c>
      <c r="O80" s="92">
        <f>+Resumen!C$4</f>
        <v>44454</v>
      </c>
      <c r="P80" s="101">
        <v>2021</v>
      </c>
    </row>
    <row r="81" spans="1:2">
      <c r="A81" s="95"/>
      <c r="B81" s="95"/>
    </row>
    <row r="82" spans="1:2">
      <c r="A82" s="95"/>
      <c r="B82" s="95"/>
    </row>
    <row r="83" spans="1:2">
      <c r="A83" s="95"/>
      <c r="B83" s="95"/>
    </row>
  </sheetData>
  <pageMargins left="0.7" right="0.7" top="0.75" bottom="0.75" header="0.3" footer="0.3"/>
  <ignoredErrors>
    <ignoredError sqref="H19:M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S21"/>
  <sheetViews>
    <sheetView zoomScale="98" zoomScaleNormal="98" workbookViewId="0">
      <selection activeCell="K17" sqref="K17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  <col min="10" max="10" width="11.42578125" style="101"/>
  </cols>
  <sheetData>
    <row r="2" spans="2:19">
      <c r="B2" s="288" t="s">
        <v>153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2:19" s="22" customFormat="1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2:19">
      <c r="B4" s="282">
        <f>+Resumen!C4</f>
        <v>44454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2:19">
      <c r="N5" s="292" t="s">
        <v>70</v>
      </c>
      <c r="O5" s="292"/>
      <c r="P5" s="292"/>
      <c r="Q5" s="292"/>
      <c r="R5" s="292"/>
      <c r="S5" s="292"/>
    </row>
    <row r="6" spans="2:19" ht="30">
      <c r="B6" s="12" t="s">
        <v>17</v>
      </c>
      <c r="C6" s="127" t="s">
        <v>136</v>
      </c>
      <c r="D6" s="13" t="s">
        <v>28</v>
      </c>
      <c r="E6" s="13" t="s">
        <v>22</v>
      </c>
      <c r="F6" s="12" t="s">
        <v>33</v>
      </c>
      <c r="G6" s="13" t="s">
        <v>4</v>
      </c>
      <c r="H6" s="12" t="s">
        <v>34</v>
      </c>
      <c r="I6" s="134" t="s">
        <v>139</v>
      </c>
      <c r="J6" s="242" t="s">
        <v>318</v>
      </c>
      <c r="K6" s="134" t="s">
        <v>138</v>
      </c>
      <c r="L6" s="13" t="s">
        <v>35</v>
      </c>
      <c r="M6" s="13" t="s">
        <v>36</v>
      </c>
      <c r="N6" s="19" t="s">
        <v>33</v>
      </c>
      <c r="O6" s="20" t="s">
        <v>4</v>
      </c>
      <c r="P6" s="20" t="s">
        <v>34</v>
      </c>
      <c r="Q6" s="20" t="s">
        <v>6</v>
      </c>
      <c r="R6" s="20" t="s">
        <v>7</v>
      </c>
      <c r="S6" s="20" t="s">
        <v>35</v>
      </c>
    </row>
    <row r="7" spans="2:19" ht="30">
      <c r="B7" s="293" t="s">
        <v>18</v>
      </c>
      <c r="C7" s="253" t="s">
        <v>25</v>
      </c>
      <c r="D7" s="254" t="s">
        <v>101</v>
      </c>
      <c r="E7" s="16" t="s">
        <v>55</v>
      </c>
      <c r="F7" s="121">
        <v>79728</v>
      </c>
      <c r="G7" s="116">
        <f>7437</f>
        <v>7437</v>
      </c>
      <c r="H7" s="116">
        <f>+F7+G7</f>
        <v>87165</v>
      </c>
      <c r="I7" s="122">
        <v>79377.888999999996</v>
      </c>
      <c r="J7" s="122"/>
      <c r="K7" s="116">
        <f t="shared" ref="K7" si="0">+H7-I7</f>
        <v>7787.1110000000044</v>
      </c>
      <c r="L7" s="155">
        <f t="shared" ref="L7" si="1">+I7/H7</f>
        <v>0.91066241037113516</v>
      </c>
      <c r="M7" s="276">
        <v>44386</v>
      </c>
      <c r="N7" s="256">
        <f t="shared" ref="N7:O11" si="2">+F7</f>
        <v>79728</v>
      </c>
      <c r="O7" s="256">
        <f t="shared" si="2"/>
        <v>7437</v>
      </c>
      <c r="P7" s="256">
        <f>+N7+O7</f>
        <v>87165</v>
      </c>
      <c r="Q7" s="256">
        <f>+I7</f>
        <v>79377.888999999996</v>
      </c>
      <c r="R7" s="256">
        <f>+P7-Q7</f>
        <v>7787.1110000000044</v>
      </c>
      <c r="S7" s="257">
        <f>+Q7/P7</f>
        <v>0.91066241037113516</v>
      </c>
    </row>
    <row r="8" spans="2:19">
      <c r="B8" s="294"/>
      <c r="C8" s="253" t="s">
        <v>26</v>
      </c>
      <c r="D8" s="255" t="s">
        <v>102</v>
      </c>
      <c r="E8" s="16" t="s">
        <v>55</v>
      </c>
      <c r="F8" s="121">
        <v>30056</v>
      </c>
      <c r="G8" s="116"/>
      <c r="H8" s="116">
        <f>+F8+G8</f>
        <v>30056</v>
      </c>
      <c r="I8" s="122">
        <v>21675.215</v>
      </c>
      <c r="J8" s="122"/>
      <c r="K8" s="116">
        <f t="shared" ref="K8:K11" si="3">+H8-I8</f>
        <v>8380.7849999999999</v>
      </c>
      <c r="L8" s="18">
        <f t="shared" ref="L8:L11" si="4">+I8/H8</f>
        <v>0.72116099946766032</v>
      </c>
      <c r="M8" s="220" t="s">
        <v>71</v>
      </c>
      <c r="N8" s="258">
        <f t="shared" si="2"/>
        <v>30056</v>
      </c>
      <c r="O8" s="258">
        <f t="shared" si="2"/>
        <v>0</v>
      </c>
      <c r="P8" s="258">
        <f>+N8+O8</f>
        <v>30056</v>
      </c>
      <c r="Q8" s="258">
        <f>+I8</f>
        <v>21675.215</v>
      </c>
      <c r="R8" s="258">
        <f>+P8-Q8</f>
        <v>8380.7849999999999</v>
      </c>
      <c r="S8" s="259">
        <f>+Q8/P8</f>
        <v>0.72116099946766032</v>
      </c>
    </row>
    <row r="9" spans="2:19" s="101" customFormat="1">
      <c r="B9" s="295"/>
      <c r="C9" s="133" t="s">
        <v>137</v>
      </c>
      <c r="D9" s="131" t="s">
        <v>15</v>
      </c>
      <c r="E9" s="16" t="s">
        <v>55</v>
      </c>
      <c r="F9" s="121">
        <v>1000</v>
      </c>
      <c r="G9" s="116"/>
      <c r="H9" s="116">
        <f>+F9+G9</f>
        <v>1000</v>
      </c>
      <c r="I9" s="215"/>
      <c r="J9" s="215"/>
      <c r="K9" s="116">
        <f>+H9-I9</f>
        <v>1000</v>
      </c>
      <c r="L9" s="18">
        <f>+I9/H9</f>
        <v>0</v>
      </c>
      <c r="M9" s="103"/>
      <c r="N9" s="129">
        <f t="shared" si="2"/>
        <v>1000</v>
      </c>
      <c r="O9" s="129">
        <f t="shared" si="2"/>
        <v>0</v>
      </c>
      <c r="P9" s="129">
        <f>+H9</f>
        <v>1000</v>
      </c>
      <c r="Q9" s="129">
        <f>+I9</f>
        <v>0</v>
      </c>
      <c r="R9" s="129">
        <f>+P9-Q9</f>
        <v>1000</v>
      </c>
      <c r="S9" s="130">
        <f>+Q9/P9</f>
        <v>0</v>
      </c>
    </row>
    <row r="10" spans="2:19">
      <c r="B10" s="290" t="s">
        <v>23</v>
      </c>
      <c r="C10" s="15" t="s">
        <v>27</v>
      </c>
      <c r="D10" s="93" t="s">
        <v>103</v>
      </c>
      <c r="E10" s="16" t="s">
        <v>55</v>
      </c>
      <c r="F10" s="121">
        <v>24219</v>
      </c>
      <c r="G10" s="116"/>
      <c r="H10" s="116">
        <f>+F10+G10</f>
        <v>24219</v>
      </c>
      <c r="I10" s="122">
        <v>8015</v>
      </c>
      <c r="J10" s="122"/>
      <c r="K10" s="116">
        <f t="shared" si="3"/>
        <v>16204</v>
      </c>
      <c r="L10" s="155">
        <f t="shared" si="4"/>
        <v>0.33093851934431645</v>
      </c>
      <c r="M10" s="219"/>
      <c r="N10" s="117">
        <f t="shared" si="2"/>
        <v>24219</v>
      </c>
      <c r="O10" s="117">
        <f t="shared" si="2"/>
        <v>0</v>
      </c>
      <c r="P10" s="117">
        <f>+N10+O10</f>
        <v>24219</v>
      </c>
      <c r="Q10" s="117">
        <f>+I10</f>
        <v>8015</v>
      </c>
      <c r="R10" s="117">
        <f>+P10-Q10</f>
        <v>16204</v>
      </c>
      <c r="S10" s="21">
        <f>+Q10/P10</f>
        <v>0.33093851934431645</v>
      </c>
    </row>
    <row r="11" spans="2:19">
      <c r="B11" s="291"/>
      <c r="C11" s="289" t="s">
        <v>29</v>
      </c>
      <c r="D11" s="93" t="s">
        <v>30</v>
      </c>
      <c r="E11" s="16" t="s">
        <v>55</v>
      </c>
      <c r="F11" s="121">
        <v>10273.669</v>
      </c>
      <c r="G11" s="116"/>
      <c r="H11" s="116">
        <f t="shared" ref="H11:H12" si="5">+F11+G11</f>
        <v>10273.669</v>
      </c>
      <c r="I11" s="122">
        <v>10083.924999999999</v>
      </c>
      <c r="J11" s="122"/>
      <c r="K11" s="116">
        <f t="shared" si="3"/>
        <v>189.7440000000006</v>
      </c>
      <c r="L11" s="155">
        <f t="shared" si="4"/>
        <v>0.98153103822986698</v>
      </c>
      <c r="M11" s="219"/>
      <c r="N11" s="117">
        <f t="shared" si="2"/>
        <v>10273.669</v>
      </c>
      <c r="O11" s="117">
        <f t="shared" si="2"/>
        <v>0</v>
      </c>
      <c r="P11" s="117">
        <f t="shared" ref="P11:P12" si="6">+N11+O11</f>
        <v>10273.669</v>
      </c>
      <c r="Q11" s="117">
        <f t="shared" ref="Q11:Q13" si="7">+I11</f>
        <v>10083.924999999999</v>
      </c>
      <c r="R11" s="117">
        <f t="shared" ref="R11:R12" si="8">+P11-Q11</f>
        <v>189.7440000000006</v>
      </c>
      <c r="S11" s="21">
        <f t="shared" ref="S11:S12" si="9">+Q11/P11</f>
        <v>0.98153103822986698</v>
      </c>
    </row>
    <row r="12" spans="2:19">
      <c r="B12" s="291"/>
      <c r="C12" s="289"/>
      <c r="D12" s="93" t="s">
        <v>104</v>
      </c>
      <c r="E12" s="16" t="s">
        <v>55</v>
      </c>
      <c r="F12" s="121">
        <v>105.331</v>
      </c>
      <c r="G12" s="116"/>
      <c r="H12" s="116">
        <f t="shared" si="5"/>
        <v>105.331</v>
      </c>
      <c r="I12" s="122">
        <v>87.427999999999983</v>
      </c>
      <c r="J12" s="122">
        <v>18.238</v>
      </c>
      <c r="K12" s="116">
        <f>+H12-(I12+J12)</f>
        <v>-0.33499999999997954</v>
      </c>
      <c r="L12" s="18">
        <f>(+I12+J12)/H12</f>
        <v>1.003180450199846</v>
      </c>
      <c r="M12" s="221">
        <v>44340</v>
      </c>
      <c r="N12" s="117">
        <f t="shared" ref="N12" si="10">+F12</f>
        <v>105.331</v>
      </c>
      <c r="O12" s="117">
        <f t="shared" ref="O12:O13" si="11">+G12</f>
        <v>0</v>
      </c>
      <c r="P12" s="117">
        <f t="shared" si="6"/>
        <v>105.331</v>
      </c>
      <c r="Q12" s="117">
        <f t="shared" si="7"/>
        <v>87.427999999999983</v>
      </c>
      <c r="R12" s="117">
        <f t="shared" si="8"/>
        <v>17.90300000000002</v>
      </c>
      <c r="S12" s="21">
        <f t="shared" si="9"/>
        <v>0.83003104499150282</v>
      </c>
    </row>
    <row r="13" spans="2:19" s="101" customFormat="1">
      <c r="B13" s="291"/>
      <c r="C13" s="132" t="s">
        <v>137</v>
      </c>
      <c r="D13" s="93" t="s">
        <v>16</v>
      </c>
      <c r="E13" s="16" t="s">
        <v>55</v>
      </c>
      <c r="F13" s="121">
        <v>500</v>
      </c>
      <c r="G13" s="116"/>
      <c r="H13" s="116">
        <f>+F13+G13</f>
        <v>500</v>
      </c>
      <c r="I13" s="215"/>
      <c r="J13" s="215"/>
      <c r="K13" s="116">
        <f>+H13-I13</f>
        <v>500</v>
      </c>
      <c r="L13" s="18">
        <f>+I13/H13</f>
        <v>0</v>
      </c>
      <c r="M13" s="128"/>
      <c r="N13" s="117">
        <f>+F13</f>
        <v>500</v>
      </c>
      <c r="O13" s="117">
        <f t="shared" si="11"/>
        <v>0</v>
      </c>
      <c r="P13" s="117">
        <f t="shared" ref="P13" si="12">+H13</f>
        <v>500</v>
      </c>
      <c r="Q13" s="117">
        <f t="shared" si="7"/>
        <v>0</v>
      </c>
      <c r="R13" s="117">
        <f>+P13-Q13</f>
        <v>500</v>
      </c>
      <c r="S13" s="21">
        <f>+Q13/P13</f>
        <v>0</v>
      </c>
    </row>
    <row r="14" spans="2:19">
      <c r="B14" s="3"/>
      <c r="F14" s="136"/>
    </row>
    <row r="17" spans="2:5">
      <c r="E17" s="101"/>
    </row>
    <row r="20" spans="2:5">
      <c r="B20" s="101"/>
    </row>
    <row r="21" spans="2:5">
      <c r="B21" s="101"/>
    </row>
  </sheetData>
  <mergeCells count="6">
    <mergeCell ref="B2:S3"/>
    <mergeCell ref="C11:C12"/>
    <mergeCell ref="B10:B13"/>
    <mergeCell ref="B4:S4"/>
    <mergeCell ref="N5:S5"/>
    <mergeCell ref="B7:B9"/>
  </mergeCells>
  <conditionalFormatting sqref="K7:K13">
    <cfRule type="cellIs" dxfId="12" priority="3" operator="lessThan">
      <formula>0</formula>
    </cfRule>
  </conditionalFormatting>
  <conditionalFormatting sqref="S10:S13 S7:S8 L7:L13">
    <cfRule type="cellIs" dxfId="11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0 P10:P12 P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workbookViewId="0">
      <selection activeCell="F14" sqref="F14"/>
    </sheetView>
  </sheetViews>
  <sheetFormatPr baseColWidth="10" defaultRowHeight="15"/>
  <cols>
    <col min="2" max="2" width="18.7109375" customWidth="1"/>
    <col min="3" max="3" width="27.28515625" customWidth="1"/>
    <col min="4" max="4" width="22.28515625" bestFit="1" customWidth="1"/>
    <col min="5" max="5" width="24.42578125" bestFit="1" customWidth="1"/>
    <col min="6" max="6" width="10.7109375" bestFit="1" customWidth="1"/>
    <col min="7" max="7" width="12.7109375" bestFit="1" customWidth="1"/>
    <col min="8" max="8" width="13.42578125" bestFit="1" customWidth="1"/>
  </cols>
  <sheetData>
    <row r="2" spans="2:9">
      <c r="B2" s="296" t="s">
        <v>316</v>
      </c>
      <c r="C2" s="296"/>
      <c r="D2" s="296"/>
      <c r="E2" s="296"/>
      <c r="F2" s="296"/>
      <c r="G2" s="296"/>
      <c r="H2" s="296"/>
      <c r="I2" s="296"/>
    </row>
    <row r="3" spans="2:9">
      <c r="B3" s="297">
        <f>Resumen!C4</f>
        <v>44454</v>
      </c>
      <c r="C3" s="297"/>
      <c r="D3" s="297"/>
      <c r="E3" s="297"/>
      <c r="F3" s="297"/>
      <c r="G3" s="297"/>
      <c r="H3" s="297"/>
      <c r="I3" s="297"/>
    </row>
    <row r="4" spans="2:9">
      <c r="B4" s="115"/>
      <c r="C4" s="115"/>
      <c r="D4" s="115"/>
      <c r="E4" s="115"/>
      <c r="F4" s="115"/>
      <c r="G4" s="115"/>
      <c r="H4" s="115"/>
      <c r="I4" s="115"/>
    </row>
    <row r="5" spans="2:9">
      <c r="B5" s="223" t="s">
        <v>176</v>
      </c>
      <c r="C5" s="223" t="s">
        <v>28</v>
      </c>
      <c r="D5" s="223" t="s">
        <v>37</v>
      </c>
      <c r="E5" s="223" t="s">
        <v>177</v>
      </c>
      <c r="F5" s="223" t="s">
        <v>178</v>
      </c>
      <c r="G5" s="223" t="s">
        <v>179</v>
      </c>
      <c r="H5" s="223" t="s">
        <v>180</v>
      </c>
      <c r="I5" s="223" t="s">
        <v>36</v>
      </c>
    </row>
    <row r="6" spans="2:9" s="101" customFormat="1">
      <c r="B6" s="239" t="s">
        <v>309</v>
      </c>
      <c r="C6" s="243" t="s">
        <v>310</v>
      </c>
      <c r="D6" s="240" t="s">
        <v>300</v>
      </c>
      <c r="E6" s="212">
        <v>19.402000000000001</v>
      </c>
      <c r="F6" s="211"/>
      <c r="G6" s="212">
        <f>E6-F6</f>
        <v>19.402000000000001</v>
      </c>
      <c r="H6" s="140">
        <f>F6/E6</f>
        <v>0</v>
      </c>
      <c r="I6" s="211"/>
    </row>
    <row r="7" spans="2:9" s="101" customFormat="1">
      <c r="B7" s="239" t="s">
        <v>182</v>
      </c>
      <c r="C7" s="243" t="s">
        <v>311</v>
      </c>
      <c r="D7" s="240" t="s">
        <v>300</v>
      </c>
      <c r="E7" s="212">
        <v>8.0150000000000006</v>
      </c>
      <c r="F7" s="211"/>
      <c r="G7" s="212">
        <f t="shared" ref="G7:G10" si="0">E7-F7</f>
        <v>8.0150000000000006</v>
      </c>
      <c r="H7" s="140">
        <f t="shared" ref="H7:H10" si="1">F7/E7</f>
        <v>0</v>
      </c>
      <c r="I7" s="211"/>
    </row>
    <row r="8" spans="2:9" s="101" customFormat="1">
      <c r="B8" s="239" t="s">
        <v>32</v>
      </c>
      <c r="C8" s="243" t="s">
        <v>312</v>
      </c>
      <c r="D8" s="240" t="s">
        <v>300</v>
      </c>
      <c r="E8" s="212">
        <v>9853.4809999999998</v>
      </c>
      <c r="F8" s="211">
        <v>4164.3500000000004</v>
      </c>
      <c r="G8" s="212">
        <f t="shared" si="0"/>
        <v>5689.1309999999994</v>
      </c>
      <c r="H8" s="140">
        <f t="shared" si="1"/>
        <v>0.42262729283184292</v>
      </c>
      <c r="I8" s="211"/>
    </row>
    <row r="9" spans="2:9">
      <c r="B9" s="296" t="s">
        <v>29</v>
      </c>
      <c r="C9" s="224" t="s">
        <v>30</v>
      </c>
      <c r="D9" s="235" t="s">
        <v>300</v>
      </c>
      <c r="E9" s="222">
        <v>488.51399999999921</v>
      </c>
      <c r="F9" s="150">
        <v>488.51400000000001</v>
      </c>
      <c r="G9" s="244">
        <f t="shared" si="0"/>
        <v>-7.9580786405131221E-13</v>
      </c>
      <c r="H9" s="140">
        <f t="shared" si="1"/>
        <v>1.0000000000000016</v>
      </c>
      <c r="I9" s="222"/>
    </row>
    <row r="10" spans="2:9">
      <c r="B10" s="296"/>
      <c r="C10" s="224" t="s">
        <v>104</v>
      </c>
      <c r="D10" s="235" t="s">
        <v>300</v>
      </c>
      <c r="E10" s="222">
        <v>0.58999999999999631</v>
      </c>
      <c r="F10" s="150">
        <v>0.59</v>
      </c>
      <c r="G10" s="244">
        <f t="shared" si="0"/>
        <v>-3.6637359812630166E-15</v>
      </c>
      <c r="H10" s="140">
        <f t="shared" si="1"/>
        <v>1.0000000000000062</v>
      </c>
      <c r="I10" s="222"/>
    </row>
  </sheetData>
  <mergeCells count="3">
    <mergeCell ref="B2:I2"/>
    <mergeCell ref="B3:I3"/>
    <mergeCell ref="B9:B10"/>
  </mergeCells>
  <phoneticPr fontId="3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3"/>
  <sheetViews>
    <sheetView workbookViewId="0">
      <selection activeCell="I15" sqref="I15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9.140625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9" customWidth="1"/>
    <col min="17" max="17" width="9" bestFit="1" customWidth="1"/>
    <col min="18" max="18" width="10.85546875" customWidth="1"/>
  </cols>
  <sheetData>
    <row r="2" spans="2:18">
      <c r="B2" s="288" t="s">
        <v>154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2:18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2:18">
      <c r="B4" s="282">
        <f>+Resumen!C4</f>
        <v>44454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2:18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92" t="s">
        <v>70</v>
      </c>
      <c r="N5" s="292"/>
      <c r="O5" s="292"/>
      <c r="P5" s="292"/>
      <c r="Q5" s="292"/>
      <c r="R5" s="292"/>
    </row>
    <row r="6" spans="2:18" ht="30">
      <c r="B6" s="126" t="s">
        <v>17</v>
      </c>
      <c r="C6" s="127" t="s">
        <v>136</v>
      </c>
      <c r="D6" s="124" t="s">
        <v>28</v>
      </c>
      <c r="E6" s="124" t="s">
        <v>22</v>
      </c>
      <c r="F6" s="126" t="s">
        <v>33</v>
      </c>
      <c r="G6" s="124" t="s">
        <v>4</v>
      </c>
      <c r="H6" s="126" t="s">
        <v>34</v>
      </c>
      <c r="I6" s="124" t="s">
        <v>6</v>
      </c>
      <c r="J6" s="124" t="s">
        <v>7</v>
      </c>
      <c r="K6" s="124" t="s">
        <v>35</v>
      </c>
      <c r="L6" s="124" t="s">
        <v>36</v>
      </c>
      <c r="M6" s="19" t="s">
        <v>33</v>
      </c>
      <c r="N6" s="20" t="s">
        <v>4</v>
      </c>
      <c r="O6" s="19" t="s">
        <v>34</v>
      </c>
      <c r="P6" s="20" t="s">
        <v>6</v>
      </c>
      <c r="Q6" s="20" t="s">
        <v>7</v>
      </c>
      <c r="R6" s="19" t="s">
        <v>35</v>
      </c>
    </row>
    <row r="7" spans="2:18" ht="30">
      <c r="B7" s="299" t="s">
        <v>21</v>
      </c>
      <c r="C7" s="253" t="s">
        <v>25</v>
      </c>
      <c r="D7" s="255" t="s">
        <v>101</v>
      </c>
      <c r="E7" s="16" t="s">
        <v>55</v>
      </c>
      <c r="F7" s="121">
        <v>733</v>
      </c>
      <c r="G7" s="116"/>
      <c r="H7" s="116">
        <f>+F7+G7</f>
        <v>733</v>
      </c>
      <c r="I7" s="122">
        <v>38.197000000000003</v>
      </c>
      <c r="J7" s="116">
        <f t="shared" ref="J7:J11" si="0">+H7-I7</f>
        <v>694.803</v>
      </c>
      <c r="K7" s="18">
        <f t="shared" ref="K7:K12" si="1">+I7/H7</f>
        <v>5.2110504774897683E-2</v>
      </c>
      <c r="L7" s="125"/>
      <c r="M7" s="258">
        <f>+F7</f>
        <v>733</v>
      </c>
      <c r="N7" s="258">
        <f>+G7</f>
        <v>0</v>
      </c>
      <c r="O7" s="258">
        <f>+M7+N7</f>
        <v>733</v>
      </c>
      <c r="P7" s="258">
        <f>+I7</f>
        <v>38.197000000000003</v>
      </c>
      <c r="Q7" s="258">
        <f t="shared" ref="Q7" si="2">+O7-P7</f>
        <v>694.803</v>
      </c>
      <c r="R7" s="259">
        <f t="shared" ref="R7" si="3">+P7/O7</f>
        <v>5.2110504774897683E-2</v>
      </c>
    </row>
    <row r="8" spans="2:18">
      <c r="B8" s="300"/>
      <c r="C8" s="260" t="s">
        <v>26</v>
      </c>
      <c r="D8" s="255" t="s">
        <v>102</v>
      </c>
      <c r="E8" s="16" t="s">
        <v>55</v>
      </c>
      <c r="F8" s="121">
        <v>2772</v>
      </c>
      <c r="G8" s="116"/>
      <c r="H8" s="116">
        <f>+F8+G8</f>
        <v>2772</v>
      </c>
      <c r="I8" s="122">
        <v>901.38199999999995</v>
      </c>
      <c r="J8" s="116">
        <f t="shared" si="0"/>
        <v>1870.6179999999999</v>
      </c>
      <c r="K8" s="18">
        <f t="shared" si="1"/>
        <v>0.32517388167388167</v>
      </c>
      <c r="L8" s="125"/>
      <c r="M8" s="258">
        <f>+F8</f>
        <v>2772</v>
      </c>
      <c r="N8" s="258">
        <f>+G8</f>
        <v>0</v>
      </c>
      <c r="O8" s="258">
        <f t="shared" ref="O8" si="4">+M8+N8</f>
        <v>2772</v>
      </c>
      <c r="P8" s="258">
        <f>+I8</f>
        <v>901.38199999999995</v>
      </c>
      <c r="Q8" s="258">
        <f t="shared" ref="Q8" si="5">+O8-P8</f>
        <v>1870.6179999999999</v>
      </c>
      <c r="R8" s="259">
        <f>+P8/O8</f>
        <v>0.32517388167388167</v>
      </c>
    </row>
    <row r="9" spans="2:18" s="101" customFormat="1">
      <c r="B9" s="301"/>
      <c r="C9" s="135" t="s">
        <v>137</v>
      </c>
      <c r="D9" s="131" t="s">
        <v>15</v>
      </c>
      <c r="E9" s="16" t="s">
        <v>55</v>
      </c>
      <c r="F9" s="121">
        <v>10</v>
      </c>
      <c r="G9" s="116"/>
      <c r="H9" s="116">
        <f>+F9+G9</f>
        <v>10</v>
      </c>
      <c r="I9" s="215"/>
      <c r="J9" s="116">
        <f>+H9-I9</f>
        <v>10</v>
      </c>
      <c r="K9" s="18">
        <f>+I9/H9</f>
        <v>0</v>
      </c>
      <c r="L9" s="128"/>
      <c r="M9" s="129">
        <f>+F9</f>
        <v>10</v>
      </c>
      <c r="N9" s="129">
        <f t="shared" ref="N9:P9" si="6">+G9</f>
        <v>0</v>
      </c>
      <c r="O9" s="129">
        <f t="shared" si="6"/>
        <v>10</v>
      </c>
      <c r="P9" s="129">
        <f t="shared" si="6"/>
        <v>0</v>
      </c>
      <c r="Q9" s="129">
        <f>+O9-P9</f>
        <v>10</v>
      </c>
      <c r="R9" s="130">
        <f>+P9/O9</f>
        <v>0</v>
      </c>
    </row>
    <row r="10" spans="2:18" ht="15" customHeight="1">
      <c r="B10" s="298" t="s">
        <v>31</v>
      </c>
      <c r="C10" s="15" t="s">
        <v>32</v>
      </c>
      <c r="D10" s="93" t="s">
        <v>103</v>
      </c>
      <c r="E10" s="16" t="s">
        <v>55</v>
      </c>
      <c r="F10" s="121">
        <v>387.5</v>
      </c>
      <c r="G10" s="116"/>
      <c r="H10" s="116">
        <f t="shared" ref="H10:H11" si="7">+F10+G10</f>
        <v>387.5</v>
      </c>
      <c r="I10" s="122">
        <v>108.34</v>
      </c>
      <c r="J10" s="116">
        <f t="shared" si="0"/>
        <v>279.15999999999997</v>
      </c>
      <c r="K10" s="155">
        <f t="shared" si="1"/>
        <v>0.27958709677419358</v>
      </c>
      <c r="L10" s="125"/>
      <c r="M10" s="117">
        <f t="shared" ref="M10:N11" si="8">+F10</f>
        <v>387.5</v>
      </c>
      <c r="N10" s="117">
        <f t="shared" si="8"/>
        <v>0</v>
      </c>
      <c r="O10" s="117">
        <f t="shared" ref="O10:O11" si="9">+M10+N10</f>
        <v>387.5</v>
      </c>
      <c r="P10" s="117">
        <f t="shared" ref="P10:P11" si="10">+I10</f>
        <v>108.34</v>
      </c>
      <c r="Q10" s="117">
        <f t="shared" ref="Q10:Q11" si="11">+O10-P10</f>
        <v>279.15999999999997</v>
      </c>
      <c r="R10" s="153">
        <f t="shared" ref="R10:R11" si="12">+P10/O10</f>
        <v>0.27958709677419358</v>
      </c>
    </row>
    <row r="11" spans="2:18">
      <c r="B11" s="298"/>
      <c r="C11" s="15" t="s">
        <v>29</v>
      </c>
      <c r="D11" s="93" t="s">
        <v>105</v>
      </c>
      <c r="E11" s="16" t="s">
        <v>55</v>
      </c>
      <c r="F11" s="121">
        <v>387.5</v>
      </c>
      <c r="G11" s="116"/>
      <c r="H11" s="116">
        <f t="shared" si="7"/>
        <v>387.5</v>
      </c>
      <c r="I11" s="122">
        <v>26.05</v>
      </c>
      <c r="J11" s="116">
        <f t="shared" si="0"/>
        <v>361.45</v>
      </c>
      <c r="K11" s="18">
        <f t="shared" si="1"/>
        <v>6.7225806451612899E-2</v>
      </c>
      <c r="L11" s="125"/>
      <c r="M11" s="117">
        <f t="shared" si="8"/>
        <v>387.5</v>
      </c>
      <c r="N11" s="117">
        <f t="shared" si="8"/>
        <v>0</v>
      </c>
      <c r="O11" s="117">
        <f t="shared" si="9"/>
        <v>387.5</v>
      </c>
      <c r="P11" s="117">
        <f t="shared" si="10"/>
        <v>26.05</v>
      </c>
      <c r="Q11" s="117">
        <f t="shared" si="11"/>
        <v>361.45</v>
      </c>
      <c r="R11" s="153">
        <f t="shared" si="12"/>
        <v>6.7225806451612899E-2</v>
      </c>
    </row>
    <row r="12" spans="2:18" s="101" customFormat="1">
      <c r="B12" s="298"/>
      <c r="C12" s="15" t="s">
        <v>137</v>
      </c>
      <c r="D12" s="93" t="s">
        <v>16</v>
      </c>
      <c r="E12" s="16" t="s">
        <v>55</v>
      </c>
      <c r="F12" s="121">
        <v>100</v>
      </c>
      <c r="G12" s="116"/>
      <c r="H12" s="116">
        <f>+F12+G12</f>
        <v>100</v>
      </c>
      <c r="I12" s="122">
        <v>5.742</v>
      </c>
      <c r="J12" s="116">
        <f>+H12-I12</f>
        <v>94.257999999999996</v>
      </c>
      <c r="K12" s="18">
        <f t="shared" si="1"/>
        <v>5.7419999999999999E-2</v>
      </c>
      <c r="L12" s="128"/>
      <c r="M12" s="117">
        <f t="shared" ref="M12" si="13">+F12</f>
        <v>100</v>
      </c>
      <c r="N12" s="117">
        <f t="shared" ref="N12" si="14">+G12</f>
        <v>0</v>
      </c>
      <c r="O12" s="117">
        <f t="shared" ref="O12" si="15">+M12+N12</f>
        <v>100</v>
      </c>
      <c r="P12" s="117">
        <f t="shared" ref="P12" si="16">+I12</f>
        <v>5.742</v>
      </c>
      <c r="Q12" s="117">
        <f t="shared" ref="Q12" si="17">+O12-P12</f>
        <v>94.257999999999996</v>
      </c>
      <c r="R12" s="21">
        <f t="shared" ref="R12" si="18">+P12/O12</f>
        <v>5.7419999999999999E-2</v>
      </c>
    </row>
    <row r="13" spans="2:18">
      <c r="F13" s="137"/>
    </row>
  </sheetData>
  <mergeCells count="5">
    <mergeCell ref="B10:B12"/>
    <mergeCell ref="B7:B9"/>
    <mergeCell ref="B2:R3"/>
    <mergeCell ref="B4:R4"/>
    <mergeCell ref="M5:R5"/>
  </mergeCells>
  <conditionalFormatting sqref="J7:J9">
    <cfRule type="cellIs" dxfId="10" priority="6" operator="lessThan">
      <formula>0</formula>
    </cfRule>
  </conditionalFormatting>
  <conditionalFormatting sqref="K7:K9 R7:R9">
    <cfRule type="cellIs" dxfId="9" priority="5" operator="greaterThan">
      <formula>0.9</formula>
    </cfRule>
  </conditionalFormatting>
  <conditionalFormatting sqref="J10:J12">
    <cfRule type="cellIs" dxfId="8" priority="3" operator="lessThan">
      <formula>0</formula>
    </cfRule>
  </conditionalFormatting>
  <conditionalFormatting sqref="K10:K12">
    <cfRule type="cellIs" dxfId="7" priority="2" operator="greaterThan">
      <formula>0.9</formula>
    </cfRule>
  </conditionalFormatting>
  <conditionalFormatting sqref="R10:R12">
    <cfRule type="cellIs" dxfId="6" priority="1" operator="greaterThan">
      <formula>0.9</formula>
    </cfRule>
  </conditionalFormatting>
  <pageMargins left="0.7" right="0.7" top="0.75" bottom="0.75" header="0.3" footer="0.3"/>
  <pageSetup orientation="portrait" r:id="rId1"/>
  <ignoredErrors>
    <ignoredError sqref="O7 H8 O9:O12 O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9"/>
  <sheetViews>
    <sheetView workbookViewId="0">
      <selection activeCell="B3" sqref="B3:I3"/>
    </sheetView>
  </sheetViews>
  <sheetFormatPr baseColWidth="10" defaultRowHeight="15"/>
  <cols>
    <col min="1" max="1" width="11.42578125" style="101"/>
    <col min="2" max="2" width="26.85546875" style="101" customWidth="1"/>
    <col min="3" max="3" width="39.140625" style="101" customWidth="1"/>
    <col min="4" max="4" width="22.28515625" style="101" bestFit="1" customWidth="1"/>
    <col min="5" max="5" width="24.42578125" style="101" bestFit="1" customWidth="1"/>
    <col min="6" max="6" width="10.7109375" style="101" bestFit="1" customWidth="1"/>
    <col min="7" max="7" width="12.7109375" style="101" bestFit="1" customWidth="1"/>
    <col min="8" max="8" width="13.42578125" style="101" bestFit="1" customWidth="1"/>
    <col min="9" max="16384" width="11.42578125" style="101"/>
  </cols>
  <sheetData>
    <row r="2" spans="2:9">
      <c r="B2" s="296" t="s">
        <v>317</v>
      </c>
      <c r="C2" s="296"/>
      <c r="D2" s="296"/>
      <c r="E2" s="296"/>
      <c r="F2" s="296"/>
      <c r="G2" s="296"/>
      <c r="H2" s="296"/>
      <c r="I2" s="296"/>
    </row>
    <row r="3" spans="2:9">
      <c r="B3" s="297">
        <f>Resumen!C4</f>
        <v>44454</v>
      </c>
      <c r="C3" s="297"/>
      <c r="D3" s="297"/>
      <c r="E3" s="297"/>
      <c r="F3" s="297"/>
      <c r="G3" s="297"/>
      <c r="H3" s="297"/>
      <c r="I3" s="297"/>
    </row>
    <row r="4" spans="2:9">
      <c r="B4" s="115"/>
      <c r="C4" s="115"/>
      <c r="D4" s="115"/>
      <c r="E4" s="115"/>
      <c r="F4" s="115"/>
      <c r="G4" s="115"/>
      <c r="H4" s="115"/>
      <c r="I4" s="115"/>
    </row>
    <row r="5" spans="2:9">
      <c r="B5" s="239" t="s">
        <v>176</v>
      </c>
      <c r="C5" s="239" t="s">
        <v>28</v>
      </c>
      <c r="D5" s="239" t="s">
        <v>37</v>
      </c>
      <c r="E5" s="239" t="s">
        <v>177</v>
      </c>
      <c r="F5" s="239" t="s">
        <v>178</v>
      </c>
      <c r="G5" s="239" t="s">
        <v>179</v>
      </c>
      <c r="H5" s="239" t="s">
        <v>180</v>
      </c>
      <c r="I5" s="239" t="s">
        <v>36</v>
      </c>
    </row>
    <row r="6" spans="2:9">
      <c r="B6" s="239" t="s">
        <v>313</v>
      </c>
      <c r="C6" s="243" t="s">
        <v>314</v>
      </c>
      <c r="D6" s="240" t="s">
        <v>300</v>
      </c>
      <c r="E6" s="212">
        <v>736</v>
      </c>
      <c r="F6" s="211"/>
      <c r="G6" s="212">
        <f>E6-F6</f>
        <v>736</v>
      </c>
      <c r="H6" s="140">
        <f>F6/E6</f>
        <v>0</v>
      </c>
      <c r="I6" s="211"/>
    </row>
    <row r="7" spans="2:9">
      <c r="B7" s="239" t="s">
        <v>182</v>
      </c>
      <c r="C7" s="243" t="s">
        <v>311</v>
      </c>
      <c r="D7" s="240" t="s">
        <v>300</v>
      </c>
      <c r="E7" s="212">
        <v>92.629000000000005</v>
      </c>
      <c r="F7" s="211"/>
      <c r="G7" s="212">
        <f t="shared" ref="G7:G9" si="0">E7-F7</f>
        <v>92.629000000000005</v>
      </c>
      <c r="H7" s="140">
        <f t="shared" ref="H7:H9" si="1">F7/E7</f>
        <v>0</v>
      </c>
      <c r="I7" s="211"/>
    </row>
    <row r="8" spans="2:9">
      <c r="B8" s="239" t="s">
        <v>32</v>
      </c>
      <c r="C8" s="243" t="s">
        <v>312</v>
      </c>
      <c r="D8" s="240" t="s">
        <v>300</v>
      </c>
      <c r="E8" s="212">
        <v>39.509</v>
      </c>
      <c r="F8" s="211"/>
      <c r="G8" s="212">
        <f t="shared" si="0"/>
        <v>39.509</v>
      </c>
      <c r="H8" s="140">
        <f t="shared" si="1"/>
        <v>0</v>
      </c>
      <c r="I8" s="211"/>
    </row>
    <row r="9" spans="2:9">
      <c r="B9" s="239" t="s">
        <v>29</v>
      </c>
      <c r="C9" s="224" t="s">
        <v>315</v>
      </c>
      <c r="D9" s="240" t="s">
        <v>300</v>
      </c>
      <c r="E9" s="240">
        <v>134.23599999999999</v>
      </c>
      <c r="F9" s="240"/>
      <c r="G9" s="244">
        <f t="shared" si="0"/>
        <v>134.23599999999999</v>
      </c>
      <c r="H9" s="140">
        <f t="shared" si="1"/>
        <v>0</v>
      </c>
      <c r="I9" s="240"/>
    </row>
  </sheetData>
  <mergeCells count="2">
    <mergeCell ref="B2:I2"/>
    <mergeCell ref="B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2"/>
  <sheetViews>
    <sheetView topLeftCell="A4" zoomScaleNormal="100" workbookViewId="0">
      <pane ySplit="7" topLeftCell="A11" activePane="bottomLeft" state="frozen"/>
      <selection activeCell="A4" sqref="A4"/>
      <selection pane="bottomLeft" activeCell="F14" sqref="F14"/>
    </sheetView>
  </sheetViews>
  <sheetFormatPr baseColWidth="10" defaultRowHeight="15"/>
  <cols>
    <col min="3" max="3" width="35.57031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2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01" customFormat="1">
      <c r="N4" s="3"/>
    </row>
    <row r="5" spans="2:16" s="101" customFormat="1">
      <c r="B5" s="306" t="s">
        <v>155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2:16" s="101" customFormat="1"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2:16" s="101" customFormat="1">
      <c r="B7" s="282">
        <f>+Resumen!C4</f>
        <v>44454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2:16" s="101" customFormat="1" ht="15.75" thickBot="1">
      <c r="N8" s="3"/>
    </row>
    <row r="9" spans="2:16" ht="15.75" thickBot="1">
      <c r="E9" s="307" t="s">
        <v>131</v>
      </c>
      <c r="F9" s="308"/>
      <c r="G9" s="309"/>
      <c r="H9" s="307" t="s">
        <v>130</v>
      </c>
      <c r="I9" s="308"/>
      <c r="J9" s="309"/>
      <c r="K9" s="307" t="s">
        <v>70</v>
      </c>
      <c r="L9" s="308"/>
      <c r="M9" s="308"/>
      <c r="N9" s="308"/>
      <c r="O9" s="308"/>
      <c r="P9" s="309"/>
    </row>
    <row r="10" spans="2:16" ht="60.75" thickBot="1">
      <c r="B10" s="176" t="s">
        <v>17</v>
      </c>
      <c r="C10" s="177" t="s">
        <v>66</v>
      </c>
      <c r="D10" s="178" t="s">
        <v>37</v>
      </c>
      <c r="E10" s="179" t="s">
        <v>33</v>
      </c>
      <c r="F10" s="179" t="s">
        <v>67</v>
      </c>
      <c r="G10" s="179" t="s">
        <v>34</v>
      </c>
      <c r="H10" s="178" t="s">
        <v>68</v>
      </c>
      <c r="I10" s="178" t="s">
        <v>69</v>
      </c>
      <c r="J10" s="180" t="s">
        <v>38</v>
      </c>
      <c r="K10" s="181" t="s">
        <v>33</v>
      </c>
      <c r="L10" s="179" t="s">
        <v>67</v>
      </c>
      <c r="M10" s="179" t="s">
        <v>34</v>
      </c>
      <c r="N10" s="178" t="s">
        <v>68</v>
      </c>
      <c r="O10" s="178" t="s">
        <v>69</v>
      </c>
      <c r="P10" s="180" t="s">
        <v>38</v>
      </c>
    </row>
    <row r="11" spans="2:16">
      <c r="B11" s="316" t="s">
        <v>18</v>
      </c>
      <c r="C11" s="319" t="s">
        <v>39</v>
      </c>
      <c r="D11" s="187" t="s">
        <v>19</v>
      </c>
      <c r="E11" s="188">
        <f>2802.216+1390.287+926.858+463.429+463.429+463.429+463.429+463.429+1390.287+1390.287+1390.287+1390.287+1390.287+463.429+463.429+463.429</f>
        <v>15778.228000000001</v>
      </c>
      <c r="F11" s="5">
        <f>-3891.137</f>
        <v>-3891.1370000000002</v>
      </c>
      <c r="G11" s="29">
        <f>+E11+F11</f>
        <v>11887.091</v>
      </c>
      <c r="H11" s="5"/>
      <c r="I11" s="29">
        <f t="shared" ref="I11:I26" si="0">+G11-H11</f>
        <v>11887.091</v>
      </c>
      <c r="J11" s="91">
        <f>+H11/G11</f>
        <v>0</v>
      </c>
      <c r="K11" s="329">
        <f>+E11+E12</f>
        <v>22743.044000000002</v>
      </c>
      <c r="L11" s="331">
        <f>+F11+F12</f>
        <v>-3891.1370000000002</v>
      </c>
      <c r="M11" s="332">
        <f>+K11+L11</f>
        <v>18851.907000000003</v>
      </c>
      <c r="N11" s="331">
        <f>+H11+H12</f>
        <v>0</v>
      </c>
      <c r="O11" s="332">
        <f>+M11-N11</f>
        <v>18851.907000000003</v>
      </c>
      <c r="P11" s="305">
        <f t="shared" ref="P11:P21" si="1">+N11/M11</f>
        <v>0</v>
      </c>
    </row>
    <row r="12" spans="2:16" s="7" customFormat="1">
      <c r="B12" s="317"/>
      <c r="C12" s="320"/>
      <c r="D12" s="189" t="s">
        <v>20</v>
      </c>
      <c r="E12" s="190">
        <f>934.07+463.428+308.952+154.476+154.476+154.476+154.476+154.476+463.428+463.428+463.428+463.428+463.428+154.476+154.476+154.476+1705.418</f>
        <v>6964.8159999999989</v>
      </c>
      <c r="F12" s="4"/>
      <c r="G12" s="28">
        <f>+I11+E12+F12</f>
        <v>18851.906999999999</v>
      </c>
      <c r="H12" s="4"/>
      <c r="I12" s="28">
        <f t="shared" si="0"/>
        <v>18851.906999999999</v>
      </c>
      <c r="J12" s="89">
        <f>+H12/G12</f>
        <v>0</v>
      </c>
      <c r="K12" s="302"/>
      <c r="L12" s="303"/>
      <c r="M12" s="303"/>
      <c r="N12" s="303"/>
      <c r="O12" s="303"/>
      <c r="P12" s="305"/>
    </row>
    <row r="13" spans="2:16">
      <c r="B13" s="317"/>
      <c r="C13" s="321" t="s">
        <v>40</v>
      </c>
      <c r="D13" s="189" t="s">
        <v>19</v>
      </c>
      <c r="E13" s="190">
        <f>77751.291+1853.716+1853.716+1853.716+1390.287+1390.287+1390.287+1390.287+926.858+926.858+926.858+926.858+1853.716+1853.716+1853.716+1853.716+1853.716+1853.716+1853.716+1853.716+1853.716+1853.716</f>
        <v>111118.17899999996</v>
      </c>
      <c r="F13" s="4">
        <f>-7000</f>
        <v>-7000</v>
      </c>
      <c r="G13" s="26">
        <f>+E13+F13</f>
        <v>104118.17899999996</v>
      </c>
      <c r="H13" s="218">
        <v>12996.005999999999</v>
      </c>
      <c r="I13" s="26">
        <f t="shared" si="0"/>
        <v>91122.172999999966</v>
      </c>
      <c r="J13" s="89">
        <f t="shared" ref="J13:J26" si="2">+H13/G13</f>
        <v>0.12481975890108493</v>
      </c>
      <c r="K13" s="302">
        <f>+E13+E14</f>
        <v>148157.49199999997</v>
      </c>
      <c r="L13" s="303">
        <f>+F13+F14</f>
        <v>-17900</v>
      </c>
      <c r="M13" s="304">
        <f t="shared" ref="M13" si="3">+K13+L13</f>
        <v>130257.49199999997</v>
      </c>
      <c r="N13" s="303">
        <f>+H13+H14</f>
        <v>19044.547999999999</v>
      </c>
      <c r="O13" s="304">
        <f t="shared" ref="O13" si="4">+M13-N13</f>
        <v>111212.94399999997</v>
      </c>
      <c r="P13" s="305">
        <f t="shared" si="1"/>
        <v>0.14620692988622877</v>
      </c>
    </row>
    <row r="14" spans="2:16" s="7" customFormat="1">
      <c r="B14" s="317"/>
      <c r="C14" s="321"/>
      <c r="D14" s="189" t="s">
        <v>20</v>
      </c>
      <c r="E14" s="190">
        <f>25917.041+617.904+617.904+617.904+463.428+463.428+463.428+463.428+308.952+308.952+308.952+308.952+617.904+617.904+617.904+617.904+617.904+617.904+617.904+617.904+617.904+617.904</f>
        <v>37039.313000000009</v>
      </c>
      <c r="F14" s="4">
        <f>-3000-1400-4000-500-2000</f>
        <v>-10900</v>
      </c>
      <c r="G14" s="28">
        <f>+I13+E14+F14</f>
        <v>117261.48599999998</v>
      </c>
      <c r="H14" s="160">
        <v>6048.5420000000004</v>
      </c>
      <c r="I14" s="28">
        <f t="shared" si="0"/>
        <v>111212.94399999997</v>
      </c>
      <c r="J14" s="89">
        <f>+H14/G14</f>
        <v>5.1581659130603218E-2</v>
      </c>
      <c r="K14" s="302"/>
      <c r="L14" s="303"/>
      <c r="M14" s="303"/>
      <c r="N14" s="303"/>
      <c r="O14" s="303"/>
      <c r="P14" s="305"/>
    </row>
    <row r="15" spans="2:16" s="101" customFormat="1">
      <c r="B15" s="317"/>
      <c r="C15" s="311" t="s">
        <v>142</v>
      </c>
      <c r="D15" s="189" t="s">
        <v>19</v>
      </c>
      <c r="E15" s="190">
        <f>695.144+695.144+695.144+695.144+695.144+695.144+695.144+1853.716</f>
        <v>6719.7240000000002</v>
      </c>
      <c r="F15" s="4">
        <f>-3500.632-478.837-1859.564</f>
        <v>-5839.0330000000004</v>
      </c>
      <c r="G15" s="26">
        <f>+E15+F15</f>
        <v>880.6909999999998</v>
      </c>
      <c r="H15" s="4"/>
      <c r="I15" s="26">
        <f t="shared" ref="I15:I16" si="5">+G15-H15</f>
        <v>880.6909999999998</v>
      </c>
      <c r="J15" s="89">
        <f t="shared" ref="J15" si="6">+H15/G15</f>
        <v>0</v>
      </c>
      <c r="K15" s="302">
        <f>+E15+E16</f>
        <v>8959.6260000000002</v>
      </c>
      <c r="L15" s="303">
        <f>+F15+F16</f>
        <v>-5839.0330000000004</v>
      </c>
      <c r="M15" s="304">
        <f t="shared" ref="M15" si="7">+K15+L15</f>
        <v>3120.5929999999998</v>
      </c>
      <c r="N15" s="303">
        <f>+H15+H16</f>
        <v>0</v>
      </c>
      <c r="O15" s="304">
        <f t="shared" ref="O15" si="8">+M15-N15</f>
        <v>3120.5929999999998</v>
      </c>
      <c r="P15" s="305">
        <f t="shared" si="1"/>
        <v>0</v>
      </c>
    </row>
    <row r="16" spans="2:16" s="101" customFormat="1">
      <c r="B16" s="317"/>
      <c r="C16" s="312"/>
      <c r="D16" s="189" t="s">
        <v>20</v>
      </c>
      <c r="E16" s="190">
        <f>231.714+231.714+231.714+231.714+231.714+231.714+231.714+617.904</f>
        <v>2239.902</v>
      </c>
      <c r="F16" s="4"/>
      <c r="G16" s="28">
        <f>+I15+E16+F16</f>
        <v>3120.5929999999998</v>
      </c>
      <c r="H16" s="160"/>
      <c r="I16" s="28">
        <f t="shared" si="5"/>
        <v>3120.5929999999998</v>
      </c>
      <c r="J16" s="89">
        <f>+H16/G16</f>
        <v>0</v>
      </c>
      <c r="K16" s="302"/>
      <c r="L16" s="303"/>
      <c r="M16" s="303"/>
      <c r="N16" s="303"/>
      <c r="O16" s="303"/>
      <c r="P16" s="305"/>
    </row>
    <row r="17" spans="2:16" s="101" customFormat="1">
      <c r="B17" s="317"/>
      <c r="C17" s="311" t="s">
        <v>143</v>
      </c>
      <c r="D17" s="189" t="s">
        <v>19</v>
      </c>
      <c r="E17" s="190">
        <f>695.144+1853.716</f>
        <v>2548.8599999999997</v>
      </c>
      <c r="F17" s="4"/>
      <c r="G17" s="26">
        <f>+E17+F17</f>
        <v>2548.8599999999997</v>
      </c>
      <c r="H17" s="160"/>
      <c r="I17" s="26">
        <f t="shared" ref="I17:I18" si="9">+G17-H17</f>
        <v>2548.8599999999997</v>
      </c>
      <c r="J17" s="89">
        <f t="shared" ref="J17" si="10">+H17/G17</f>
        <v>0</v>
      </c>
      <c r="K17" s="302">
        <f>+E17+E18</f>
        <v>3398.4779999999996</v>
      </c>
      <c r="L17" s="303">
        <f>+F17+F18</f>
        <v>-1201.9680000000001</v>
      </c>
      <c r="M17" s="304">
        <f t="shared" ref="M17" si="11">+K17+L17</f>
        <v>2196.5099999999993</v>
      </c>
      <c r="N17" s="303">
        <f>+H17+H18</f>
        <v>0</v>
      </c>
      <c r="O17" s="304">
        <f t="shared" ref="O17" si="12">+M17-N17</f>
        <v>2196.5099999999993</v>
      </c>
      <c r="P17" s="305">
        <f t="shared" si="1"/>
        <v>0</v>
      </c>
    </row>
    <row r="18" spans="2:16" s="101" customFormat="1">
      <c r="B18" s="317"/>
      <c r="C18" s="312"/>
      <c r="D18" s="189" t="s">
        <v>20</v>
      </c>
      <c r="E18" s="190">
        <f>231.714+617.904</f>
        <v>849.61799999999994</v>
      </c>
      <c r="F18" s="4">
        <f>-300.492-300.492-300.492-300.492</f>
        <v>-1201.9680000000001</v>
      </c>
      <c r="G18" s="28">
        <f>+I17+E18+F18</f>
        <v>2196.5099999999993</v>
      </c>
      <c r="H18" s="160"/>
      <c r="I18" s="28">
        <f t="shared" si="9"/>
        <v>2196.5099999999993</v>
      </c>
      <c r="J18" s="89">
        <f>+H18/G18</f>
        <v>0</v>
      </c>
      <c r="K18" s="302"/>
      <c r="L18" s="303"/>
      <c r="M18" s="303"/>
      <c r="N18" s="303"/>
      <c r="O18" s="303"/>
      <c r="P18" s="305"/>
    </row>
    <row r="19" spans="2:16" s="7" customFormat="1">
      <c r="B19" s="317"/>
      <c r="C19" s="320" t="s">
        <v>129</v>
      </c>
      <c r="D19" s="189" t="s">
        <v>19</v>
      </c>
      <c r="E19" s="190">
        <f>231.715+231.715+231.715+231.715+231.715+231.715+231.715+231.715+231.715+231.715+463.429+463.429+463.429+463.429+463.429+463.429+463.429+463.429+463.429+463.429+695.144</f>
        <v>7646.5840000000007</v>
      </c>
      <c r="F19" s="4">
        <f>-3500.632-3021.792-251.042-251.042-251.042-251.042-144.115</f>
        <v>-7670.7070000000012</v>
      </c>
      <c r="G19" s="26">
        <f>+E19+F19</f>
        <v>-24.123000000000502</v>
      </c>
      <c r="H19" s="4"/>
      <c r="I19" s="26">
        <f t="shared" si="0"/>
        <v>-24.123000000000502</v>
      </c>
      <c r="J19" s="89">
        <f t="shared" si="2"/>
        <v>0</v>
      </c>
      <c r="K19" s="302">
        <f>+E19+E20</f>
        <v>10195.438000000002</v>
      </c>
      <c r="L19" s="303">
        <f>+F19+F20</f>
        <v>-7670.7070000000012</v>
      </c>
      <c r="M19" s="304">
        <f t="shared" ref="M19" si="13">+K19+L19</f>
        <v>2524.7310000000007</v>
      </c>
      <c r="N19" s="303">
        <f>+H19+H20</f>
        <v>0</v>
      </c>
      <c r="O19" s="304">
        <f t="shared" ref="O19" si="14">+M19-N19</f>
        <v>2524.7310000000007</v>
      </c>
      <c r="P19" s="305">
        <f t="shared" si="1"/>
        <v>0</v>
      </c>
    </row>
    <row r="20" spans="2:16" ht="15" customHeight="1">
      <c r="B20" s="317"/>
      <c r="C20" s="320"/>
      <c r="D20" s="189" t="s">
        <v>20</v>
      </c>
      <c r="E20" s="190">
        <f>77.238+77.238+77.238+77.238+77.238+77.238+77.238+77.238+77.238+77.238+154.476+154.476+154.476+154.476+154.476+154.476+154.476+154.476+154.476+154.476+231.714</f>
        <v>2548.8540000000007</v>
      </c>
      <c r="F20" s="4"/>
      <c r="G20" s="28">
        <f>+I19+E20+F20</f>
        <v>2524.7310000000002</v>
      </c>
      <c r="H20" s="4"/>
      <c r="I20" s="28">
        <f t="shared" si="0"/>
        <v>2524.7310000000002</v>
      </c>
      <c r="J20" s="89">
        <f t="shared" si="2"/>
        <v>0</v>
      </c>
      <c r="K20" s="302"/>
      <c r="L20" s="303"/>
      <c r="M20" s="303"/>
      <c r="N20" s="303"/>
      <c r="O20" s="303"/>
      <c r="P20" s="305"/>
    </row>
    <row r="21" spans="2:16" s="101" customFormat="1" ht="15" customHeight="1">
      <c r="B21" s="317"/>
      <c r="C21" s="323" t="s">
        <v>321</v>
      </c>
      <c r="D21" s="189" t="s">
        <v>19</v>
      </c>
      <c r="E21" s="190">
        <f>463.429+463.429</f>
        <v>926.85799999999995</v>
      </c>
      <c r="F21" s="4"/>
      <c r="G21" s="26">
        <f>+E21+F21</f>
        <v>926.85799999999995</v>
      </c>
      <c r="H21" s="4"/>
      <c r="I21" s="26">
        <f t="shared" si="0"/>
        <v>926.85799999999995</v>
      </c>
      <c r="J21" s="89">
        <f t="shared" si="2"/>
        <v>0</v>
      </c>
      <c r="K21" s="302">
        <f>+E21+E22</f>
        <v>1235.81</v>
      </c>
      <c r="L21" s="303">
        <f>+F21+F22</f>
        <v>0</v>
      </c>
      <c r="M21" s="304">
        <f t="shared" ref="M21" si="15">+K21+L21</f>
        <v>1235.81</v>
      </c>
      <c r="N21" s="303">
        <f>+H21+H22</f>
        <v>0</v>
      </c>
      <c r="O21" s="304">
        <f t="shared" ref="O21" si="16">+M21-N21</f>
        <v>1235.81</v>
      </c>
      <c r="P21" s="305">
        <f t="shared" si="1"/>
        <v>0</v>
      </c>
    </row>
    <row r="22" spans="2:16" s="101" customFormat="1" ht="15" customHeight="1">
      <c r="B22" s="317"/>
      <c r="C22" s="319"/>
      <c r="D22" s="189" t="s">
        <v>20</v>
      </c>
      <c r="E22" s="190">
        <f>154.476+154.476</f>
        <v>308.952</v>
      </c>
      <c r="F22" s="4"/>
      <c r="G22" s="28">
        <f>+I21+E22+F22</f>
        <v>1235.81</v>
      </c>
      <c r="H22" s="4"/>
      <c r="I22" s="28">
        <f t="shared" si="0"/>
        <v>1235.81</v>
      </c>
      <c r="J22" s="89">
        <f t="shared" si="2"/>
        <v>0</v>
      </c>
      <c r="K22" s="302"/>
      <c r="L22" s="303"/>
      <c r="M22" s="303"/>
      <c r="N22" s="303"/>
      <c r="O22" s="303"/>
      <c r="P22" s="305"/>
    </row>
    <row r="23" spans="2:16" s="101" customFormat="1" ht="15" customHeight="1">
      <c r="B23" s="317"/>
      <c r="C23" s="324" t="s">
        <v>320</v>
      </c>
      <c r="D23" s="189" t="s">
        <v>19</v>
      </c>
      <c r="E23" s="249">
        <f>926.858+926.858+926.858+926.858</f>
        <v>3707.4319999999998</v>
      </c>
      <c r="F23" s="250"/>
      <c r="G23" s="26">
        <f>+E23+F23</f>
        <v>3707.4319999999998</v>
      </c>
      <c r="H23" s="4"/>
      <c r="I23" s="26">
        <f t="shared" ref="I23:I24" si="17">+G23-H23</f>
        <v>3707.4319999999998</v>
      </c>
      <c r="J23" s="89">
        <f t="shared" ref="J23:J24" si="18">+H23/G23</f>
        <v>0</v>
      </c>
      <c r="K23" s="302">
        <f>+E23+E24</f>
        <v>4943.24</v>
      </c>
      <c r="L23" s="303">
        <f>+F23+F24</f>
        <v>0</v>
      </c>
      <c r="M23" s="304">
        <f t="shared" ref="M23" si="19">+K23+L23</f>
        <v>4943.24</v>
      </c>
      <c r="N23" s="303">
        <f>+H23+H24</f>
        <v>0</v>
      </c>
      <c r="O23" s="304">
        <f t="shared" ref="O23" si="20">+M23-N23</f>
        <v>4943.24</v>
      </c>
      <c r="P23" s="305">
        <f t="shared" ref="P23" si="21">+N23/M23</f>
        <v>0</v>
      </c>
    </row>
    <row r="24" spans="2:16" s="101" customFormat="1" ht="15" customHeight="1">
      <c r="B24" s="317"/>
      <c r="C24" s="319"/>
      <c r="D24" s="189" t="s">
        <v>20</v>
      </c>
      <c r="E24" s="249">
        <f>308.952+308.952+308.952+308.952</f>
        <v>1235.808</v>
      </c>
      <c r="F24" s="250"/>
      <c r="G24" s="28">
        <f>+I23+E24+F24</f>
        <v>4943.24</v>
      </c>
      <c r="H24" s="4"/>
      <c r="I24" s="28">
        <f t="shared" si="17"/>
        <v>4943.24</v>
      </c>
      <c r="J24" s="89">
        <f t="shared" si="18"/>
        <v>0</v>
      </c>
      <c r="K24" s="302"/>
      <c r="L24" s="303"/>
      <c r="M24" s="303"/>
      <c r="N24" s="303"/>
      <c r="O24" s="303"/>
      <c r="P24" s="305"/>
    </row>
    <row r="25" spans="2:16" s="7" customFormat="1">
      <c r="B25" s="317"/>
      <c r="C25" s="320" t="s">
        <v>41</v>
      </c>
      <c r="D25" s="189" t="s">
        <v>19</v>
      </c>
      <c r="E25" s="190">
        <f>313361.05+695.144</f>
        <v>314056.19399999996</v>
      </c>
      <c r="F25" s="216">
        <f>-10000-70000-10000</f>
        <v>-90000</v>
      </c>
      <c r="G25" s="26">
        <f>+E25+F25</f>
        <v>224056.19399999996</v>
      </c>
      <c r="H25" s="160">
        <v>51653.027999999998</v>
      </c>
      <c r="I25" s="26">
        <f t="shared" si="0"/>
        <v>172403.16599999997</v>
      </c>
      <c r="J25" s="89">
        <f t="shared" si="2"/>
        <v>0.23053604132898914</v>
      </c>
      <c r="K25" s="302">
        <f>+E25+E26</f>
        <v>418271.75799999997</v>
      </c>
      <c r="L25" s="303">
        <f>+F25+F26</f>
        <v>-90000</v>
      </c>
      <c r="M25" s="304">
        <f t="shared" ref="M25" si="22">+K25+L25</f>
        <v>328271.75799999997</v>
      </c>
      <c r="N25" s="303">
        <f>+H25+H26</f>
        <v>68160.415999999997</v>
      </c>
      <c r="O25" s="304">
        <f t="shared" ref="O25" si="23">+M25-N25</f>
        <v>260111.34199999998</v>
      </c>
      <c r="P25" s="305">
        <f t="shared" ref="P25" si="24">+N25/M25</f>
        <v>0.20763411514675595</v>
      </c>
    </row>
    <row r="26" spans="2:16" ht="15.75" thickBot="1">
      <c r="B26" s="318"/>
      <c r="C26" s="322"/>
      <c r="D26" s="191" t="s">
        <v>20</v>
      </c>
      <c r="E26" s="192">
        <f>104453.458+231.714-1705.418+1235.81</f>
        <v>104215.564</v>
      </c>
      <c r="F26" s="30"/>
      <c r="G26" s="31">
        <f>+I25+E26+F26</f>
        <v>276618.73</v>
      </c>
      <c r="H26" s="161">
        <v>16507.387999999999</v>
      </c>
      <c r="I26" s="31">
        <f t="shared" si="0"/>
        <v>260111.34199999998</v>
      </c>
      <c r="J26" s="90">
        <f t="shared" si="2"/>
        <v>5.9675597527325791E-2</v>
      </c>
      <c r="K26" s="330"/>
      <c r="L26" s="337"/>
      <c r="M26" s="337"/>
      <c r="N26" s="337"/>
      <c r="O26" s="337"/>
      <c r="P26" s="338"/>
    </row>
    <row r="27" spans="2:16" s="8" customFormat="1" ht="15.75" thickBot="1">
      <c r="B27" s="32"/>
      <c r="C27" s="33"/>
      <c r="D27" s="34"/>
      <c r="E27" s="156">
        <f>SUM(E11:E26)</f>
        <v>617904.88599999982</v>
      </c>
      <c r="F27" s="6">
        <f>SUM(F11:F26)</f>
        <v>-126502.845</v>
      </c>
      <c r="G27" s="35"/>
      <c r="H27" s="6">
        <f>SUM(H11:H26)</f>
        <v>87204.964000000007</v>
      </c>
      <c r="I27" s="6"/>
      <c r="J27" s="64"/>
      <c r="K27" s="120">
        <f>SUM(K11:K26)</f>
        <v>617904.88599999994</v>
      </c>
      <c r="L27" s="141">
        <f>SUM(L11:L26)</f>
        <v>-126502.845</v>
      </c>
      <c r="M27" s="104">
        <f>SUM(M11:M26)</f>
        <v>491402.04099999997</v>
      </c>
      <c r="N27" s="107">
        <f>SUM(N11:N26)</f>
        <v>87204.963999999993</v>
      </c>
      <c r="O27" s="104">
        <f>SUM(O11:O26)</f>
        <v>404197.07699999993</v>
      </c>
      <c r="P27" s="106">
        <f>+N27/M27</f>
        <v>0.1774615421265619</v>
      </c>
    </row>
    <row r="28" spans="2:16" ht="20.100000000000001" customHeight="1" thickBot="1">
      <c r="B28" s="333" t="s">
        <v>23</v>
      </c>
      <c r="C28" s="182" t="s">
        <v>52</v>
      </c>
      <c r="D28" s="193" t="s">
        <v>55</v>
      </c>
      <c r="E28" s="194">
        <f>87.745+140.392+140.392</f>
        <v>368.529</v>
      </c>
      <c r="F28" s="157"/>
      <c r="G28" s="43">
        <f>+E28+F28</f>
        <v>368.529</v>
      </c>
      <c r="H28" s="36"/>
      <c r="I28" s="43">
        <f>+G28-H28</f>
        <v>368.529</v>
      </c>
      <c r="J28" s="65">
        <f>+H28/G28</f>
        <v>0</v>
      </c>
      <c r="K28" s="81">
        <f>+E28</f>
        <v>368.529</v>
      </c>
      <c r="L28" s="82">
        <f>+F28</f>
        <v>0</v>
      </c>
      <c r="M28" s="83">
        <f>+K28+L28</f>
        <v>368.529</v>
      </c>
      <c r="N28" s="82">
        <f>+H28</f>
        <v>0</v>
      </c>
      <c r="O28" s="83">
        <f>+M28-N28</f>
        <v>368.529</v>
      </c>
      <c r="P28" s="84">
        <f>+N28/M28</f>
        <v>0</v>
      </c>
    </row>
    <row r="29" spans="2:16" ht="20.100000000000001" customHeight="1" thickBot="1">
      <c r="B29" s="317"/>
      <c r="C29" s="183" t="s">
        <v>42</v>
      </c>
      <c r="D29" s="189" t="s">
        <v>55</v>
      </c>
      <c r="E29" s="190">
        <v>1965.39</v>
      </c>
      <c r="F29" s="158"/>
      <c r="G29" s="26">
        <f t="shared" ref="G29:G43" si="25">+E29+F29</f>
        <v>1965.39</v>
      </c>
      <c r="H29" s="4"/>
      <c r="I29" s="26">
        <f t="shared" ref="I29:I43" si="26">+G29-H29</f>
        <v>1965.39</v>
      </c>
      <c r="J29" s="62">
        <f t="shared" ref="J29:J40" si="27">+H29/G29</f>
        <v>0</v>
      </c>
      <c r="K29" s="85">
        <f t="shared" ref="K29:K43" si="28">+E29</f>
        <v>1965.39</v>
      </c>
      <c r="L29" s="71">
        <f t="shared" ref="L29:L43" si="29">+F29</f>
        <v>0</v>
      </c>
      <c r="M29" s="70">
        <f t="shared" ref="M29:M43" si="30">+K29+L29</f>
        <v>1965.39</v>
      </c>
      <c r="N29" s="71">
        <f t="shared" ref="N29:N43" si="31">+H29</f>
        <v>0</v>
      </c>
      <c r="O29" s="70">
        <f t="shared" ref="O29:O43" si="32">+M29-N29</f>
        <v>1965.39</v>
      </c>
      <c r="P29" s="84">
        <f t="shared" ref="P29:P43" si="33">+N29/M29</f>
        <v>0</v>
      </c>
    </row>
    <row r="30" spans="2:16" ht="20.100000000000001" customHeight="1" thickBot="1">
      <c r="B30" s="317"/>
      <c r="C30" s="184" t="s">
        <v>51</v>
      </c>
      <c r="D30" s="189" t="s">
        <v>55</v>
      </c>
      <c r="E30" s="190">
        <f>87.745+87.745+87.745</f>
        <v>263.23500000000001</v>
      </c>
      <c r="F30" s="158"/>
      <c r="G30" s="26">
        <f t="shared" si="25"/>
        <v>263.23500000000001</v>
      </c>
      <c r="H30" s="4"/>
      <c r="I30" s="26">
        <f t="shared" si="26"/>
        <v>263.23500000000001</v>
      </c>
      <c r="J30" s="62">
        <f t="shared" si="27"/>
        <v>0</v>
      </c>
      <c r="K30" s="85">
        <f t="shared" si="28"/>
        <v>263.23500000000001</v>
      </c>
      <c r="L30" s="71">
        <f t="shared" si="29"/>
        <v>0</v>
      </c>
      <c r="M30" s="70">
        <f t="shared" si="30"/>
        <v>263.23500000000001</v>
      </c>
      <c r="N30" s="71">
        <f t="shared" si="31"/>
        <v>0</v>
      </c>
      <c r="O30" s="70">
        <f t="shared" si="32"/>
        <v>263.23500000000001</v>
      </c>
      <c r="P30" s="84">
        <f t="shared" si="33"/>
        <v>0</v>
      </c>
    </row>
    <row r="31" spans="2:16" ht="20.100000000000001" customHeight="1" thickBot="1">
      <c r="B31" s="317"/>
      <c r="C31" s="183" t="s">
        <v>43</v>
      </c>
      <c r="D31" s="189" t="s">
        <v>55</v>
      </c>
      <c r="E31" s="190">
        <f>14652.65+43.873+43.873+43.873+43.873+43.873+43.873+43.873+43.873+70.196+70.196+70.196+70.196+70.196</f>
        <v>15354.613999999996</v>
      </c>
      <c r="F31" s="158">
        <f>-14652.65</f>
        <v>-14652.65</v>
      </c>
      <c r="G31" s="26">
        <f t="shared" si="25"/>
        <v>701.9639999999963</v>
      </c>
      <c r="H31" s="4"/>
      <c r="I31" s="26">
        <f t="shared" si="26"/>
        <v>701.9639999999963</v>
      </c>
      <c r="J31" s="62">
        <f t="shared" si="27"/>
        <v>0</v>
      </c>
      <c r="K31" s="85">
        <f t="shared" si="28"/>
        <v>15354.613999999996</v>
      </c>
      <c r="L31" s="71">
        <f t="shared" si="29"/>
        <v>-14652.65</v>
      </c>
      <c r="M31" s="70">
        <f t="shared" si="30"/>
        <v>701.9639999999963</v>
      </c>
      <c r="N31" s="71">
        <f t="shared" si="31"/>
        <v>0</v>
      </c>
      <c r="O31" s="70">
        <f t="shared" si="32"/>
        <v>701.9639999999963</v>
      </c>
      <c r="P31" s="84">
        <f t="shared" si="33"/>
        <v>0</v>
      </c>
    </row>
    <row r="32" spans="2:16" ht="20.100000000000001" customHeight="1" thickBot="1">
      <c r="B32" s="317"/>
      <c r="C32" s="183" t="s">
        <v>44</v>
      </c>
      <c r="D32" s="189" t="s">
        <v>55</v>
      </c>
      <c r="E32" s="190">
        <v>113.374</v>
      </c>
      <c r="F32" s="158"/>
      <c r="G32" s="26">
        <f t="shared" si="25"/>
        <v>113.374</v>
      </c>
      <c r="H32" s="4"/>
      <c r="I32" s="26">
        <f t="shared" si="26"/>
        <v>113.374</v>
      </c>
      <c r="J32" s="62">
        <f t="shared" si="27"/>
        <v>0</v>
      </c>
      <c r="K32" s="85">
        <f t="shared" si="28"/>
        <v>113.374</v>
      </c>
      <c r="L32" s="71">
        <f t="shared" si="29"/>
        <v>0</v>
      </c>
      <c r="M32" s="70">
        <f t="shared" si="30"/>
        <v>113.374</v>
      </c>
      <c r="N32" s="71">
        <f t="shared" si="31"/>
        <v>0</v>
      </c>
      <c r="O32" s="70">
        <f t="shared" si="32"/>
        <v>113.374</v>
      </c>
      <c r="P32" s="84">
        <f t="shared" si="33"/>
        <v>0</v>
      </c>
    </row>
    <row r="33" spans="2:16" ht="20.100000000000001" customHeight="1" thickBot="1">
      <c r="B33" s="317"/>
      <c r="C33" s="183" t="s">
        <v>48</v>
      </c>
      <c r="D33" s="189" t="s">
        <v>55</v>
      </c>
      <c r="E33" s="195">
        <f>90.083+105.294+105.294+105.294+105.294+105.294+122.843+210.588</f>
        <v>949.98399999999992</v>
      </c>
      <c r="F33" s="158"/>
      <c r="G33" s="26">
        <f t="shared" si="25"/>
        <v>949.98399999999992</v>
      </c>
      <c r="H33" s="4"/>
      <c r="I33" s="26">
        <f t="shared" si="26"/>
        <v>949.98399999999992</v>
      </c>
      <c r="J33" s="62">
        <f t="shared" si="27"/>
        <v>0</v>
      </c>
      <c r="K33" s="85">
        <f t="shared" si="28"/>
        <v>949.98399999999992</v>
      </c>
      <c r="L33" s="71">
        <f t="shared" si="29"/>
        <v>0</v>
      </c>
      <c r="M33" s="70">
        <f t="shared" si="30"/>
        <v>949.98399999999992</v>
      </c>
      <c r="N33" s="71">
        <f t="shared" si="31"/>
        <v>0</v>
      </c>
      <c r="O33" s="70">
        <f t="shared" si="32"/>
        <v>949.98399999999992</v>
      </c>
      <c r="P33" s="84">
        <f t="shared" si="33"/>
        <v>0</v>
      </c>
    </row>
    <row r="34" spans="2:16" ht="20.100000000000001" customHeight="1" thickBot="1">
      <c r="B34" s="317"/>
      <c r="C34" s="183" t="s">
        <v>45</v>
      </c>
      <c r="D34" s="189" t="s">
        <v>55</v>
      </c>
      <c r="E34" s="190">
        <v>27.148</v>
      </c>
      <c r="F34" s="158"/>
      <c r="G34" s="26">
        <f t="shared" si="25"/>
        <v>27.148</v>
      </c>
      <c r="H34" s="4"/>
      <c r="I34" s="26">
        <f t="shared" si="26"/>
        <v>27.148</v>
      </c>
      <c r="J34" s="62">
        <f t="shared" si="27"/>
        <v>0</v>
      </c>
      <c r="K34" s="85">
        <f t="shared" si="28"/>
        <v>27.148</v>
      </c>
      <c r="L34" s="71">
        <f t="shared" si="29"/>
        <v>0</v>
      </c>
      <c r="M34" s="70">
        <f t="shared" si="30"/>
        <v>27.148</v>
      </c>
      <c r="N34" s="71">
        <f t="shared" si="31"/>
        <v>0</v>
      </c>
      <c r="O34" s="70">
        <f t="shared" si="32"/>
        <v>27.148</v>
      </c>
      <c r="P34" s="84">
        <f t="shared" si="33"/>
        <v>0</v>
      </c>
    </row>
    <row r="35" spans="2:16" ht="20.100000000000001" customHeight="1" thickBot="1">
      <c r="B35" s="317"/>
      <c r="C35" s="184" t="s">
        <v>53</v>
      </c>
      <c r="D35" s="189" t="s">
        <v>55</v>
      </c>
      <c r="E35" s="190">
        <f>140.392</f>
        <v>140.392</v>
      </c>
      <c r="F35" s="158"/>
      <c r="G35" s="26">
        <f t="shared" si="25"/>
        <v>140.392</v>
      </c>
      <c r="H35" s="4"/>
      <c r="I35" s="26">
        <f t="shared" si="26"/>
        <v>140.392</v>
      </c>
      <c r="J35" s="62">
        <v>0</v>
      </c>
      <c r="K35" s="85">
        <f t="shared" si="28"/>
        <v>140.392</v>
      </c>
      <c r="L35" s="71">
        <f t="shared" si="29"/>
        <v>0</v>
      </c>
      <c r="M35" s="70">
        <f t="shared" si="30"/>
        <v>140.392</v>
      </c>
      <c r="N35" s="71">
        <f t="shared" si="31"/>
        <v>0</v>
      </c>
      <c r="O35" s="70">
        <f t="shared" si="32"/>
        <v>140.392</v>
      </c>
      <c r="P35" s="84">
        <f t="shared" si="33"/>
        <v>0</v>
      </c>
    </row>
    <row r="36" spans="2:16" ht="20.100000000000001" customHeight="1" thickBot="1">
      <c r="B36" s="317"/>
      <c r="C36" s="183" t="s">
        <v>50</v>
      </c>
      <c r="D36" s="189" t="s">
        <v>55</v>
      </c>
      <c r="E36" s="190">
        <f>87.745</f>
        <v>87.745000000000005</v>
      </c>
      <c r="F36" s="158"/>
      <c r="G36" s="26">
        <f t="shared" si="25"/>
        <v>87.745000000000005</v>
      </c>
      <c r="H36" s="4"/>
      <c r="I36" s="26">
        <f t="shared" si="26"/>
        <v>87.745000000000005</v>
      </c>
      <c r="J36" s="62">
        <f t="shared" si="27"/>
        <v>0</v>
      </c>
      <c r="K36" s="85">
        <f t="shared" si="28"/>
        <v>87.745000000000005</v>
      </c>
      <c r="L36" s="71">
        <f t="shared" si="29"/>
        <v>0</v>
      </c>
      <c r="M36" s="70">
        <f t="shared" si="30"/>
        <v>87.745000000000005</v>
      </c>
      <c r="N36" s="71">
        <f t="shared" si="31"/>
        <v>0</v>
      </c>
      <c r="O36" s="70">
        <f t="shared" si="32"/>
        <v>87.745000000000005</v>
      </c>
      <c r="P36" s="84">
        <f t="shared" si="33"/>
        <v>0</v>
      </c>
    </row>
    <row r="37" spans="2:16" ht="20.100000000000001" customHeight="1" thickBot="1">
      <c r="B37" s="317"/>
      <c r="C37" s="184" t="s">
        <v>54</v>
      </c>
      <c r="D37" s="189" t="s">
        <v>55</v>
      </c>
      <c r="E37" s="190">
        <f>140.392</f>
        <v>140.392</v>
      </c>
      <c r="F37" s="158"/>
      <c r="G37" s="26">
        <f t="shared" si="25"/>
        <v>140.392</v>
      </c>
      <c r="H37" s="4"/>
      <c r="I37" s="26">
        <f t="shared" si="26"/>
        <v>140.392</v>
      </c>
      <c r="J37" s="62">
        <v>0</v>
      </c>
      <c r="K37" s="85">
        <f t="shared" si="28"/>
        <v>140.392</v>
      </c>
      <c r="L37" s="71">
        <f t="shared" si="29"/>
        <v>0</v>
      </c>
      <c r="M37" s="70">
        <f t="shared" si="30"/>
        <v>140.392</v>
      </c>
      <c r="N37" s="71">
        <f t="shared" si="31"/>
        <v>0</v>
      </c>
      <c r="O37" s="70">
        <f t="shared" si="32"/>
        <v>140.392</v>
      </c>
      <c r="P37" s="84">
        <f t="shared" si="33"/>
        <v>0</v>
      </c>
    </row>
    <row r="38" spans="2:16" ht="20.100000000000001" customHeight="1" thickBot="1">
      <c r="B38" s="317"/>
      <c r="C38" s="183" t="s">
        <v>49</v>
      </c>
      <c r="D38" s="189" t="s">
        <v>55</v>
      </c>
      <c r="E38" s="190">
        <v>3.278</v>
      </c>
      <c r="F38" s="158">
        <f>-0.35098</f>
        <v>-0.35098000000000001</v>
      </c>
      <c r="G38" s="26">
        <f t="shared" si="25"/>
        <v>2.9270200000000002</v>
      </c>
      <c r="H38" s="4"/>
      <c r="I38" s="26">
        <f t="shared" si="26"/>
        <v>2.9270200000000002</v>
      </c>
      <c r="J38" s="62">
        <f t="shared" si="27"/>
        <v>0</v>
      </c>
      <c r="K38" s="85">
        <f t="shared" si="28"/>
        <v>3.278</v>
      </c>
      <c r="L38" s="71">
        <f t="shared" si="29"/>
        <v>-0.35098000000000001</v>
      </c>
      <c r="M38" s="70">
        <f t="shared" si="30"/>
        <v>2.9270200000000002</v>
      </c>
      <c r="N38" s="71">
        <f t="shared" si="31"/>
        <v>0</v>
      </c>
      <c r="O38" s="70">
        <f t="shared" si="32"/>
        <v>2.9270200000000002</v>
      </c>
      <c r="P38" s="84">
        <f t="shared" si="33"/>
        <v>0</v>
      </c>
    </row>
    <row r="39" spans="2:16" ht="20.100000000000001" customHeight="1" thickBot="1">
      <c r="B39" s="317"/>
      <c r="C39" s="183" t="s">
        <v>47</v>
      </c>
      <c r="D39" s="189" t="s">
        <v>55</v>
      </c>
      <c r="E39" s="190">
        <f>12640.51+122.843+140.392+140.392+210.588+210.588+210.588+210.588+245.686+245.686</f>
        <v>14377.860999999999</v>
      </c>
      <c r="F39" s="158">
        <f>-400-11000-1000-500-200-1250</f>
        <v>-14350</v>
      </c>
      <c r="G39" s="26">
        <f t="shared" si="25"/>
        <v>27.860999999998967</v>
      </c>
      <c r="H39" s="4"/>
      <c r="I39" s="26">
        <f t="shared" si="26"/>
        <v>27.860999999998967</v>
      </c>
      <c r="J39" s="62">
        <f t="shared" si="27"/>
        <v>0</v>
      </c>
      <c r="K39" s="85">
        <f t="shared" si="28"/>
        <v>14377.860999999999</v>
      </c>
      <c r="L39" s="71">
        <f t="shared" si="29"/>
        <v>-14350</v>
      </c>
      <c r="M39" s="70">
        <f t="shared" si="30"/>
        <v>27.860999999998967</v>
      </c>
      <c r="N39" s="71">
        <f t="shared" si="31"/>
        <v>0</v>
      </c>
      <c r="O39" s="70">
        <f t="shared" si="32"/>
        <v>27.860999999998967</v>
      </c>
      <c r="P39" s="84">
        <f t="shared" si="33"/>
        <v>0</v>
      </c>
    </row>
    <row r="40" spans="2:16" ht="20.100000000000001" customHeight="1" thickBot="1">
      <c r="B40" s="317"/>
      <c r="C40" s="183" t="s">
        <v>46</v>
      </c>
      <c r="D40" s="189" t="s">
        <v>55</v>
      </c>
      <c r="E40" s="190">
        <v>340.86799999999999</v>
      </c>
      <c r="F40" s="158"/>
      <c r="G40" s="26">
        <f t="shared" si="25"/>
        <v>340.86799999999999</v>
      </c>
      <c r="H40" s="4"/>
      <c r="I40" s="26">
        <f t="shared" si="26"/>
        <v>340.86799999999999</v>
      </c>
      <c r="J40" s="62">
        <f t="shared" si="27"/>
        <v>0</v>
      </c>
      <c r="K40" s="85">
        <f t="shared" si="28"/>
        <v>340.86799999999999</v>
      </c>
      <c r="L40" s="71">
        <f t="shared" si="29"/>
        <v>0</v>
      </c>
      <c r="M40" s="70">
        <f t="shared" si="30"/>
        <v>340.86799999999999</v>
      </c>
      <c r="N40" s="71">
        <f t="shared" si="31"/>
        <v>0</v>
      </c>
      <c r="O40" s="70">
        <f t="shared" si="32"/>
        <v>340.86799999999999</v>
      </c>
      <c r="P40" s="84">
        <f t="shared" si="33"/>
        <v>0</v>
      </c>
    </row>
    <row r="41" spans="2:16" s="101" customFormat="1" ht="20.100000000000001" customHeight="1" thickBot="1">
      <c r="B41" s="334"/>
      <c r="C41" s="185" t="s">
        <v>129</v>
      </c>
      <c r="D41" s="196" t="s">
        <v>55</v>
      </c>
      <c r="E41" s="197">
        <f>87.745+87.745+87.745+140.392</f>
        <v>403.62700000000001</v>
      </c>
      <c r="F41" s="174"/>
      <c r="G41" s="26">
        <f t="shared" si="25"/>
        <v>403.62700000000001</v>
      </c>
      <c r="H41" s="175"/>
      <c r="I41" s="26">
        <f t="shared" ref="I41" si="34">+G41-H41</f>
        <v>403.62700000000001</v>
      </c>
      <c r="J41" s="62">
        <f t="shared" ref="J41" si="35">+H41/G41</f>
        <v>0</v>
      </c>
      <c r="K41" s="85">
        <f t="shared" ref="K41" si="36">+E41</f>
        <v>403.62700000000001</v>
      </c>
      <c r="L41" s="71">
        <f t="shared" ref="L41" si="37">+F41</f>
        <v>0</v>
      </c>
      <c r="M41" s="70">
        <f t="shared" ref="M41" si="38">+K41+L41</f>
        <v>403.62700000000001</v>
      </c>
      <c r="N41" s="71">
        <f t="shared" ref="N41" si="39">+H41</f>
        <v>0</v>
      </c>
      <c r="O41" s="70">
        <f t="shared" ref="O41" si="40">+M41-N41</f>
        <v>403.62700000000001</v>
      </c>
      <c r="P41" s="84">
        <f t="shared" si="33"/>
        <v>0</v>
      </c>
    </row>
    <row r="42" spans="2:16" s="101" customFormat="1" ht="20.100000000000001" customHeight="1" thickBot="1">
      <c r="B42" s="334"/>
      <c r="C42" s="265" t="s">
        <v>327</v>
      </c>
      <c r="D42" s="196" t="s">
        <v>55</v>
      </c>
      <c r="E42" s="266">
        <f>280.784+280.784</f>
        <v>561.56799999999998</v>
      </c>
      <c r="F42" s="267">
        <f>-561</f>
        <v>-561</v>
      </c>
      <c r="G42" s="26">
        <f t="shared" si="25"/>
        <v>0.56799999999998363</v>
      </c>
      <c r="H42" s="268"/>
      <c r="I42" s="26">
        <f t="shared" ref="I42" si="41">+G42-H42</f>
        <v>0.56799999999998363</v>
      </c>
      <c r="J42" s="62">
        <f t="shared" ref="J42" si="42">+H42/G42</f>
        <v>0</v>
      </c>
      <c r="K42" s="85">
        <f t="shared" ref="K42" si="43">+E42</f>
        <v>561.56799999999998</v>
      </c>
      <c r="L42" s="71">
        <f t="shared" ref="L42" si="44">+F42</f>
        <v>-561</v>
      </c>
      <c r="M42" s="70">
        <f t="shared" ref="M42" si="45">+K42+L42</f>
        <v>0.56799999999998363</v>
      </c>
      <c r="N42" s="71">
        <f t="shared" ref="N42" si="46">+H42</f>
        <v>0</v>
      </c>
      <c r="O42" s="70">
        <f t="shared" ref="O42" si="47">+M42-N42</f>
        <v>0.56799999999998363</v>
      </c>
      <c r="P42" s="84">
        <f t="shared" ref="P42" si="48">+N42/M42</f>
        <v>0</v>
      </c>
    </row>
    <row r="43" spans="2:16" ht="15.75" thickBot="1">
      <c r="B43" s="318"/>
      <c r="C43" s="186" t="s">
        <v>324</v>
      </c>
      <c r="D43" s="198" t="s">
        <v>55</v>
      </c>
      <c r="E43" s="192">
        <v>0</v>
      </c>
      <c r="F43" s="159">
        <f>0.35098</f>
        <v>0.35098000000000001</v>
      </c>
      <c r="G43" s="61">
        <f t="shared" si="25"/>
        <v>0.35098000000000001</v>
      </c>
      <c r="H43" s="30"/>
      <c r="I43" s="61">
        <f t="shared" si="26"/>
        <v>0.35098000000000001</v>
      </c>
      <c r="J43" s="63">
        <v>0</v>
      </c>
      <c r="K43" s="86">
        <f t="shared" si="28"/>
        <v>0</v>
      </c>
      <c r="L43" s="87">
        <f t="shared" si="29"/>
        <v>0.35098000000000001</v>
      </c>
      <c r="M43" s="88">
        <f t="shared" si="30"/>
        <v>0.35098000000000001</v>
      </c>
      <c r="N43" s="87">
        <f t="shared" si="31"/>
        <v>0</v>
      </c>
      <c r="O43" s="88">
        <f t="shared" si="32"/>
        <v>0.35098000000000001</v>
      </c>
      <c r="P43" s="84">
        <f t="shared" si="33"/>
        <v>0</v>
      </c>
    </row>
    <row r="44" spans="2:16" s="9" customFormat="1" ht="15.75" thickBot="1">
      <c r="B44" s="32"/>
      <c r="C44" s="37"/>
      <c r="D44" s="34"/>
      <c r="E44" s="156">
        <f>SUM(E28:E43)</f>
        <v>35098.004999999997</v>
      </c>
      <c r="F44" s="6">
        <f>SUM(F28:F43)</f>
        <v>-29563.649999999998</v>
      </c>
      <c r="G44" s="6"/>
      <c r="H44" s="6"/>
      <c r="I44" s="6"/>
      <c r="J44" s="64"/>
      <c r="K44" s="119">
        <f>SUM(K28:K43)</f>
        <v>35098.004999999997</v>
      </c>
      <c r="L44" s="110">
        <f>SUM(L28:L43)</f>
        <v>-29563.649999999998</v>
      </c>
      <c r="M44" s="110">
        <f t="shared" ref="M44:O44" si="49">SUM(M28:M43)</f>
        <v>5534.3549999999959</v>
      </c>
      <c r="N44" s="141">
        <f t="shared" si="49"/>
        <v>0</v>
      </c>
      <c r="O44" s="110">
        <f t="shared" si="49"/>
        <v>5534.3549999999959</v>
      </c>
      <c r="P44" s="69">
        <f>+N44/M44</f>
        <v>0</v>
      </c>
    </row>
    <row r="45" spans="2:16">
      <c r="B45" s="313" t="s">
        <v>21</v>
      </c>
      <c r="C45" s="335" t="s">
        <v>56</v>
      </c>
      <c r="D45" s="47" t="s">
        <v>19</v>
      </c>
      <c r="E45" s="48">
        <v>3.661</v>
      </c>
      <c r="F45" s="41"/>
      <c r="G45" s="56">
        <f>+E45+F45</f>
        <v>3.661</v>
      </c>
      <c r="H45" s="41"/>
      <c r="I45" s="56">
        <f t="shared" ref="I45:I50" si="50">+G45-H45</f>
        <v>3.661</v>
      </c>
      <c r="J45" s="78">
        <f>+H45/G45</f>
        <v>0</v>
      </c>
      <c r="K45" s="339">
        <f>+E45+E46</f>
        <v>4.88</v>
      </c>
      <c r="L45" s="331">
        <f>+F45+F46</f>
        <v>0</v>
      </c>
      <c r="M45" s="332">
        <f>+K45+L45</f>
        <v>4.88</v>
      </c>
      <c r="N45" s="331">
        <f>+H45+H46</f>
        <v>0</v>
      </c>
      <c r="O45" s="332">
        <f>+M45-N45</f>
        <v>4.88</v>
      </c>
      <c r="P45" s="343">
        <f>+N45/M45</f>
        <v>0</v>
      </c>
    </row>
    <row r="46" spans="2:16">
      <c r="B46" s="314"/>
      <c r="C46" s="310"/>
      <c r="D46" s="49" t="s">
        <v>20</v>
      </c>
      <c r="E46" s="50">
        <v>1.2190000000000001</v>
      </c>
      <c r="F46" s="11"/>
      <c r="G46" s="57">
        <f>+I45+E46+F46</f>
        <v>4.88</v>
      </c>
      <c r="H46" s="11"/>
      <c r="I46" s="57">
        <f t="shared" si="50"/>
        <v>4.88</v>
      </c>
      <c r="J46" s="79">
        <f t="shared" ref="J46:J49" si="51">+H46/G46</f>
        <v>0</v>
      </c>
      <c r="K46" s="340"/>
      <c r="L46" s="303"/>
      <c r="M46" s="303"/>
      <c r="N46" s="303"/>
      <c r="O46" s="303"/>
      <c r="P46" s="305"/>
    </row>
    <row r="47" spans="2:16">
      <c r="B47" s="314"/>
      <c r="C47" s="310" t="s">
        <v>57</v>
      </c>
      <c r="D47" s="49" t="s">
        <v>19</v>
      </c>
      <c r="E47" s="50">
        <v>234.869</v>
      </c>
      <c r="F47" s="11"/>
      <c r="G47" s="58">
        <f>+E47+F47</f>
        <v>234.869</v>
      </c>
      <c r="H47" s="148">
        <v>6.6</v>
      </c>
      <c r="I47" s="58">
        <f t="shared" si="50"/>
        <v>228.26900000000001</v>
      </c>
      <c r="J47" s="79">
        <f t="shared" si="51"/>
        <v>2.8100771068127337E-2</v>
      </c>
      <c r="K47" s="341">
        <f>+E47+E48</f>
        <v>313.08799999999997</v>
      </c>
      <c r="L47" s="303">
        <f>+F47+F48</f>
        <v>0</v>
      </c>
      <c r="M47" s="304">
        <f>+K47+L47</f>
        <v>313.08799999999997</v>
      </c>
      <c r="N47" s="303">
        <f>+H47+H48</f>
        <v>19.344000000000001</v>
      </c>
      <c r="O47" s="304">
        <f t="shared" ref="O47" si="52">+M47-N47</f>
        <v>293.74399999999997</v>
      </c>
      <c r="P47" s="305">
        <f t="shared" ref="P47" si="53">+N47/M47</f>
        <v>6.1784546197874088E-2</v>
      </c>
    </row>
    <row r="48" spans="2:16">
      <c r="B48" s="314"/>
      <c r="C48" s="310"/>
      <c r="D48" s="49" t="s">
        <v>20</v>
      </c>
      <c r="E48" s="50">
        <v>78.218999999999994</v>
      </c>
      <c r="F48" s="11"/>
      <c r="G48" s="57">
        <f>+I47+E48+F48</f>
        <v>306.488</v>
      </c>
      <c r="H48" s="148">
        <v>12.744</v>
      </c>
      <c r="I48" s="57">
        <f t="shared" si="50"/>
        <v>293.74400000000003</v>
      </c>
      <c r="J48" s="79">
        <f t="shared" si="51"/>
        <v>4.1580747043929944E-2</v>
      </c>
      <c r="K48" s="340"/>
      <c r="L48" s="303"/>
      <c r="M48" s="303"/>
      <c r="N48" s="303"/>
      <c r="O48" s="303"/>
      <c r="P48" s="305"/>
    </row>
    <row r="49" spans="2:16">
      <c r="B49" s="314"/>
      <c r="C49" s="310" t="s">
        <v>58</v>
      </c>
      <c r="D49" s="49" t="s">
        <v>19</v>
      </c>
      <c r="E49" s="50">
        <v>875.47</v>
      </c>
      <c r="F49" s="11"/>
      <c r="G49" s="58">
        <f>+E49+F49</f>
        <v>875.47</v>
      </c>
      <c r="H49" s="160">
        <v>23.672999999999998</v>
      </c>
      <c r="I49" s="58">
        <f t="shared" si="50"/>
        <v>851.79700000000003</v>
      </c>
      <c r="J49" s="79">
        <f t="shared" si="51"/>
        <v>2.7040332621334824E-2</v>
      </c>
      <c r="K49" s="341">
        <f>+E49+E50</f>
        <v>1167.0309999999999</v>
      </c>
      <c r="L49" s="303">
        <f>+F49+F50</f>
        <v>0</v>
      </c>
      <c r="M49" s="304">
        <f>+K49+L49</f>
        <v>1167.0309999999999</v>
      </c>
      <c r="N49" s="303">
        <f>+H49+H50</f>
        <v>59.704999999999998</v>
      </c>
      <c r="O49" s="304">
        <f t="shared" ref="O49" si="54">+M49-N49</f>
        <v>1107.326</v>
      </c>
      <c r="P49" s="305">
        <f t="shared" ref="P49" si="55">+N49/M49</f>
        <v>5.1159737830443239E-2</v>
      </c>
    </row>
    <row r="50" spans="2:16" ht="15.75" thickBot="1">
      <c r="B50" s="315"/>
      <c r="C50" s="336"/>
      <c r="D50" s="51" t="s">
        <v>20</v>
      </c>
      <c r="E50" s="52">
        <v>291.56099999999998</v>
      </c>
      <c r="F50" s="42"/>
      <c r="G50" s="59">
        <f>+I49+E50+F50</f>
        <v>1143.3579999999999</v>
      </c>
      <c r="H50" s="269">
        <v>36.031999999999996</v>
      </c>
      <c r="I50" s="59">
        <f t="shared" si="50"/>
        <v>1107.326</v>
      </c>
      <c r="J50" s="80">
        <f>+H50/G50</f>
        <v>3.1514188906711635E-2</v>
      </c>
      <c r="K50" s="342"/>
      <c r="L50" s="337"/>
      <c r="M50" s="337"/>
      <c r="N50" s="337"/>
      <c r="O50" s="337"/>
      <c r="P50" s="338"/>
    </row>
    <row r="51" spans="2:16" s="10" customFormat="1" ht="15.75" thickBot="1">
      <c r="B51" s="38"/>
      <c r="C51" s="39"/>
      <c r="D51" s="34"/>
      <c r="E51" s="156">
        <f>SUM(E45:E50)</f>
        <v>1484.999</v>
      </c>
      <c r="F51" s="40">
        <f>SUM(F45:F50)</f>
        <v>0</v>
      </c>
      <c r="G51" s="40"/>
      <c r="H51" s="40"/>
      <c r="I51" s="40"/>
      <c r="J51" s="69"/>
      <c r="K51" s="118">
        <f>SUM(K45:K50)</f>
        <v>1484.9989999999998</v>
      </c>
      <c r="L51" s="107">
        <f t="shared" ref="L51:O51" si="56">SUM(L45:L50)</f>
        <v>0</v>
      </c>
      <c r="M51" s="107">
        <f t="shared" si="56"/>
        <v>1484.9989999999998</v>
      </c>
      <c r="N51" s="107">
        <f t="shared" si="56"/>
        <v>79.049000000000007</v>
      </c>
      <c r="O51" s="107">
        <f t="shared" si="56"/>
        <v>1405.95</v>
      </c>
      <c r="P51" s="152">
        <f>+N51/M51</f>
        <v>5.3231685677902825E-2</v>
      </c>
    </row>
    <row r="52" spans="2:16">
      <c r="B52" s="325" t="s">
        <v>31</v>
      </c>
      <c r="C52" s="44" t="s">
        <v>59</v>
      </c>
      <c r="D52" s="53" t="s">
        <v>60</v>
      </c>
      <c r="E52" s="48">
        <v>119.553</v>
      </c>
      <c r="F52" s="41"/>
      <c r="G52" s="56">
        <f>+E52+F52</f>
        <v>119.553</v>
      </c>
      <c r="H52" s="41"/>
      <c r="I52" s="56">
        <f>+G52-H52</f>
        <v>119.553</v>
      </c>
      <c r="J52" s="66">
        <f>+H52/G52</f>
        <v>0</v>
      </c>
      <c r="K52" s="73">
        <f>+E52</f>
        <v>119.553</v>
      </c>
      <c r="L52" s="24">
        <f>+F52</f>
        <v>0</v>
      </c>
      <c r="M52" s="74">
        <f>+K52+L52</f>
        <v>119.553</v>
      </c>
      <c r="N52" s="164">
        <f>+H52</f>
        <v>0</v>
      </c>
      <c r="O52" s="74">
        <f>+M52-N52</f>
        <v>119.553</v>
      </c>
      <c r="P52" s="66">
        <f>+N52/M52</f>
        <v>0</v>
      </c>
    </row>
    <row r="53" spans="2:16">
      <c r="B53" s="326"/>
      <c r="C53" s="45" t="s">
        <v>43</v>
      </c>
      <c r="D53" s="54" t="s">
        <v>60</v>
      </c>
      <c r="E53" s="50">
        <v>520.51199999999994</v>
      </c>
      <c r="F53" s="11"/>
      <c r="G53" s="58">
        <f t="shared" ref="G53:G59" si="57">+E53+F53</f>
        <v>520.51199999999994</v>
      </c>
      <c r="H53" s="11"/>
      <c r="I53" s="58">
        <f t="shared" ref="I53:I59" si="58">+G53-H53</f>
        <v>520.51199999999994</v>
      </c>
      <c r="J53" s="67">
        <f t="shared" ref="J53:J59" si="59">+H53/G53</f>
        <v>0</v>
      </c>
      <c r="K53" s="75">
        <f t="shared" ref="K53:K59" si="60">+E53</f>
        <v>520.51199999999994</v>
      </c>
      <c r="L53" s="23">
        <f>+F53</f>
        <v>0</v>
      </c>
      <c r="M53" s="72">
        <f t="shared" ref="M53:M59" si="61">+K53+L53</f>
        <v>520.51199999999994</v>
      </c>
      <c r="N53" s="162">
        <f>+H53</f>
        <v>0</v>
      </c>
      <c r="O53" s="72">
        <f t="shared" ref="O53:O59" si="62">+M53-N53</f>
        <v>520.51199999999994</v>
      </c>
      <c r="P53" s="67">
        <f t="shared" ref="P53:P59" si="63">+N53/M53</f>
        <v>0</v>
      </c>
    </row>
    <row r="54" spans="2:16">
      <c r="B54" s="326"/>
      <c r="C54" s="45" t="s">
        <v>50</v>
      </c>
      <c r="D54" s="54" t="s">
        <v>60</v>
      </c>
      <c r="E54" s="50">
        <v>8.7999999999999995E-2</v>
      </c>
      <c r="F54" s="11"/>
      <c r="G54" s="58">
        <f t="shared" si="57"/>
        <v>8.7999999999999995E-2</v>
      </c>
      <c r="H54" s="11"/>
      <c r="I54" s="58">
        <f t="shared" si="58"/>
        <v>8.7999999999999995E-2</v>
      </c>
      <c r="J54" s="67">
        <f t="shared" si="59"/>
        <v>0</v>
      </c>
      <c r="K54" s="75">
        <f t="shared" si="60"/>
        <v>8.7999999999999995E-2</v>
      </c>
      <c r="L54" s="23">
        <f t="shared" ref="L54:L59" si="64">+F54</f>
        <v>0</v>
      </c>
      <c r="M54" s="72">
        <f t="shared" si="61"/>
        <v>8.7999999999999995E-2</v>
      </c>
      <c r="N54" s="162">
        <f>+H54</f>
        <v>0</v>
      </c>
      <c r="O54" s="72">
        <f t="shared" si="62"/>
        <v>8.7999999999999995E-2</v>
      </c>
      <c r="P54" s="67">
        <f t="shared" si="63"/>
        <v>0</v>
      </c>
    </row>
    <row r="55" spans="2:16">
      <c r="B55" s="326"/>
      <c r="C55" s="45" t="s">
        <v>61</v>
      </c>
      <c r="D55" s="54" t="s">
        <v>60</v>
      </c>
      <c r="E55" s="50">
        <v>3.3519999999999999</v>
      </c>
      <c r="F55" s="11"/>
      <c r="G55" s="58">
        <f t="shared" si="57"/>
        <v>3.3519999999999999</v>
      </c>
      <c r="H55" s="11"/>
      <c r="I55" s="58">
        <f t="shared" si="58"/>
        <v>3.3519999999999999</v>
      </c>
      <c r="J55" s="67">
        <f t="shared" si="59"/>
        <v>0</v>
      </c>
      <c r="K55" s="75">
        <f t="shared" si="60"/>
        <v>3.3519999999999999</v>
      </c>
      <c r="L55" s="23">
        <f t="shared" si="64"/>
        <v>0</v>
      </c>
      <c r="M55" s="72">
        <f t="shared" si="61"/>
        <v>3.3519999999999999</v>
      </c>
      <c r="N55" s="162">
        <f t="shared" ref="N55:N59" si="65">+H55</f>
        <v>0</v>
      </c>
      <c r="O55" s="72">
        <f t="shared" si="62"/>
        <v>3.3519999999999999</v>
      </c>
      <c r="P55" s="67">
        <f t="shared" si="63"/>
        <v>0</v>
      </c>
    </row>
    <row r="56" spans="2:16">
      <c r="B56" s="326"/>
      <c r="C56" s="45" t="s">
        <v>62</v>
      </c>
      <c r="D56" s="54" t="s">
        <v>60</v>
      </c>
      <c r="E56" s="50">
        <v>3.7890000000000001</v>
      </c>
      <c r="F56" s="11"/>
      <c r="G56" s="58">
        <f t="shared" si="57"/>
        <v>3.7890000000000001</v>
      </c>
      <c r="H56" s="11"/>
      <c r="I56" s="58">
        <f t="shared" si="58"/>
        <v>3.7890000000000001</v>
      </c>
      <c r="J56" s="67">
        <f t="shared" si="59"/>
        <v>0</v>
      </c>
      <c r="K56" s="75">
        <f t="shared" si="60"/>
        <v>3.7890000000000001</v>
      </c>
      <c r="L56" s="23">
        <f t="shared" si="64"/>
        <v>0</v>
      </c>
      <c r="M56" s="72">
        <f t="shared" si="61"/>
        <v>3.7890000000000001</v>
      </c>
      <c r="N56" s="162">
        <f t="shared" si="65"/>
        <v>0</v>
      </c>
      <c r="O56" s="72">
        <f t="shared" si="62"/>
        <v>3.7890000000000001</v>
      </c>
      <c r="P56" s="67">
        <f t="shared" si="63"/>
        <v>0</v>
      </c>
    </row>
    <row r="57" spans="2:16">
      <c r="B57" s="326"/>
      <c r="C57" s="123" t="s">
        <v>46</v>
      </c>
      <c r="D57" s="54" t="s">
        <v>60</v>
      </c>
      <c r="E57" s="50">
        <v>1.736</v>
      </c>
      <c r="F57" s="11"/>
      <c r="G57" s="58">
        <f t="shared" si="57"/>
        <v>1.736</v>
      </c>
      <c r="H57" s="11"/>
      <c r="I57" s="58">
        <f t="shared" si="58"/>
        <v>1.736</v>
      </c>
      <c r="J57" s="67">
        <f t="shared" si="59"/>
        <v>0</v>
      </c>
      <c r="K57" s="75">
        <f t="shared" si="60"/>
        <v>1.736</v>
      </c>
      <c r="L57" s="23">
        <f t="shared" si="64"/>
        <v>0</v>
      </c>
      <c r="M57" s="72">
        <f t="shared" si="61"/>
        <v>1.736</v>
      </c>
      <c r="N57" s="162">
        <f t="shared" si="65"/>
        <v>0</v>
      </c>
      <c r="O57" s="72">
        <f t="shared" si="62"/>
        <v>1.736</v>
      </c>
      <c r="P57" s="67">
        <f t="shared" si="63"/>
        <v>0</v>
      </c>
    </row>
    <row r="58" spans="2:16">
      <c r="B58" s="326"/>
      <c r="C58" s="45" t="s">
        <v>63</v>
      </c>
      <c r="D58" s="54" t="s">
        <v>60</v>
      </c>
      <c r="E58" s="50">
        <v>223.434</v>
      </c>
      <c r="F58" s="11">
        <f>-170</f>
        <v>-170</v>
      </c>
      <c r="G58" s="58">
        <f t="shared" si="57"/>
        <v>53.433999999999997</v>
      </c>
      <c r="H58" s="11"/>
      <c r="I58" s="58">
        <f t="shared" si="58"/>
        <v>53.433999999999997</v>
      </c>
      <c r="J58" s="67">
        <f t="shared" si="59"/>
        <v>0</v>
      </c>
      <c r="K58" s="75">
        <f t="shared" si="60"/>
        <v>223.434</v>
      </c>
      <c r="L58" s="23">
        <f t="shared" si="64"/>
        <v>-170</v>
      </c>
      <c r="M58" s="72">
        <f t="shared" si="61"/>
        <v>53.433999999999997</v>
      </c>
      <c r="N58" s="162">
        <f t="shared" si="65"/>
        <v>0</v>
      </c>
      <c r="O58" s="72">
        <f t="shared" si="62"/>
        <v>53.433999999999997</v>
      </c>
      <c r="P58" s="67">
        <f t="shared" si="63"/>
        <v>0</v>
      </c>
    </row>
    <row r="59" spans="2:16">
      <c r="B59" s="326"/>
      <c r="C59" s="45" t="s">
        <v>64</v>
      </c>
      <c r="D59" s="54" t="s">
        <v>60</v>
      </c>
      <c r="E59" s="50">
        <v>1.5129999999999999</v>
      </c>
      <c r="F59" s="11"/>
      <c r="G59" s="58">
        <f t="shared" si="57"/>
        <v>1.5129999999999999</v>
      </c>
      <c r="H59" s="11"/>
      <c r="I59" s="58">
        <f t="shared" si="58"/>
        <v>1.5129999999999999</v>
      </c>
      <c r="J59" s="67">
        <f t="shared" si="59"/>
        <v>0</v>
      </c>
      <c r="K59" s="75">
        <f t="shared" si="60"/>
        <v>1.5129999999999999</v>
      </c>
      <c r="L59" s="23">
        <f t="shared" si="64"/>
        <v>0</v>
      </c>
      <c r="M59" s="72">
        <f t="shared" si="61"/>
        <v>1.5129999999999999</v>
      </c>
      <c r="N59" s="162">
        <f t="shared" si="65"/>
        <v>0</v>
      </c>
      <c r="O59" s="72">
        <f t="shared" si="62"/>
        <v>1.5129999999999999</v>
      </c>
      <c r="P59" s="67">
        <f t="shared" si="63"/>
        <v>0</v>
      </c>
    </row>
    <row r="60" spans="2:16" s="101" customFormat="1">
      <c r="B60" s="327"/>
      <c r="C60" s="262" t="s">
        <v>324</v>
      </c>
      <c r="D60" s="54" t="s">
        <v>60</v>
      </c>
      <c r="E60" s="263">
        <v>0</v>
      </c>
      <c r="F60" s="264">
        <f>0.00875</f>
        <v>8.7500000000000008E-3</v>
      </c>
      <c r="G60" s="58">
        <f t="shared" ref="G60" si="66">+E60+F60</f>
        <v>8.7500000000000008E-3</v>
      </c>
      <c r="H60" s="11"/>
      <c r="I60" s="58">
        <f t="shared" ref="I60" si="67">+G60-H60</f>
        <v>8.7500000000000008E-3</v>
      </c>
      <c r="J60" s="67">
        <f t="shared" ref="J60" si="68">+H60/G60</f>
        <v>0</v>
      </c>
      <c r="K60" s="75">
        <f t="shared" ref="K60" si="69">+E60</f>
        <v>0</v>
      </c>
      <c r="L60" s="102">
        <f t="shared" ref="L60" si="70">+F60</f>
        <v>8.7500000000000008E-3</v>
      </c>
      <c r="M60" s="72">
        <f t="shared" ref="M60" si="71">+K60+L60</f>
        <v>8.7500000000000008E-3</v>
      </c>
      <c r="N60" s="261">
        <f t="shared" ref="N60" si="72">+H60</f>
        <v>0</v>
      </c>
      <c r="O60" s="72">
        <f t="shared" ref="O60" si="73">+M60-N60</f>
        <v>8.7500000000000008E-3</v>
      </c>
      <c r="P60" s="67">
        <f t="shared" ref="P60" si="74">+N60/M60</f>
        <v>0</v>
      </c>
    </row>
    <row r="61" spans="2:16" ht="15.75" thickBot="1">
      <c r="B61" s="328"/>
      <c r="C61" s="46" t="s">
        <v>65</v>
      </c>
      <c r="D61" s="55" t="s">
        <v>60</v>
      </c>
      <c r="E61" s="52">
        <v>1.024</v>
      </c>
      <c r="F61" s="42">
        <f>-0.00875</f>
        <v>-8.7500000000000008E-3</v>
      </c>
      <c r="G61" s="60">
        <f>+E61+F61</f>
        <v>1.01525</v>
      </c>
      <c r="H61" s="42"/>
      <c r="I61" s="60">
        <f>+G61-H61</f>
        <v>1.01525</v>
      </c>
      <c r="J61" s="68">
        <f>+H61/G61</f>
        <v>0</v>
      </c>
      <c r="K61" s="76">
        <f>+E61</f>
        <v>1.024</v>
      </c>
      <c r="L61" s="25">
        <f>+F61</f>
        <v>-8.7500000000000008E-3</v>
      </c>
      <c r="M61" s="77">
        <f>+K61+L61</f>
        <v>1.01525</v>
      </c>
      <c r="N61" s="163">
        <f>+H61</f>
        <v>0</v>
      </c>
      <c r="O61" s="77">
        <f>+M61-N61</f>
        <v>1.01525</v>
      </c>
      <c r="P61" s="68">
        <f>+N61/M61</f>
        <v>0</v>
      </c>
    </row>
    <row r="62" spans="2:16">
      <c r="E62" s="137">
        <f>SUM(E52:E61)</f>
        <v>875.00099999999986</v>
      </c>
      <c r="F62">
        <f>SUM(F52:F61)</f>
        <v>-170</v>
      </c>
      <c r="K62" s="108">
        <f>SUM(K52:K61)</f>
        <v>875.00099999999986</v>
      </c>
      <c r="L62" s="108">
        <f>SUM(L52:L61)</f>
        <v>-170</v>
      </c>
      <c r="M62" s="108">
        <f>SUM(M52:M61)</f>
        <v>705.00099999999986</v>
      </c>
      <c r="N62" s="167">
        <f>SUM(N52:N61)</f>
        <v>0</v>
      </c>
      <c r="O62" s="108">
        <f>SUM(O52:O61)</f>
        <v>705.00099999999986</v>
      </c>
      <c r="P62" s="109">
        <f>+N62/M62</f>
        <v>0</v>
      </c>
    </row>
  </sheetData>
  <sortState ref="C16:C32">
    <sortCondition ref="C16"/>
  </sortState>
  <mergeCells count="86">
    <mergeCell ref="K23:K24"/>
    <mergeCell ref="L23:L24"/>
    <mergeCell ref="M23:M24"/>
    <mergeCell ref="N23:N24"/>
    <mergeCell ref="O23:O24"/>
    <mergeCell ref="N49:N50"/>
    <mergeCell ref="O49:O50"/>
    <mergeCell ref="P49:P50"/>
    <mergeCell ref="K45:K46"/>
    <mergeCell ref="K47:K48"/>
    <mergeCell ref="K49:K50"/>
    <mergeCell ref="L45:L46"/>
    <mergeCell ref="M45:M46"/>
    <mergeCell ref="L49:L50"/>
    <mergeCell ref="M49:M50"/>
    <mergeCell ref="L47:L48"/>
    <mergeCell ref="M47:M48"/>
    <mergeCell ref="N45:N46"/>
    <mergeCell ref="O45:O46"/>
    <mergeCell ref="P45:P46"/>
    <mergeCell ref="N47:N48"/>
    <mergeCell ref="O19:O20"/>
    <mergeCell ref="P19:P20"/>
    <mergeCell ref="O47:O48"/>
    <mergeCell ref="P47:P48"/>
    <mergeCell ref="L25:L26"/>
    <mergeCell ref="M25:M26"/>
    <mergeCell ref="N25:N26"/>
    <mergeCell ref="O25:O26"/>
    <mergeCell ref="P25:P26"/>
    <mergeCell ref="P21:P22"/>
    <mergeCell ref="P23:P24"/>
    <mergeCell ref="B52:B61"/>
    <mergeCell ref="K9:P9"/>
    <mergeCell ref="K11:K12"/>
    <mergeCell ref="K13:K14"/>
    <mergeCell ref="K19:K20"/>
    <mergeCell ref="K25:K26"/>
    <mergeCell ref="L11:L12"/>
    <mergeCell ref="M11:M12"/>
    <mergeCell ref="N11:N12"/>
    <mergeCell ref="O11:O12"/>
    <mergeCell ref="P11:P12"/>
    <mergeCell ref="L13:L14"/>
    <mergeCell ref="M13:M14"/>
    <mergeCell ref="B28:B43"/>
    <mergeCell ref="C45:C46"/>
    <mergeCell ref="C49:C50"/>
    <mergeCell ref="B45:B50"/>
    <mergeCell ref="B11:B26"/>
    <mergeCell ref="C11:C12"/>
    <mergeCell ref="C13:C14"/>
    <mergeCell ref="C19:C20"/>
    <mergeCell ref="C25:C26"/>
    <mergeCell ref="C15:C16"/>
    <mergeCell ref="C21:C22"/>
    <mergeCell ref="C23:C24"/>
    <mergeCell ref="B5:P6"/>
    <mergeCell ref="B7:P7"/>
    <mergeCell ref="H9:J9"/>
    <mergeCell ref="E9:G9"/>
    <mergeCell ref="C47:C48"/>
    <mergeCell ref="N13:N14"/>
    <mergeCell ref="O13:O14"/>
    <mergeCell ref="P13:P14"/>
    <mergeCell ref="L19:L20"/>
    <mergeCell ref="M19:M20"/>
    <mergeCell ref="N19:N20"/>
    <mergeCell ref="P15:P16"/>
    <mergeCell ref="C17:C18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K21:K22"/>
    <mergeCell ref="L21:L22"/>
    <mergeCell ref="M21:M22"/>
    <mergeCell ref="N21:N22"/>
    <mergeCell ref="O21:O22"/>
  </mergeCells>
  <conditionalFormatting sqref="J11:J61 P11:P62">
    <cfRule type="cellIs" dxfId="5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46:G49 G25 M43 M45:M50 M25:M26 M44:O44 M11:M14 G12:G14 M19:M20 G19:G20 M28:M40 M52:M59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76"/>
  <sheetViews>
    <sheetView zoomScale="90" zoomScaleNormal="90" workbookViewId="0">
      <pane ySplit="3" topLeftCell="A168" activePane="bottomLeft" state="frozen"/>
      <selection pane="bottomLeft" activeCell="S6" sqref="S6"/>
    </sheetView>
  </sheetViews>
  <sheetFormatPr baseColWidth="10" defaultRowHeight="15"/>
  <cols>
    <col min="1" max="1" width="4.5703125" style="115" customWidth="1"/>
    <col min="2" max="2" width="7.85546875" style="168" customWidth="1"/>
    <col min="3" max="3" width="13.140625" style="168" customWidth="1"/>
    <col min="4" max="5" width="11.42578125" style="168"/>
    <col min="6" max="6" width="19.85546875" style="168" bestFit="1" customWidth="1"/>
    <col min="7" max="10" width="11.42578125" style="168"/>
    <col min="11" max="11" width="16.140625" style="168" bestFit="1" customWidth="1"/>
    <col min="12" max="13" width="10" style="168" customWidth="1"/>
    <col min="14" max="14" width="13.42578125" style="168" customWidth="1"/>
    <col min="15" max="15" width="13.5703125" style="168" customWidth="1"/>
    <col min="16" max="17" width="11.42578125" style="115"/>
    <col min="18" max="18" width="15" style="115" bestFit="1" customWidth="1"/>
    <col min="19" max="19" width="13.85546875" style="115" bestFit="1" customWidth="1"/>
    <col min="20" max="20" width="13" style="115" bestFit="1" customWidth="1"/>
    <col min="21" max="21" width="13.85546875" style="115" bestFit="1" customWidth="1"/>
    <col min="22" max="22" width="16.42578125" style="115" bestFit="1" customWidth="1"/>
    <col min="23" max="16384" width="11.42578125" style="115"/>
  </cols>
  <sheetData>
    <row r="1" spans="2:22" ht="15.75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2:22" ht="15.75" thickBot="1">
      <c r="B2" s="115"/>
      <c r="C2" s="115"/>
      <c r="D2" s="115"/>
      <c r="E2" s="115"/>
      <c r="F2" s="115"/>
      <c r="G2" s="115"/>
      <c r="H2" s="356" t="s">
        <v>157</v>
      </c>
      <c r="I2" s="352"/>
      <c r="J2" s="352"/>
      <c r="K2" s="353"/>
      <c r="L2" s="352" t="s">
        <v>158</v>
      </c>
      <c r="M2" s="352"/>
      <c r="N2" s="352"/>
      <c r="O2" s="353"/>
    </row>
    <row r="3" spans="2:22" ht="15.75" thickBot="1">
      <c r="B3" s="115"/>
      <c r="C3" s="115"/>
      <c r="D3" s="115"/>
      <c r="E3" s="115"/>
      <c r="F3" s="115"/>
      <c r="G3" s="115"/>
      <c r="H3" s="165" t="s">
        <v>125</v>
      </c>
      <c r="I3" s="165" t="s">
        <v>126</v>
      </c>
      <c r="J3" s="165" t="s">
        <v>127</v>
      </c>
      <c r="K3" s="165" t="s">
        <v>128</v>
      </c>
      <c r="L3" s="166" t="s">
        <v>125</v>
      </c>
      <c r="M3" s="166" t="s">
        <v>126</v>
      </c>
      <c r="N3" s="166" t="s">
        <v>127</v>
      </c>
      <c r="O3" s="166" t="s">
        <v>128</v>
      </c>
      <c r="S3" s="354" t="s">
        <v>141</v>
      </c>
      <c r="T3" s="355"/>
      <c r="U3" s="355"/>
      <c r="V3" s="355"/>
    </row>
    <row r="4" spans="2:22" ht="30">
      <c r="B4" s="170" t="s">
        <v>120</v>
      </c>
      <c r="C4" s="171" t="s">
        <v>121</v>
      </c>
      <c r="D4" s="172" t="s">
        <v>122</v>
      </c>
      <c r="E4" s="171" t="s">
        <v>24</v>
      </c>
      <c r="F4" s="171" t="s">
        <v>123</v>
      </c>
      <c r="G4" s="171" t="s">
        <v>124</v>
      </c>
      <c r="H4" s="171" t="s">
        <v>112</v>
      </c>
      <c r="I4" s="171" t="s">
        <v>112</v>
      </c>
      <c r="J4" s="171" t="s">
        <v>112</v>
      </c>
      <c r="K4" s="171" t="s">
        <v>112</v>
      </c>
      <c r="L4" s="144" t="s">
        <v>113</v>
      </c>
      <c r="M4" s="144" t="s">
        <v>113</v>
      </c>
      <c r="N4" s="144" t="s">
        <v>113</v>
      </c>
      <c r="O4" s="145" t="s">
        <v>113</v>
      </c>
      <c r="S4" s="147" t="s">
        <v>125</v>
      </c>
      <c r="T4" s="147" t="s">
        <v>126</v>
      </c>
      <c r="U4" s="147" t="s">
        <v>127</v>
      </c>
      <c r="V4" s="147" t="s">
        <v>128</v>
      </c>
    </row>
    <row r="5" spans="2:22" ht="15" customHeight="1">
      <c r="B5" s="212" t="s">
        <v>164</v>
      </c>
      <c r="C5" s="213">
        <v>44281</v>
      </c>
      <c r="D5" s="212">
        <v>938</v>
      </c>
      <c r="E5" s="212" t="s">
        <v>12</v>
      </c>
      <c r="F5" s="212" t="s">
        <v>165</v>
      </c>
      <c r="G5" s="212">
        <v>955952</v>
      </c>
      <c r="H5" s="357">
        <v>400</v>
      </c>
      <c r="I5" s="211"/>
      <c r="J5" s="357">
        <f>H5-(I5+I6+I7+I8+I9+I10+I11+I12+I13)</f>
        <v>-18.237999999999943</v>
      </c>
      <c r="K5" s="358">
        <f>(I5+I6+I7+I8+I9+I10+I11+I12+I13)/H5</f>
        <v>1.0455949999999998</v>
      </c>
      <c r="L5" s="212"/>
      <c r="M5" s="212"/>
      <c r="N5" s="212"/>
      <c r="O5" s="212"/>
      <c r="R5" s="150" t="s">
        <v>112</v>
      </c>
      <c r="S5" s="251">
        <f>H5+H14+H15+H16+H17+H18+H19+H20+H21+H22+H32+H47+H91+H112+H121+H128+H143+H144+H151+H152+H157+H174+H175+H176+H177+H178+H180+H183+H184+H185+H186+H187+H188+H189+H190+H191+H192+H193+H194</f>
        <v>156066.495</v>
      </c>
      <c r="T5" s="251">
        <f>SUM(I5:I202)</f>
        <v>42014.949999999968</v>
      </c>
      <c r="U5" s="251">
        <f>+S5-T5</f>
        <v>114051.54500000003</v>
      </c>
      <c r="V5" s="111">
        <f>+T5/S5</f>
        <v>0.26921185101260825</v>
      </c>
    </row>
    <row r="6" spans="2:22" ht="15" customHeight="1">
      <c r="B6" s="212" t="s">
        <v>164</v>
      </c>
      <c r="C6" s="213">
        <v>44281</v>
      </c>
      <c r="D6" s="212">
        <v>938</v>
      </c>
      <c r="E6" s="212" t="s">
        <v>12</v>
      </c>
      <c r="F6" s="212" t="s">
        <v>166</v>
      </c>
      <c r="G6" s="212">
        <v>965267</v>
      </c>
      <c r="H6" s="348"/>
      <c r="I6" s="211">
        <v>71.203000000000003</v>
      </c>
      <c r="J6" s="348"/>
      <c r="K6" s="349"/>
      <c r="L6" s="212"/>
      <c r="M6" s="212"/>
      <c r="N6" s="212"/>
      <c r="O6" s="212"/>
      <c r="R6" s="150" t="s">
        <v>134</v>
      </c>
      <c r="S6" s="251">
        <f>L103</f>
        <v>170</v>
      </c>
      <c r="T6" s="251"/>
      <c r="U6" s="251">
        <f>+S6-T6</f>
        <v>170</v>
      </c>
      <c r="V6" s="111">
        <f>+T6/S6</f>
        <v>0</v>
      </c>
    </row>
    <row r="7" spans="2:22" ht="15" customHeight="1">
      <c r="B7" s="212" t="s">
        <v>164</v>
      </c>
      <c r="C7" s="213">
        <v>44281</v>
      </c>
      <c r="D7" s="212">
        <v>938</v>
      </c>
      <c r="E7" s="212" t="s">
        <v>12</v>
      </c>
      <c r="F7" s="212" t="s">
        <v>167</v>
      </c>
      <c r="G7" s="212">
        <v>969387</v>
      </c>
      <c r="H7" s="348"/>
      <c r="I7" s="211"/>
      <c r="J7" s="348"/>
      <c r="K7" s="349"/>
      <c r="L7" s="212"/>
      <c r="M7" s="212"/>
      <c r="N7" s="212"/>
      <c r="O7" s="212"/>
      <c r="R7" s="150" t="s">
        <v>135</v>
      </c>
      <c r="S7" s="149">
        <f>SUM(S5:S6)</f>
        <v>156236.495</v>
      </c>
      <c r="T7" s="150">
        <f>SUM(T5:T6)</f>
        <v>42014.949999999968</v>
      </c>
      <c r="U7" s="149">
        <f>+S7-T7</f>
        <v>114221.54500000003</v>
      </c>
      <c r="V7" s="151">
        <f>+T7/S7</f>
        <v>0.26891892320036986</v>
      </c>
    </row>
    <row r="8" spans="2:22" ht="15" customHeight="1">
      <c r="B8" s="212" t="s">
        <v>164</v>
      </c>
      <c r="C8" s="213">
        <v>44281</v>
      </c>
      <c r="D8" s="212">
        <v>938</v>
      </c>
      <c r="E8" s="212" t="s">
        <v>12</v>
      </c>
      <c r="F8" s="212" t="s">
        <v>168</v>
      </c>
      <c r="G8" s="212">
        <v>969425</v>
      </c>
      <c r="H8" s="348"/>
      <c r="I8" s="211">
        <v>98.379000000000005</v>
      </c>
      <c r="J8" s="348"/>
      <c r="K8" s="349"/>
      <c r="L8" s="212"/>
      <c r="M8" s="212"/>
      <c r="N8" s="212"/>
      <c r="O8" s="212"/>
    </row>
    <row r="9" spans="2:22" ht="15" customHeight="1">
      <c r="B9" s="212" t="s">
        <v>164</v>
      </c>
      <c r="C9" s="213">
        <v>44281</v>
      </c>
      <c r="D9" s="212">
        <v>938</v>
      </c>
      <c r="E9" s="212" t="s">
        <v>12</v>
      </c>
      <c r="F9" s="212" t="s">
        <v>169</v>
      </c>
      <c r="G9" s="212">
        <v>967533</v>
      </c>
      <c r="H9" s="348"/>
      <c r="I9" s="211"/>
      <c r="J9" s="348"/>
      <c r="K9" s="349"/>
      <c r="L9" s="212"/>
      <c r="M9" s="212"/>
      <c r="N9" s="212"/>
      <c r="O9" s="212"/>
    </row>
    <row r="10" spans="2:22" ht="15" customHeight="1">
      <c r="B10" s="212" t="s">
        <v>164</v>
      </c>
      <c r="C10" s="213">
        <v>44281</v>
      </c>
      <c r="D10" s="212">
        <v>938</v>
      </c>
      <c r="E10" s="212" t="s">
        <v>12</v>
      </c>
      <c r="F10" s="212" t="s">
        <v>170</v>
      </c>
      <c r="G10" s="212">
        <v>968930</v>
      </c>
      <c r="H10" s="348"/>
      <c r="I10" s="211">
        <v>84.018000000000001</v>
      </c>
      <c r="J10" s="348"/>
      <c r="K10" s="349"/>
      <c r="L10" s="212"/>
      <c r="M10" s="212"/>
      <c r="N10" s="212"/>
      <c r="O10" s="212"/>
    </row>
    <row r="11" spans="2:22" ht="15" customHeight="1">
      <c r="B11" s="212" t="s">
        <v>164</v>
      </c>
      <c r="C11" s="213">
        <v>44281</v>
      </c>
      <c r="D11" s="212">
        <v>938</v>
      </c>
      <c r="E11" s="212" t="s">
        <v>12</v>
      </c>
      <c r="F11" s="212" t="s">
        <v>171</v>
      </c>
      <c r="G11" s="212">
        <v>968704</v>
      </c>
      <c r="H11" s="348"/>
      <c r="I11" s="211"/>
      <c r="J11" s="348"/>
      <c r="K11" s="349"/>
      <c r="L11" s="212"/>
      <c r="M11" s="212"/>
      <c r="N11" s="212"/>
      <c r="O11" s="212"/>
    </row>
    <row r="12" spans="2:22" ht="15" customHeight="1">
      <c r="B12" s="212" t="s">
        <v>164</v>
      </c>
      <c r="C12" s="213">
        <v>44281</v>
      </c>
      <c r="D12" s="212">
        <v>938</v>
      </c>
      <c r="E12" s="212" t="s">
        <v>12</v>
      </c>
      <c r="F12" s="212" t="s">
        <v>172</v>
      </c>
      <c r="G12" s="212">
        <v>957378</v>
      </c>
      <c r="H12" s="348"/>
      <c r="I12" s="211">
        <v>61.264000000000003</v>
      </c>
      <c r="J12" s="348"/>
      <c r="K12" s="349"/>
      <c r="L12" s="212"/>
      <c r="M12" s="212"/>
      <c r="N12" s="212"/>
      <c r="O12" s="212"/>
    </row>
    <row r="13" spans="2:22" ht="15" customHeight="1">
      <c r="B13" s="212" t="s">
        <v>164</v>
      </c>
      <c r="C13" s="213">
        <v>44281</v>
      </c>
      <c r="D13" s="212">
        <v>938</v>
      </c>
      <c r="E13" s="212" t="s">
        <v>12</v>
      </c>
      <c r="F13" s="212" t="s">
        <v>173</v>
      </c>
      <c r="G13" s="212">
        <v>969467</v>
      </c>
      <c r="H13" s="345"/>
      <c r="I13" s="211">
        <v>103.374</v>
      </c>
      <c r="J13" s="345"/>
      <c r="K13" s="347"/>
      <c r="L13" s="212"/>
      <c r="M13" s="212"/>
      <c r="N13" s="212"/>
      <c r="O13" s="212"/>
    </row>
    <row r="14" spans="2:22" ht="15" customHeight="1">
      <c r="B14" s="212" t="s">
        <v>164</v>
      </c>
      <c r="C14" s="213">
        <v>44294</v>
      </c>
      <c r="D14" s="212">
        <v>1000</v>
      </c>
      <c r="E14" s="212" t="s">
        <v>174</v>
      </c>
      <c r="F14" s="212" t="s">
        <v>175</v>
      </c>
      <c r="G14" s="212">
        <v>969441</v>
      </c>
      <c r="H14" s="212">
        <v>3500.6320000000001</v>
      </c>
      <c r="I14" s="211">
        <v>862.59699999999998</v>
      </c>
      <c r="J14" s="212">
        <f t="shared" ref="J14:J21" si="0">H14-I14</f>
        <v>2638.0349999999999</v>
      </c>
      <c r="K14" s="140">
        <f t="shared" ref="K14:K21" si="1">I14/H14</f>
        <v>0.24641179078520678</v>
      </c>
      <c r="L14" s="212"/>
      <c r="M14" s="212"/>
      <c r="N14" s="212"/>
      <c r="O14" s="212"/>
    </row>
    <row r="15" spans="2:22" ht="15" customHeight="1">
      <c r="B15" s="212" t="s">
        <v>164</v>
      </c>
      <c r="C15" s="213">
        <v>44306</v>
      </c>
      <c r="D15" s="212">
        <v>1151</v>
      </c>
      <c r="E15" s="212" t="s">
        <v>174</v>
      </c>
      <c r="F15" s="212" t="s">
        <v>223</v>
      </c>
      <c r="G15" s="212">
        <v>967544</v>
      </c>
      <c r="H15" s="212">
        <v>3500.6320000000001</v>
      </c>
      <c r="I15" s="211">
        <v>735.44299999999998</v>
      </c>
      <c r="J15" s="212">
        <f t="shared" si="0"/>
        <v>2765.1890000000003</v>
      </c>
      <c r="K15" s="140">
        <f t="shared" si="1"/>
        <v>0.21008863542354636</v>
      </c>
      <c r="L15" s="212"/>
      <c r="M15" s="212"/>
      <c r="N15" s="212"/>
      <c r="O15" s="212"/>
    </row>
    <row r="16" spans="2:22" ht="15" customHeight="1">
      <c r="B16" s="212" t="s">
        <v>164</v>
      </c>
      <c r="C16" s="213">
        <v>44306</v>
      </c>
      <c r="D16" s="212">
        <v>1156</v>
      </c>
      <c r="E16" s="212" t="s">
        <v>174</v>
      </c>
      <c r="F16" s="212" t="s">
        <v>222</v>
      </c>
      <c r="G16" s="212">
        <v>968466</v>
      </c>
      <c r="H16" s="212">
        <v>3021.7919999999999</v>
      </c>
      <c r="I16" s="211">
        <v>153.44300000000001</v>
      </c>
      <c r="J16" s="212">
        <f t="shared" si="0"/>
        <v>2868.3489999999997</v>
      </c>
      <c r="K16" s="140">
        <f t="shared" si="1"/>
        <v>5.0778809395219796E-2</v>
      </c>
      <c r="L16" s="212"/>
      <c r="M16" s="212"/>
      <c r="N16" s="212"/>
      <c r="O16" s="212"/>
    </row>
    <row r="17" spans="2:15" ht="15" customHeight="1">
      <c r="B17" s="212" t="s">
        <v>164</v>
      </c>
      <c r="C17" s="213">
        <v>44306</v>
      </c>
      <c r="D17" s="212">
        <v>1157</v>
      </c>
      <c r="E17" s="212" t="s">
        <v>174</v>
      </c>
      <c r="F17" s="212" t="s">
        <v>222</v>
      </c>
      <c r="G17" s="212">
        <v>968466</v>
      </c>
      <c r="H17" s="212">
        <v>478.83699999999999</v>
      </c>
      <c r="I17" s="211">
        <v>444.70299999999997</v>
      </c>
      <c r="J17" s="212">
        <f t="shared" si="0"/>
        <v>34.134000000000015</v>
      </c>
      <c r="K17" s="140">
        <f t="shared" si="1"/>
        <v>0.92871478185687406</v>
      </c>
      <c r="L17" s="212"/>
      <c r="M17" s="212"/>
      <c r="N17" s="212"/>
      <c r="O17" s="212"/>
    </row>
    <row r="18" spans="2:15" ht="15" customHeight="1">
      <c r="B18" s="212" t="s">
        <v>164</v>
      </c>
      <c r="C18" s="213">
        <v>44306</v>
      </c>
      <c r="D18" s="212">
        <v>1152</v>
      </c>
      <c r="E18" s="212" t="s">
        <v>174</v>
      </c>
      <c r="F18" s="212" t="s">
        <v>219</v>
      </c>
      <c r="G18" s="212">
        <v>968274</v>
      </c>
      <c r="H18" s="212">
        <v>251.042</v>
      </c>
      <c r="I18" s="211">
        <v>345.38499999999999</v>
      </c>
      <c r="J18" s="212">
        <f t="shared" si="0"/>
        <v>-94.342999999999989</v>
      </c>
      <c r="K18" s="140">
        <f t="shared" si="1"/>
        <v>1.3758056420837947</v>
      </c>
      <c r="L18" s="212"/>
      <c r="M18" s="212"/>
      <c r="N18" s="212"/>
      <c r="O18" s="212"/>
    </row>
    <row r="19" spans="2:15" ht="15" customHeight="1">
      <c r="B19" s="212" t="s">
        <v>164</v>
      </c>
      <c r="C19" s="213">
        <v>44306</v>
      </c>
      <c r="D19" s="212">
        <v>1153</v>
      </c>
      <c r="E19" s="212" t="s">
        <v>174</v>
      </c>
      <c r="F19" s="212" t="s">
        <v>217</v>
      </c>
      <c r="G19" s="212">
        <v>968447</v>
      </c>
      <c r="H19" s="212">
        <v>251.042</v>
      </c>
      <c r="I19" s="211">
        <v>193.87899999999999</v>
      </c>
      <c r="J19" s="212">
        <f t="shared" si="0"/>
        <v>57.163000000000011</v>
      </c>
      <c r="K19" s="140">
        <f t="shared" si="1"/>
        <v>0.7722970658296221</v>
      </c>
      <c r="L19" s="212"/>
      <c r="M19" s="212"/>
      <c r="N19" s="212"/>
      <c r="O19" s="212"/>
    </row>
    <row r="20" spans="2:15" ht="15" customHeight="1">
      <c r="B20" s="212" t="s">
        <v>164</v>
      </c>
      <c r="C20" s="213">
        <v>44306</v>
      </c>
      <c r="D20" s="212">
        <v>1154</v>
      </c>
      <c r="E20" s="212" t="s">
        <v>174</v>
      </c>
      <c r="F20" s="212" t="s">
        <v>224</v>
      </c>
      <c r="G20" s="212">
        <v>969068</v>
      </c>
      <c r="H20" s="212">
        <v>251.042</v>
      </c>
      <c r="I20" s="211">
        <v>334.82400000000001</v>
      </c>
      <c r="J20" s="212">
        <f t="shared" si="0"/>
        <v>-83.782000000000011</v>
      </c>
      <c r="K20" s="140">
        <f t="shared" si="1"/>
        <v>1.3337369842496476</v>
      </c>
      <c r="L20" s="212"/>
      <c r="M20" s="212"/>
      <c r="N20" s="212"/>
      <c r="O20" s="212"/>
    </row>
    <row r="21" spans="2:15" ht="15" customHeight="1">
      <c r="B21" s="212" t="s">
        <v>164</v>
      </c>
      <c r="C21" s="213">
        <v>44306</v>
      </c>
      <c r="D21" s="212">
        <v>1155</v>
      </c>
      <c r="E21" s="212" t="s">
        <v>174</v>
      </c>
      <c r="F21" s="212" t="s">
        <v>225</v>
      </c>
      <c r="G21" s="212">
        <v>969313</v>
      </c>
      <c r="H21" s="212">
        <v>251.042</v>
      </c>
      <c r="I21" s="211">
        <v>282.892</v>
      </c>
      <c r="J21" s="212">
        <f t="shared" si="0"/>
        <v>-31.849999999999994</v>
      </c>
      <c r="K21" s="140">
        <f t="shared" si="1"/>
        <v>1.12687120083492</v>
      </c>
      <c r="L21" s="212"/>
      <c r="M21" s="212"/>
      <c r="N21" s="212"/>
      <c r="O21" s="212"/>
    </row>
    <row r="22" spans="2:15" ht="15" customHeight="1">
      <c r="B22" s="212" t="s">
        <v>164</v>
      </c>
      <c r="C22" s="213">
        <v>44312</v>
      </c>
      <c r="D22" s="212">
        <v>1201</v>
      </c>
      <c r="E22" s="212" t="s">
        <v>10</v>
      </c>
      <c r="F22" s="212" t="s">
        <v>267</v>
      </c>
      <c r="G22" s="212">
        <v>967935</v>
      </c>
      <c r="H22" s="350">
        <v>10000</v>
      </c>
      <c r="I22" s="211"/>
      <c r="J22" s="350">
        <f>H22-(SUM(I22:I31))</f>
        <v>8485.2029999999995</v>
      </c>
      <c r="K22" s="351">
        <f>(SUM(I22:I31))/H22</f>
        <v>0.15147969999999997</v>
      </c>
      <c r="L22" s="212"/>
      <c r="M22" s="212"/>
      <c r="N22" s="212"/>
      <c r="O22" s="212"/>
    </row>
    <row r="23" spans="2:15" ht="15" customHeight="1">
      <c r="B23" s="212" t="s">
        <v>164</v>
      </c>
      <c r="C23" s="213">
        <v>44312</v>
      </c>
      <c r="D23" s="212">
        <v>1201</v>
      </c>
      <c r="E23" s="212" t="s">
        <v>10</v>
      </c>
      <c r="F23" s="212" t="s">
        <v>301</v>
      </c>
      <c r="G23" s="212">
        <v>968808</v>
      </c>
      <c r="H23" s="348"/>
      <c r="I23" s="211"/>
      <c r="J23" s="348"/>
      <c r="K23" s="349"/>
      <c r="L23" s="212"/>
      <c r="M23" s="212"/>
      <c r="N23" s="212"/>
      <c r="O23" s="140"/>
    </row>
    <row r="24" spans="2:15" ht="15" customHeight="1">
      <c r="B24" s="212" t="s">
        <v>164</v>
      </c>
      <c r="C24" s="213">
        <v>44312</v>
      </c>
      <c r="D24" s="212">
        <v>1201</v>
      </c>
      <c r="E24" s="212" t="s">
        <v>10</v>
      </c>
      <c r="F24" s="212" t="s">
        <v>195</v>
      </c>
      <c r="G24" s="212">
        <v>967513</v>
      </c>
      <c r="H24" s="348"/>
      <c r="I24" s="211">
        <v>280.87</v>
      </c>
      <c r="J24" s="348"/>
      <c r="K24" s="349"/>
      <c r="L24" s="212"/>
      <c r="M24" s="212"/>
      <c r="N24" s="212"/>
      <c r="O24" s="140"/>
    </row>
    <row r="25" spans="2:15" ht="15" customHeight="1">
      <c r="B25" s="212" t="s">
        <v>164</v>
      </c>
      <c r="C25" s="213">
        <v>44312</v>
      </c>
      <c r="D25" s="212">
        <v>1201</v>
      </c>
      <c r="E25" s="212" t="s">
        <v>10</v>
      </c>
      <c r="F25" s="212" t="s">
        <v>196</v>
      </c>
      <c r="G25" s="212">
        <v>968789</v>
      </c>
      <c r="H25" s="348"/>
      <c r="I25" s="211">
        <v>16.350000000000001</v>
      </c>
      <c r="J25" s="348"/>
      <c r="K25" s="349"/>
      <c r="L25" s="212"/>
      <c r="M25" s="212"/>
      <c r="N25" s="212"/>
      <c r="O25" s="140"/>
    </row>
    <row r="26" spans="2:15" ht="15" customHeight="1">
      <c r="B26" s="212" t="s">
        <v>164</v>
      </c>
      <c r="C26" s="213">
        <v>44312</v>
      </c>
      <c r="D26" s="212">
        <v>1201</v>
      </c>
      <c r="E26" s="212" t="s">
        <v>10</v>
      </c>
      <c r="F26" s="212" t="s">
        <v>197</v>
      </c>
      <c r="G26" s="212">
        <v>919387</v>
      </c>
      <c r="H26" s="348"/>
      <c r="I26" s="211"/>
      <c r="J26" s="348"/>
      <c r="K26" s="349"/>
      <c r="L26" s="212"/>
      <c r="M26" s="212"/>
      <c r="N26" s="212"/>
      <c r="O26" s="140"/>
    </row>
    <row r="27" spans="2:15" ht="15" customHeight="1">
      <c r="B27" s="212" t="s">
        <v>164</v>
      </c>
      <c r="C27" s="213">
        <v>44312</v>
      </c>
      <c r="D27" s="212">
        <v>1201</v>
      </c>
      <c r="E27" s="212" t="s">
        <v>10</v>
      </c>
      <c r="F27" s="212" t="s">
        <v>198</v>
      </c>
      <c r="G27" s="212">
        <v>969203</v>
      </c>
      <c r="H27" s="348"/>
      <c r="I27" s="211">
        <v>265.65499999999997</v>
      </c>
      <c r="J27" s="348"/>
      <c r="K27" s="349"/>
      <c r="L27" s="212"/>
      <c r="M27" s="212"/>
      <c r="N27" s="212"/>
      <c r="O27" s="140"/>
    </row>
    <row r="28" spans="2:15" ht="15" customHeight="1">
      <c r="B28" s="212" t="s">
        <v>164</v>
      </c>
      <c r="C28" s="213">
        <v>44312</v>
      </c>
      <c r="D28" s="212">
        <v>1201</v>
      </c>
      <c r="E28" s="212" t="s">
        <v>10</v>
      </c>
      <c r="F28" s="212" t="s">
        <v>199</v>
      </c>
      <c r="G28" s="212">
        <v>968831</v>
      </c>
      <c r="H28" s="348"/>
      <c r="I28" s="211">
        <v>67.464999999999989</v>
      </c>
      <c r="J28" s="348"/>
      <c r="K28" s="349"/>
      <c r="L28" s="212"/>
      <c r="M28" s="212"/>
      <c r="N28" s="212"/>
      <c r="O28" s="140"/>
    </row>
    <row r="29" spans="2:15" ht="15" customHeight="1">
      <c r="B29" s="212" t="s">
        <v>164</v>
      </c>
      <c r="C29" s="213">
        <v>44312</v>
      </c>
      <c r="D29" s="212">
        <v>1201</v>
      </c>
      <c r="E29" s="212" t="s">
        <v>10</v>
      </c>
      <c r="F29" s="212" t="s">
        <v>200</v>
      </c>
      <c r="G29" s="212">
        <v>966479</v>
      </c>
      <c r="H29" s="348"/>
      <c r="I29" s="211">
        <v>329.77499999999998</v>
      </c>
      <c r="J29" s="348"/>
      <c r="K29" s="349"/>
      <c r="L29" s="212"/>
      <c r="M29" s="212"/>
      <c r="N29" s="212"/>
      <c r="O29" s="140"/>
    </row>
    <row r="30" spans="2:15" ht="15" customHeight="1">
      <c r="B30" s="212" t="s">
        <v>164</v>
      </c>
      <c r="C30" s="213">
        <v>44312</v>
      </c>
      <c r="D30" s="212">
        <v>1201</v>
      </c>
      <c r="E30" s="212" t="s">
        <v>10</v>
      </c>
      <c r="F30" s="212" t="s">
        <v>201</v>
      </c>
      <c r="G30" s="212">
        <v>966548</v>
      </c>
      <c r="H30" s="348"/>
      <c r="I30" s="211">
        <v>400.85199999999992</v>
      </c>
      <c r="J30" s="348"/>
      <c r="K30" s="349"/>
      <c r="L30" s="212"/>
      <c r="M30" s="212"/>
      <c r="N30" s="212"/>
      <c r="O30" s="140"/>
    </row>
    <row r="31" spans="2:15" ht="15" customHeight="1">
      <c r="B31" s="212" t="s">
        <v>164</v>
      </c>
      <c r="C31" s="213">
        <v>44312</v>
      </c>
      <c r="D31" s="212">
        <v>1201</v>
      </c>
      <c r="E31" s="212" t="s">
        <v>10</v>
      </c>
      <c r="F31" s="212" t="s">
        <v>202</v>
      </c>
      <c r="G31" s="212">
        <v>966516</v>
      </c>
      <c r="H31" s="345"/>
      <c r="I31" s="211">
        <v>153.82999999999998</v>
      </c>
      <c r="J31" s="345"/>
      <c r="K31" s="347"/>
      <c r="L31" s="212"/>
      <c r="M31" s="212"/>
      <c r="N31" s="212"/>
      <c r="O31" s="140"/>
    </row>
    <row r="32" spans="2:15" ht="15" customHeight="1">
      <c r="B32" s="212" t="s">
        <v>164</v>
      </c>
      <c r="C32" s="213">
        <v>44312</v>
      </c>
      <c r="D32" s="212">
        <v>1204</v>
      </c>
      <c r="E32" s="212" t="s">
        <v>12</v>
      </c>
      <c r="F32" s="212" t="s">
        <v>161</v>
      </c>
      <c r="G32" s="212">
        <v>965236</v>
      </c>
      <c r="H32" s="350">
        <v>11000</v>
      </c>
      <c r="I32" s="211">
        <v>1135.671</v>
      </c>
      <c r="J32" s="350">
        <f>H32-(SUM(I32:I46))</f>
        <v>960.90999999999804</v>
      </c>
      <c r="K32" s="351">
        <f>(SUM(I32:I46))/H32</f>
        <v>0.91264454545454565</v>
      </c>
      <c r="L32" s="212"/>
      <c r="M32" s="212"/>
      <c r="N32" s="212"/>
      <c r="O32" s="212"/>
    </row>
    <row r="33" spans="2:15" ht="15" customHeight="1">
      <c r="B33" s="212" t="s">
        <v>164</v>
      </c>
      <c r="C33" s="213">
        <v>44312</v>
      </c>
      <c r="D33" s="212">
        <v>1204</v>
      </c>
      <c r="E33" s="212" t="s">
        <v>12</v>
      </c>
      <c r="F33" s="212" t="s">
        <v>206</v>
      </c>
      <c r="G33" s="212">
        <v>901588</v>
      </c>
      <c r="H33" s="348"/>
      <c r="I33" s="211">
        <v>1210.18</v>
      </c>
      <c r="J33" s="348"/>
      <c r="K33" s="349"/>
      <c r="L33" s="212"/>
      <c r="M33" s="212"/>
      <c r="N33" s="212"/>
      <c r="O33" s="212"/>
    </row>
    <row r="34" spans="2:15" ht="15" customHeight="1">
      <c r="B34" s="212" t="s">
        <v>164</v>
      </c>
      <c r="C34" s="213">
        <v>44312</v>
      </c>
      <c r="D34" s="212">
        <v>1204</v>
      </c>
      <c r="E34" s="212" t="s">
        <v>12</v>
      </c>
      <c r="F34" s="212" t="s">
        <v>296</v>
      </c>
      <c r="G34" s="212">
        <v>966397</v>
      </c>
      <c r="H34" s="348"/>
      <c r="I34" s="211">
        <v>368.41300000000001</v>
      </c>
      <c r="J34" s="348"/>
      <c r="K34" s="349"/>
      <c r="L34" s="212"/>
      <c r="M34" s="212"/>
      <c r="N34" s="212"/>
      <c r="O34" s="212"/>
    </row>
    <row r="35" spans="2:15" ht="15" customHeight="1">
      <c r="B35" s="212" t="s">
        <v>164</v>
      </c>
      <c r="C35" s="213">
        <v>44312</v>
      </c>
      <c r="D35" s="212">
        <v>1204</v>
      </c>
      <c r="E35" s="212" t="s">
        <v>12</v>
      </c>
      <c r="F35" s="212" t="s">
        <v>163</v>
      </c>
      <c r="G35" s="212">
        <v>964933</v>
      </c>
      <c r="H35" s="348"/>
      <c r="I35" s="211">
        <v>675.851</v>
      </c>
      <c r="J35" s="348"/>
      <c r="K35" s="349"/>
      <c r="L35" s="212"/>
      <c r="M35" s="212"/>
      <c r="N35" s="212"/>
      <c r="O35" s="140"/>
    </row>
    <row r="36" spans="2:15" ht="15" customHeight="1">
      <c r="B36" s="212" t="s">
        <v>164</v>
      </c>
      <c r="C36" s="213">
        <v>44312</v>
      </c>
      <c r="D36" s="212">
        <v>1204</v>
      </c>
      <c r="E36" s="212" t="s">
        <v>12</v>
      </c>
      <c r="F36" s="217" t="s">
        <v>297</v>
      </c>
      <c r="G36" s="217">
        <v>960563</v>
      </c>
      <c r="H36" s="348"/>
      <c r="I36" s="211">
        <v>1379.1579999999999</v>
      </c>
      <c r="J36" s="348"/>
      <c r="K36" s="349"/>
      <c r="L36" s="212"/>
      <c r="M36" s="212"/>
      <c r="N36" s="212"/>
      <c r="O36" s="212"/>
    </row>
    <row r="37" spans="2:15" ht="15" customHeight="1">
      <c r="B37" s="212" t="s">
        <v>164</v>
      </c>
      <c r="C37" s="213">
        <v>44312</v>
      </c>
      <c r="D37" s="212">
        <v>1204</v>
      </c>
      <c r="E37" s="212" t="s">
        <v>12</v>
      </c>
      <c r="F37" s="217" t="s">
        <v>207</v>
      </c>
      <c r="G37" s="217">
        <v>960673</v>
      </c>
      <c r="H37" s="348"/>
      <c r="I37" s="211">
        <v>577.14300000000003</v>
      </c>
      <c r="J37" s="348"/>
      <c r="K37" s="349"/>
      <c r="L37" s="212"/>
      <c r="M37" s="212"/>
      <c r="N37" s="212"/>
      <c r="O37" s="214"/>
    </row>
    <row r="38" spans="2:15" ht="15" customHeight="1">
      <c r="B38" s="212" t="s">
        <v>164</v>
      </c>
      <c r="C38" s="213">
        <v>44312</v>
      </c>
      <c r="D38" s="212">
        <v>1204</v>
      </c>
      <c r="E38" s="212" t="s">
        <v>12</v>
      </c>
      <c r="F38" s="217" t="s">
        <v>208</v>
      </c>
      <c r="G38" s="217">
        <v>923266</v>
      </c>
      <c r="H38" s="348"/>
      <c r="I38" s="211">
        <v>837.34400000000005</v>
      </c>
      <c r="J38" s="348"/>
      <c r="K38" s="349"/>
      <c r="L38" s="212"/>
      <c r="M38" s="212"/>
      <c r="N38" s="212"/>
      <c r="O38" s="214"/>
    </row>
    <row r="39" spans="2:15" ht="15" customHeight="1">
      <c r="B39" s="212" t="s">
        <v>164</v>
      </c>
      <c r="C39" s="213">
        <v>44312</v>
      </c>
      <c r="D39" s="212">
        <v>1204</v>
      </c>
      <c r="E39" s="212" t="s">
        <v>12</v>
      </c>
      <c r="F39" s="217" t="s">
        <v>209</v>
      </c>
      <c r="G39" s="217">
        <v>957989</v>
      </c>
      <c r="H39" s="348"/>
      <c r="I39" s="211">
        <v>923.63599999999997</v>
      </c>
      <c r="J39" s="348"/>
      <c r="K39" s="349"/>
      <c r="L39" s="212"/>
      <c r="M39" s="212"/>
      <c r="N39" s="212"/>
      <c r="O39" s="214"/>
    </row>
    <row r="40" spans="2:15" ht="15" customHeight="1">
      <c r="B40" s="212" t="s">
        <v>164</v>
      </c>
      <c r="C40" s="213">
        <v>44312</v>
      </c>
      <c r="D40" s="212">
        <v>1204</v>
      </c>
      <c r="E40" s="212" t="s">
        <v>12</v>
      </c>
      <c r="F40" s="217" t="s">
        <v>210</v>
      </c>
      <c r="G40" s="217">
        <v>966707</v>
      </c>
      <c r="H40" s="348"/>
      <c r="I40" s="211">
        <v>526.755</v>
      </c>
      <c r="J40" s="348"/>
      <c r="K40" s="349"/>
      <c r="L40" s="212"/>
      <c r="M40" s="212"/>
      <c r="N40" s="212"/>
      <c r="O40" s="214"/>
    </row>
    <row r="41" spans="2:15" ht="15" customHeight="1">
      <c r="B41" s="212" t="s">
        <v>164</v>
      </c>
      <c r="C41" s="213">
        <v>44312</v>
      </c>
      <c r="D41" s="212">
        <v>1204</v>
      </c>
      <c r="E41" s="212" t="s">
        <v>12</v>
      </c>
      <c r="F41" s="217" t="s">
        <v>298</v>
      </c>
      <c r="G41" s="217">
        <v>958708</v>
      </c>
      <c r="H41" s="348"/>
      <c r="I41" s="211">
        <v>29.6</v>
      </c>
      <c r="J41" s="348"/>
      <c r="K41" s="349"/>
      <c r="L41" s="212"/>
      <c r="M41" s="212"/>
      <c r="N41" s="212"/>
      <c r="O41" s="214"/>
    </row>
    <row r="42" spans="2:15" ht="15" customHeight="1">
      <c r="B42" s="212" t="s">
        <v>164</v>
      </c>
      <c r="C42" s="213">
        <v>44312</v>
      </c>
      <c r="D42" s="212">
        <v>1204</v>
      </c>
      <c r="E42" s="212" t="s">
        <v>12</v>
      </c>
      <c r="F42" s="217" t="s">
        <v>211</v>
      </c>
      <c r="G42" s="217">
        <v>953023</v>
      </c>
      <c r="H42" s="348"/>
      <c r="I42" s="211">
        <v>289.08600000000001</v>
      </c>
      <c r="J42" s="348"/>
      <c r="K42" s="349"/>
      <c r="L42" s="212"/>
      <c r="M42" s="212"/>
      <c r="N42" s="212"/>
      <c r="O42" s="214"/>
    </row>
    <row r="43" spans="2:15" ht="15" customHeight="1">
      <c r="B43" s="212" t="s">
        <v>164</v>
      </c>
      <c r="C43" s="213">
        <v>44312</v>
      </c>
      <c r="D43" s="212">
        <v>1204</v>
      </c>
      <c r="E43" s="212" t="s">
        <v>12</v>
      </c>
      <c r="F43" s="217" t="s">
        <v>299</v>
      </c>
      <c r="G43" s="217">
        <v>923167</v>
      </c>
      <c r="H43" s="348"/>
      <c r="I43" s="211">
        <v>322.392</v>
      </c>
      <c r="J43" s="348"/>
      <c r="K43" s="349"/>
      <c r="L43" s="212"/>
      <c r="M43" s="212"/>
      <c r="N43" s="212"/>
      <c r="O43" s="214"/>
    </row>
    <row r="44" spans="2:15" ht="15" customHeight="1">
      <c r="B44" s="212" t="s">
        <v>164</v>
      </c>
      <c r="C44" s="213">
        <v>44312</v>
      </c>
      <c r="D44" s="212">
        <v>1204</v>
      </c>
      <c r="E44" s="212" t="s">
        <v>12</v>
      </c>
      <c r="F44" s="217" t="s">
        <v>212</v>
      </c>
      <c r="G44" s="217">
        <v>956427</v>
      </c>
      <c r="H44" s="348"/>
      <c r="I44" s="211">
        <v>805.12699999999995</v>
      </c>
      <c r="J44" s="348"/>
      <c r="K44" s="349"/>
      <c r="L44" s="212"/>
      <c r="M44" s="212"/>
      <c r="N44" s="212"/>
      <c r="O44" s="214"/>
    </row>
    <row r="45" spans="2:15" ht="15" customHeight="1">
      <c r="B45" s="212" t="s">
        <v>164</v>
      </c>
      <c r="C45" s="213">
        <v>44312</v>
      </c>
      <c r="D45" s="212">
        <v>1204</v>
      </c>
      <c r="E45" s="212" t="s">
        <v>12</v>
      </c>
      <c r="F45" s="217" t="s">
        <v>213</v>
      </c>
      <c r="G45" s="217">
        <v>950875</v>
      </c>
      <c r="H45" s="348"/>
      <c r="I45" s="211">
        <v>879.48400000000004</v>
      </c>
      <c r="J45" s="348"/>
      <c r="K45" s="349"/>
      <c r="L45" s="212"/>
      <c r="M45" s="212"/>
      <c r="N45" s="212"/>
      <c r="O45" s="214"/>
    </row>
    <row r="46" spans="2:15" ht="15" customHeight="1">
      <c r="B46" s="212" t="s">
        <v>164</v>
      </c>
      <c r="C46" s="213">
        <v>44312</v>
      </c>
      <c r="D46" s="212">
        <v>1204</v>
      </c>
      <c r="E46" s="212" t="s">
        <v>12</v>
      </c>
      <c r="F46" s="217" t="s">
        <v>302</v>
      </c>
      <c r="G46" s="217">
        <v>968871</v>
      </c>
      <c r="H46" s="345"/>
      <c r="I46" s="211">
        <v>79.25</v>
      </c>
      <c r="J46" s="345"/>
      <c r="K46" s="347"/>
      <c r="L46" s="212"/>
      <c r="M46" s="212"/>
      <c r="N46" s="212"/>
      <c r="O46" s="214"/>
    </row>
    <row r="47" spans="2:15" ht="15" customHeight="1">
      <c r="B47" s="212" t="s">
        <v>164</v>
      </c>
      <c r="C47" s="213">
        <v>44313</v>
      </c>
      <c r="D47" s="212">
        <v>1239</v>
      </c>
      <c r="E47" s="212"/>
      <c r="F47" s="217" t="s">
        <v>303</v>
      </c>
      <c r="G47" s="217">
        <v>697585</v>
      </c>
      <c r="H47" s="350">
        <v>70000</v>
      </c>
      <c r="I47" s="211"/>
      <c r="J47" s="350">
        <f>H47-(SUM(I47:I90))</f>
        <v>51491.64</v>
      </c>
      <c r="K47" s="351">
        <f>(SUM(I47:I90))/H47</f>
        <v>0.26440514285714284</v>
      </c>
      <c r="L47" s="212"/>
      <c r="M47" s="212"/>
      <c r="N47" s="212"/>
      <c r="O47" s="214"/>
    </row>
    <row r="48" spans="2:15" ht="15" customHeight="1">
      <c r="B48" s="212" t="s">
        <v>164</v>
      </c>
      <c r="C48" s="213">
        <v>44313</v>
      </c>
      <c r="D48" s="212">
        <v>1239</v>
      </c>
      <c r="E48" s="212"/>
      <c r="F48" s="212" t="s">
        <v>227</v>
      </c>
      <c r="G48" s="212">
        <v>965747</v>
      </c>
      <c r="H48" s="348"/>
      <c r="I48" s="211">
        <v>376.97399999999999</v>
      </c>
      <c r="J48" s="348"/>
      <c r="K48" s="349"/>
      <c r="L48" s="212"/>
      <c r="M48" s="212"/>
      <c r="N48" s="212"/>
      <c r="O48" s="214"/>
    </row>
    <row r="49" spans="2:15" ht="15" customHeight="1">
      <c r="B49" s="212" t="s">
        <v>164</v>
      </c>
      <c r="C49" s="213">
        <v>44313</v>
      </c>
      <c r="D49" s="212">
        <v>1239</v>
      </c>
      <c r="E49" s="212"/>
      <c r="F49" s="212" t="s">
        <v>228</v>
      </c>
      <c r="G49" s="212">
        <v>913587</v>
      </c>
      <c r="H49" s="348"/>
      <c r="I49" s="211"/>
      <c r="J49" s="348"/>
      <c r="K49" s="349"/>
      <c r="L49" s="212"/>
      <c r="M49" s="212"/>
      <c r="N49" s="212"/>
      <c r="O49" s="214"/>
    </row>
    <row r="50" spans="2:15" ht="15" customHeight="1">
      <c r="B50" s="212" t="s">
        <v>164</v>
      </c>
      <c r="C50" s="213">
        <v>44313</v>
      </c>
      <c r="D50" s="212">
        <v>1239</v>
      </c>
      <c r="E50" s="212"/>
      <c r="F50" s="212" t="s">
        <v>229</v>
      </c>
      <c r="G50" s="212">
        <v>956794</v>
      </c>
      <c r="H50" s="348"/>
      <c r="I50" s="211">
        <v>980.77200000000005</v>
      </c>
      <c r="J50" s="348"/>
      <c r="K50" s="349"/>
      <c r="L50" s="212"/>
      <c r="M50" s="212"/>
      <c r="N50" s="212"/>
      <c r="O50" s="214"/>
    </row>
    <row r="51" spans="2:15" ht="15" customHeight="1">
      <c r="B51" s="212" t="s">
        <v>164</v>
      </c>
      <c r="C51" s="213">
        <v>44313</v>
      </c>
      <c r="D51" s="212">
        <v>1239</v>
      </c>
      <c r="E51" s="212"/>
      <c r="F51" s="212" t="s">
        <v>304</v>
      </c>
      <c r="G51" s="212">
        <v>913594</v>
      </c>
      <c r="H51" s="348"/>
      <c r="I51" s="211">
        <v>442.053</v>
      </c>
      <c r="J51" s="348"/>
      <c r="K51" s="349"/>
      <c r="L51" s="212"/>
      <c r="M51" s="212"/>
      <c r="N51" s="212"/>
      <c r="O51" s="214"/>
    </row>
    <row r="52" spans="2:15" ht="15" customHeight="1">
      <c r="B52" s="212" t="s">
        <v>164</v>
      </c>
      <c r="C52" s="213">
        <v>44313</v>
      </c>
      <c r="D52" s="212">
        <v>1239</v>
      </c>
      <c r="E52" s="212"/>
      <c r="F52" s="212" t="s">
        <v>219</v>
      </c>
      <c r="G52" s="212">
        <v>968274</v>
      </c>
      <c r="H52" s="348"/>
      <c r="I52" s="211">
        <v>480.07499999999999</v>
      </c>
      <c r="J52" s="348"/>
      <c r="K52" s="349"/>
      <c r="L52" s="212"/>
      <c r="M52" s="212"/>
      <c r="N52" s="212"/>
      <c r="O52" s="214"/>
    </row>
    <row r="53" spans="2:15" ht="15" customHeight="1">
      <c r="B53" s="212" t="s">
        <v>164</v>
      </c>
      <c r="C53" s="213">
        <v>44313</v>
      </c>
      <c r="D53" s="212">
        <v>1239</v>
      </c>
      <c r="E53" s="212"/>
      <c r="F53" s="212" t="s">
        <v>231</v>
      </c>
      <c r="G53" s="212">
        <v>963544</v>
      </c>
      <c r="H53" s="348"/>
      <c r="I53" s="211"/>
      <c r="J53" s="348"/>
      <c r="K53" s="349"/>
      <c r="L53" s="212"/>
      <c r="M53" s="212"/>
      <c r="N53" s="212"/>
      <c r="O53" s="212"/>
    </row>
    <row r="54" spans="2:15" ht="15" customHeight="1">
      <c r="B54" s="212" t="s">
        <v>164</v>
      </c>
      <c r="C54" s="213">
        <v>44313</v>
      </c>
      <c r="D54" s="212">
        <v>1239</v>
      </c>
      <c r="E54" s="212"/>
      <c r="F54" s="212" t="s">
        <v>232</v>
      </c>
      <c r="G54" s="212">
        <v>963409</v>
      </c>
      <c r="H54" s="348"/>
      <c r="I54" s="211"/>
      <c r="J54" s="348"/>
      <c r="K54" s="349"/>
      <c r="L54" s="212"/>
      <c r="M54" s="212"/>
      <c r="N54" s="212"/>
      <c r="O54" s="212"/>
    </row>
    <row r="55" spans="2:15" ht="15" customHeight="1">
      <c r="B55" s="212" t="s">
        <v>164</v>
      </c>
      <c r="C55" s="213">
        <v>44313</v>
      </c>
      <c r="D55" s="212">
        <v>1239</v>
      </c>
      <c r="E55" s="212"/>
      <c r="F55" s="212" t="s">
        <v>233</v>
      </c>
      <c r="G55" s="212">
        <v>966363</v>
      </c>
      <c r="H55" s="348"/>
      <c r="I55" s="211">
        <v>546.24800000000005</v>
      </c>
      <c r="J55" s="348"/>
      <c r="K55" s="349"/>
      <c r="L55" s="212"/>
      <c r="M55" s="212"/>
      <c r="N55" s="212"/>
      <c r="O55" s="212"/>
    </row>
    <row r="56" spans="2:15" ht="15" customHeight="1">
      <c r="B56" s="212" t="s">
        <v>164</v>
      </c>
      <c r="C56" s="213">
        <v>44313</v>
      </c>
      <c r="D56" s="212">
        <v>1239</v>
      </c>
      <c r="E56" s="270"/>
      <c r="F56" s="272" t="s">
        <v>325</v>
      </c>
      <c r="G56" s="273">
        <v>697526</v>
      </c>
      <c r="H56" s="348"/>
      <c r="I56" s="271">
        <v>345.90499999999997</v>
      </c>
      <c r="J56" s="348"/>
      <c r="K56" s="349"/>
      <c r="L56" s="270"/>
      <c r="M56" s="270"/>
      <c r="N56" s="270"/>
      <c r="O56" s="270"/>
    </row>
    <row r="57" spans="2:15" ht="15" customHeight="1">
      <c r="B57" s="212" t="s">
        <v>164</v>
      </c>
      <c r="C57" s="213">
        <v>44313</v>
      </c>
      <c r="D57" s="212">
        <v>1239</v>
      </c>
      <c r="E57" s="270"/>
      <c r="F57" s="272" t="s">
        <v>326</v>
      </c>
      <c r="G57" s="273">
        <v>697783</v>
      </c>
      <c r="H57" s="348"/>
      <c r="I57" s="271"/>
      <c r="J57" s="348"/>
      <c r="K57" s="349"/>
      <c r="L57" s="270"/>
      <c r="M57" s="270"/>
      <c r="N57" s="270"/>
      <c r="O57" s="270"/>
    </row>
    <row r="58" spans="2:15" ht="15" customHeight="1">
      <c r="B58" s="212" t="s">
        <v>164</v>
      </c>
      <c r="C58" s="213">
        <v>44313</v>
      </c>
      <c r="D58" s="212">
        <v>1239</v>
      </c>
      <c r="E58" s="212"/>
      <c r="F58" s="212" t="s">
        <v>234</v>
      </c>
      <c r="G58" s="212">
        <v>965738</v>
      </c>
      <c r="H58" s="348"/>
      <c r="I58" s="211">
        <v>431.13499999999999</v>
      </c>
      <c r="J58" s="348"/>
      <c r="K58" s="349"/>
      <c r="L58" s="212"/>
      <c r="M58" s="212"/>
      <c r="N58" s="212"/>
      <c r="O58" s="212"/>
    </row>
    <row r="59" spans="2:15" ht="15" customHeight="1">
      <c r="B59" s="212" t="s">
        <v>164</v>
      </c>
      <c r="C59" s="213">
        <v>44313</v>
      </c>
      <c r="D59" s="212">
        <v>1239</v>
      </c>
      <c r="E59" s="212"/>
      <c r="F59" s="212" t="s">
        <v>305</v>
      </c>
      <c r="G59" s="212">
        <v>955856</v>
      </c>
      <c r="H59" s="348"/>
      <c r="I59" s="211">
        <v>266.99</v>
      </c>
      <c r="J59" s="348"/>
      <c r="K59" s="349"/>
      <c r="L59" s="212"/>
      <c r="M59" s="212"/>
      <c r="N59" s="212"/>
      <c r="O59" s="212"/>
    </row>
    <row r="60" spans="2:15" ht="15" customHeight="1">
      <c r="B60" s="212" t="s">
        <v>164</v>
      </c>
      <c r="C60" s="213">
        <v>44313</v>
      </c>
      <c r="D60" s="212">
        <v>1239</v>
      </c>
      <c r="E60" s="212"/>
      <c r="F60" s="212" t="s">
        <v>306</v>
      </c>
      <c r="G60" s="212">
        <v>969249</v>
      </c>
      <c r="H60" s="348"/>
      <c r="I60" s="211">
        <v>214.49199999999999</v>
      </c>
      <c r="J60" s="348"/>
      <c r="K60" s="349"/>
      <c r="L60" s="212"/>
      <c r="M60" s="212"/>
      <c r="N60" s="212"/>
      <c r="O60" s="212"/>
    </row>
    <row r="61" spans="2:15" ht="15" customHeight="1">
      <c r="B61" s="212" t="s">
        <v>164</v>
      </c>
      <c r="C61" s="213">
        <v>44313</v>
      </c>
      <c r="D61" s="212">
        <v>1239</v>
      </c>
      <c r="E61" s="212" t="s">
        <v>174</v>
      </c>
      <c r="F61" s="212" t="s">
        <v>225</v>
      </c>
      <c r="G61" s="212">
        <v>969313</v>
      </c>
      <c r="H61" s="348"/>
      <c r="I61" s="211">
        <v>258.22500000000002</v>
      </c>
      <c r="J61" s="348"/>
      <c r="K61" s="349"/>
      <c r="L61" s="212"/>
      <c r="M61" s="212"/>
      <c r="N61" s="212"/>
      <c r="O61" s="212"/>
    </row>
    <row r="62" spans="2:15" ht="15" customHeight="1">
      <c r="B62" s="212" t="s">
        <v>164</v>
      </c>
      <c r="C62" s="213">
        <v>44313</v>
      </c>
      <c r="D62" s="212">
        <v>1239</v>
      </c>
      <c r="E62" s="212"/>
      <c r="F62" s="212" t="s">
        <v>238</v>
      </c>
      <c r="G62" s="212">
        <v>964506</v>
      </c>
      <c r="H62" s="348"/>
      <c r="I62" s="211">
        <v>264.27499999999998</v>
      </c>
      <c r="J62" s="348"/>
      <c r="K62" s="349"/>
      <c r="L62" s="212"/>
      <c r="M62" s="212"/>
      <c r="N62" s="212"/>
      <c r="O62" s="212"/>
    </row>
    <row r="63" spans="2:15" ht="15" customHeight="1">
      <c r="B63" s="212" t="s">
        <v>164</v>
      </c>
      <c r="C63" s="213">
        <v>44313</v>
      </c>
      <c r="D63" s="212">
        <v>1239</v>
      </c>
      <c r="E63" s="212"/>
      <c r="F63" s="212" t="s">
        <v>307</v>
      </c>
      <c r="G63" s="212">
        <v>697542</v>
      </c>
      <c r="H63" s="348"/>
      <c r="I63" s="211">
        <v>42.07</v>
      </c>
      <c r="J63" s="348"/>
      <c r="K63" s="349"/>
      <c r="L63" s="212"/>
      <c r="M63" s="212"/>
      <c r="N63" s="212"/>
      <c r="O63" s="212"/>
    </row>
    <row r="64" spans="2:15" ht="15" customHeight="1">
      <c r="B64" s="212" t="s">
        <v>164</v>
      </c>
      <c r="C64" s="213">
        <v>44313</v>
      </c>
      <c r="D64" s="212">
        <v>1239</v>
      </c>
      <c r="E64" s="212"/>
      <c r="F64" s="212" t="s">
        <v>240</v>
      </c>
      <c r="G64" s="212">
        <v>967834</v>
      </c>
      <c r="H64" s="348"/>
      <c r="I64" s="211">
        <v>187.26400000000001</v>
      </c>
      <c r="J64" s="348"/>
      <c r="K64" s="349"/>
      <c r="L64" s="212"/>
      <c r="M64" s="212"/>
      <c r="N64" s="212"/>
      <c r="O64" s="212"/>
    </row>
    <row r="65" spans="2:15" ht="15" customHeight="1">
      <c r="B65" s="212" t="s">
        <v>164</v>
      </c>
      <c r="C65" s="213">
        <v>44313</v>
      </c>
      <c r="D65" s="212">
        <v>1239</v>
      </c>
      <c r="E65" s="212"/>
      <c r="F65" s="212" t="s">
        <v>241</v>
      </c>
      <c r="G65" s="212">
        <v>966916</v>
      </c>
      <c r="H65" s="348"/>
      <c r="I65" s="211">
        <v>482.75099999999998</v>
      </c>
      <c r="J65" s="348"/>
      <c r="K65" s="349"/>
      <c r="L65" s="212"/>
      <c r="M65" s="212"/>
      <c r="N65" s="212"/>
      <c r="O65" s="212"/>
    </row>
    <row r="66" spans="2:15" ht="15" customHeight="1">
      <c r="B66" s="212" t="s">
        <v>164</v>
      </c>
      <c r="C66" s="213">
        <v>44313</v>
      </c>
      <c r="D66" s="212">
        <v>1239</v>
      </c>
      <c r="E66" s="212"/>
      <c r="F66" s="212" t="s">
        <v>242</v>
      </c>
      <c r="G66" s="212">
        <v>956524</v>
      </c>
      <c r="H66" s="348"/>
      <c r="I66" s="211"/>
      <c r="J66" s="348"/>
      <c r="K66" s="349"/>
      <c r="L66" s="212"/>
      <c r="M66" s="212"/>
      <c r="N66" s="212"/>
      <c r="O66" s="212"/>
    </row>
    <row r="67" spans="2:15" ht="15" customHeight="1">
      <c r="B67" s="212" t="s">
        <v>164</v>
      </c>
      <c r="C67" s="213">
        <v>44313</v>
      </c>
      <c r="D67" s="212">
        <v>1239</v>
      </c>
      <c r="E67" s="212" t="s">
        <v>328</v>
      </c>
      <c r="F67" s="212" t="s">
        <v>217</v>
      </c>
      <c r="G67" s="212">
        <v>968447</v>
      </c>
      <c r="H67" s="348"/>
      <c r="I67" s="211">
        <v>338.81400000000002</v>
      </c>
      <c r="J67" s="348"/>
      <c r="K67" s="349"/>
      <c r="L67" s="212"/>
      <c r="M67" s="212"/>
      <c r="N67" s="212"/>
      <c r="O67" s="212"/>
    </row>
    <row r="68" spans="2:15" ht="15" customHeight="1">
      <c r="B68" s="212" t="s">
        <v>164</v>
      </c>
      <c r="C68" s="213">
        <v>44313</v>
      </c>
      <c r="D68" s="212">
        <v>1239</v>
      </c>
      <c r="E68" s="212"/>
      <c r="F68" s="212" t="s">
        <v>308</v>
      </c>
      <c r="G68" s="212">
        <v>697319</v>
      </c>
      <c r="H68" s="348"/>
      <c r="I68" s="211">
        <v>10.96</v>
      </c>
      <c r="J68" s="348"/>
      <c r="K68" s="349"/>
      <c r="L68" s="212"/>
      <c r="M68" s="212"/>
      <c r="N68" s="212"/>
      <c r="O68" s="212"/>
    </row>
    <row r="69" spans="2:15" ht="15" customHeight="1">
      <c r="B69" s="212" t="s">
        <v>164</v>
      </c>
      <c r="C69" s="213">
        <v>44313</v>
      </c>
      <c r="D69" s="212">
        <v>1239</v>
      </c>
      <c r="E69" s="212"/>
      <c r="F69" s="212" t="s">
        <v>243</v>
      </c>
      <c r="G69" s="212">
        <v>952279</v>
      </c>
      <c r="H69" s="348"/>
      <c r="I69" s="211">
        <v>1062.4849999999999</v>
      </c>
      <c r="J69" s="348"/>
      <c r="K69" s="349"/>
      <c r="L69" s="212"/>
      <c r="M69" s="212"/>
      <c r="N69" s="212"/>
      <c r="O69" s="212"/>
    </row>
    <row r="70" spans="2:15" ht="15" customHeight="1">
      <c r="B70" s="212" t="s">
        <v>164</v>
      </c>
      <c r="C70" s="213">
        <v>44313</v>
      </c>
      <c r="D70" s="212">
        <v>1239</v>
      </c>
      <c r="E70" s="212"/>
      <c r="F70" s="212" t="s">
        <v>244</v>
      </c>
      <c r="G70" s="212">
        <v>964906</v>
      </c>
      <c r="H70" s="348"/>
      <c r="I70" s="211">
        <v>181.55500000000001</v>
      </c>
      <c r="J70" s="348"/>
      <c r="K70" s="349"/>
      <c r="L70" s="212"/>
      <c r="M70" s="212"/>
      <c r="N70" s="212"/>
      <c r="O70" s="212"/>
    </row>
    <row r="71" spans="2:15" ht="15" customHeight="1">
      <c r="B71" s="212" t="s">
        <v>164</v>
      </c>
      <c r="C71" s="213">
        <v>44313</v>
      </c>
      <c r="D71" s="212">
        <v>1239</v>
      </c>
      <c r="E71" s="212"/>
      <c r="F71" s="212" t="s">
        <v>245</v>
      </c>
      <c r="G71" s="212">
        <v>961261</v>
      </c>
      <c r="H71" s="348"/>
      <c r="I71" s="211">
        <v>704.41899999999998</v>
      </c>
      <c r="J71" s="348"/>
      <c r="K71" s="349"/>
      <c r="L71" s="212"/>
      <c r="M71" s="212"/>
      <c r="N71" s="212"/>
      <c r="O71" s="140"/>
    </row>
    <row r="72" spans="2:15" ht="15" customHeight="1">
      <c r="B72" s="212" t="s">
        <v>164</v>
      </c>
      <c r="C72" s="213">
        <v>44313</v>
      </c>
      <c r="D72" s="212">
        <v>1239</v>
      </c>
      <c r="E72" s="212"/>
      <c r="F72" s="212" t="s">
        <v>246</v>
      </c>
      <c r="G72" s="212">
        <v>697514</v>
      </c>
      <c r="H72" s="348"/>
      <c r="I72" s="211">
        <v>1082.2619999999999</v>
      </c>
      <c r="J72" s="348"/>
      <c r="K72" s="349"/>
      <c r="L72" s="212"/>
      <c r="M72" s="212"/>
      <c r="N72" s="212"/>
      <c r="O72" s="212"/>
    </row>
    <row r="73" spans="2:15" ht="15" customHeight="1">
      <c r="B73" s="212" t="s">
        <v>164</v>
      </c>
      <c r="C73" s="213">
        <v>44313</v>
      </c>
      <c r="D73" s="212">
        <v>1239</v>
      </c>
      <c r="E73" s="212"/>
      <c r="F73" s="212" t="s">
        <v>247</v>
      </c>
      <c r="G73" s="212">
        <v>966010</v>
      </c>
      <c r="H73" s="348"/>
      <c r="I73" s="211">
        <v>845.28499999999997</v>
      </c>
      <c r="J73" s="348"/>
      <c r="K73" s="349"/>
      <c r="L73" s="212"/>
      <c r="M73" s="212"/>
      <c r="N73" s="212"/>
      <c r="O73" s="212"/>
    </row>
    <row r="74" spans="2:15" ht="15" customHeight="1">
      <c r="B74" s="212" t="s">
        <v>164</v>
      </c>
      <c r="C74" s="213">
        <v>44313</v>
      </c>
      <c r="D74" s="212">
        <v>1239</v>
      </c>
      <c r="E74" s="212"/>
      <c r="F74" s="212" t="s">
        <v>248</v>
      </c>
      <c r="G74" s="212">
        <v>913564</v>
      </c>
      <c r="H74" s="348"/>
      <c r="I74" s="211">
        <v>48.97</v>
      </c>
      <c r="J74" s="348"/>
      <c r="K74" s="349"/>
      <c r="L74" s="212"/>
      <c r="M74" s="212"/>
      <c r="N74" s="212"/>
      <c r="O74" s="212"/>
    </row>
    <row r="75" spans="2:15" ht="15" customHeight="1">
      <c r="B75" s="212" t="s">
        <v>164</v>
      </c>
      <c r="C75" s="213">
        <v>44313</v>
      </c>
      <c r="D75" s="212">
        <v>1239</v>
      </c>
      <c r="E75" s="212"/>
      <c r="F75" s="212" t="s">
        <v>249</v>
      </c>
      <c r="G75" s="212">
        <v>968293</v>
      </c>
      <c r="H75" s="348"/>
      <c r="I75" s="211">
        <v>780.33500000000004</v>
      </c>
      <c r="J75" s="348"/>
      <c r="K75" s="349"/>
      <c r="L75" s="212"/>
      <c r="M75" s="212"/>
      <c r="N75" s="212"/>
      <c r="O75" s="212"/>
    </row>
    <row r="76" spans="2:15" ht="15" customHeight="1">
      <c r="B76" s="212" t="s">
        <v>164</v>
      </c>
      <c r="C76" s="213">
        <v>44313</v>
      </c>
      <c r="D76" s="212">
        <v>1239</v>
      </c>
      <c r="E76" s="212"/>
      <c r="F76" s="212" t="s">
        <v>250</v>
      </c>
      <c r="G76" s="212">
        <v>964503</v>
      </c>
      <c r="H76" s="348"/>
      <c r="I76" s="211">
        <v>564.92899999999997</v>
      </c>
      <c r="J76" s="348"/>
      <c r="K76" s="349"/>
      <c r="L76" s="212"/>
      <c r="M76" s="212"/>
      <c r="N76" s="212"/>
      <c r="O76" s="212"/>
    </row>
    <row r="77" spans="2:15" ht="15" customHeight="1">
      <c r="B77" s="212" t="s">
        <v>164</v>
      </c>
      <c r="C77" s="213">
        <v>44313</v>
      </c>
      <c r="D77" s="212">
        <v>1239</v>
      </c>
      <c r="E77" s="212"/>
      <c r="F77" s="212" t="s">
        <v>251</v>
      </c>
      <c r="G77" s="212">
        <v>913590</v>
      </c>
      <c r="H77" s="348"/>
      <c r="I77" s="211">
        <v>92.066999999999993</v>
      </c>
      <c r="J77" s="348"/>
      <c r="K77" s="349"/>
      <c r="L77" s="212"/>
      <c r="M77" s="212"/>
      <c r="N77" s="212"/>
      <c r="O77" s="212"/>
    </row>
    <row r="78" spans="2:15" ht="15" customHeight="1">
      <c r="B78" s="212" t="s">
        <v>164</v>
      </c>
      <c r="C78" s="213">
        <v>44313</v>
      </c>
      <c r="D78" s="212">
        <v>1239</v>
      </c>
      <c r="E78" s="212"/>
      <c r="F78" s="212" t="s">
        <v>252</v>
      </c>
      <c r="G78" s="212">
        <v>952277</v>
      </c>
      <c r="H78" s="348"/>
      <c r="I78" s="211">
        <v>463.38200000000001</v>
      </c>
      <c r="J78" s="348"/>
      <c r="K78" s="349"/>
      <c r="L78" s="212"/>
      <c r="M78" s="212"/>
      <c r="N78" s="212"/>
      <c r="O78" s="212"/>
    </row>
    <row r="79" spans="2:15" ht="15" customHeight="1">
      <c r="B79" s="212" t="s">
        <v>164</v>
      </c>
      <c r="C79" s="213">
        <v>44313</v>
      </c>
      <c r="D79" s="212">
        <v>1239</v>
      </c>
      <c r="E79" s="212"/>
      <c r="F79" s="212" t="s">
        <v>253</v>
      </c>
      <c r="G79" s="212">
        <v>914147</v>
      </c>
      <c r="H79" s="348"/>
      <c r="I79" s="211"/>
      <c r="J79" s="348"/>
      <c r="K79" s="349"/>
      <c r="L79" s="212"/>
      <c r="M79" s="212"/>
      <c r="N79" s="212"/>
      <c r="O79" s="212"/>
    </row>
    <row r="80" spans="2:15" ht="15" customHeight="1">
      <c r="B80" s="212" t="s">
        <v>164</v>
      </c>
      <c r="C80" s="213">
        <v>44313</v>
      </c>
      <c r="D80" s="212">
        <v>1239</v>
      </c>
      <c r="E80" s="212"/>
      <c r="F80" s="212" t="s">
        <v>254</v>
      </c>
      <c r="G80" s="212">
        <v>960140</v>
      </c>
      <c r="H80" s="348"/>
      <c r="I80" s="211">
        <v>1019.605</v>
      </c>
      <c r="J80" s="348"/>
      <c r="K80" s="349"/>
      <c r="L80" s="212"/>
      <c r="M80" s="212"/>
      <c r="N80" s="212"/>
      <c r="O80" s="212"/>
    </row>
    <row r="81" spans="2:15" ht="15" customHeight="1">
      <c r="B81" s="212" t="s">
        <v>164</v>
      </c>
      <c r="C81" s="213">
        <v>44313</v>
      </c>
      <c r="D81" s="212">
        <v>1239</v>
      </c>
      <c r="E81" s="212"/>
      <c r="F81" s="212" t="s">
        <v>255</v>
      </c>
      <c r="G81" s="212">
        <v>953852</v>
      </c>
      <c r="H81" s="348"/>
      <c r="I81" s="211">
        <v>107.47</v>
      </c>
      <c r="J81" s="348"/>
      <c r="K81" s="349"/>
      <c r="L81" s="212"/>
      <c r="M81" s="212"/>
      <c r="N81" s="212"/>
      <c r="O81" s="212"/>
    </row>
    <row r="82" spans="2:15" ht="15" customHeight="1">
      <c r="B82" s="212" t="s">
        <v>164</v>
      </c>
      <c r="C82" s="213">
        <v>44313</v>
      </c>
      <c r="D82" s="212">
        <v>1239</v>
      </c>
      <c r="E82" s="212"/>
      <c r="F82" s="212" t="s">
        <v>258</v>
      </c>
      <c r="G82" s="212">
        <v>914125</v>
      </c>
      <c r="H82" s="348"/>
      <c r="I82" s="211"/>
      <c r="J82" s="348"/>
      <c r="K82" s="349"/>
      <c r="L82" s="212"/>
      <c r="M82" s="212"/>
      <c r="N82" s="212"/>
      <c r="O82" s="212"/>
    </row>
    <row r="83" spans="2:15" ht="15" customHeight="1">
      <c r="B83" s="212" t="s">
        <v>164</v>
      </c>
      <c r="C83" s="213">
        <v>44313</v>
      </c>
      <c r="D83" s="212">
        <v>1239</v>
      </c>
      <c r="E83" s="212"/>
      <c r="F83" s="212" t="s">
        <v>259</v>
      </c>
      <c r="G83" s="212">
        <v>968795</v>
      </c>
      <c r="H83" s="348"/>
      <c r="I83" s="211"/>
      <c r="J83" s="348"/>
      <c r="K83" s="349"/>
      <c r="L83" s="212"/>
      <c r="M83" s="212"/>
      <c r="N83" s="212"/>
      <c r="O83" s="212"/>
    </row>
    <row r="84" spans="2:15" ht="15" customHeight="1">
      <c r="B84" s="212" t="s">
        <v>164</v>
      </c>
      <c r="C84" s="213">
        <v>44313</v>
      </c>
      <c r="D84" s="212">
        <v>1239</v>
      </c>
      <c r="E84" s="212"/>
      <c r="F84" s="212" t="s">
        <v>260</v>
      </c>
      <c r="G84" s="212">
        <v>968111</v>
      </c>
      <c r="H84" s="348"/>
      <c r="I84" s="211">
        <v>2281.2910000000002</v>
      </c>
      <c r="J84" s="348"/>
      <c r="K84" s="349"/>
      <c r="L84" s="212"/>
      <c r="M84" s="212"/>
      <c r="N84" s="212"/>
      <c r="O84" s="212"/>
    </row>
    <row r="85" spans="2:15" ht="15" customHeight="1">
      <c r="B85" s="212" t="s">
        <v>164</v>
      </c>
      <c r="C85" s="213">
        <v>44313</v>
      </c>
      <c r="D85" s="212">
        <v>1239</v>
      </c>
      <c r="E85" s="212"/>
      <c r="F85" s="212" t="s">
        <v>261</v>
      </c>
      <c r="G85" s="212">
        <v>963908</v>
      </c>
      <c r="H85" s="348"/>
      <c r="I85" s="211">
        <v>111.35</v>
      </c>
      <c r="J85" s="348"/>
      <c r="K85" s="349"/>
      <c r="L85" s="212"/>
      <c r="M85" s="212"/>
      <c r="N85" s="212"/>
      <c r="O85" s="212"/>
    </row>
    <row r="86" spans="2:15" ht="15" customHeight="1">
      <c r="B86" s="212" t="s">
        <v>164</v>
      </c>
      <c r="C86" s="213">
        <v>44313</v>
      </c>
      <c r="D86" s="212">
        <v>1239</v>
      </c>
      <c r="E86" s="212"/>
      <c r="F86" s="212" t="s">
        <v>262</v>
      </c>
      <c r="G86" s="212">
        <v>914124</v>
      </c>
      <c r="H86" s="348"/>
      <c r="I86" s="211"/>
      <c r="J86" s="348"/>
      <c r="K86" s="349"/>
      <c r="L86" s="212"/>
      <c r="M86" s="212"/>
      <c r="N86" s="212"/>
      <c r="O86" s="212"/>
    </row>
    <row r="87" spans="2:15" ht="15" customHeight="1">
      <c r="B87" s="212" t="s">
        <v>164</v>
      </c>
      <c r="C87" s="213">
        <v>44313</v>
      </c>
      <c r="D87" s="212">
        <v>1239</v>
      </c>
      <c r="E87" s="212"/>
      <c r="F87" s="212" t="s">
        <v>263</v>
      </c>
      <c r="G87" s="212">
        <v>914128</v>
      </c>
      <c r="H87" s="348"/>
      <c r="I87" s="211">
        <v>876.62</v>
      </c>
      <c r="J87" s="348"/>
      <c r="K87" s="349"/>
      <c r="L87" s="212"/>
      <c r="M87" s="212"/>
      <c r="N87" s="212"/>
      <c r="O87" s="212"/>
    </row>
    <row r="88" spans="2:15" ht="15" customHeight="1">
      <c r="B88" s="212" t="s">
        <v>164</v>
      </c>
      <c r="C88" s="213">
        <v>44313</v>
      </c>
      <c r="D88" s="212">
        <v>1239</v>
      </c>
      <c r="E88" s="212"/>
      <c r="F88" s="212" t="s">
        <v>264</v>
      </c>
      <c r="G88" s="212">
        <v>961059</v>
      </c>
      <c r="H88" s="348"/>
      <c r="I88" s="211">
        <v>1549.2249999999999</v>
      </c>
      <c r="J88" s="348"/>
      <c r="K88" s="349"/>
      <c r="L88" s="212"/>
      <c r="M88" s="212"/>
      <c r="N88" s="212"/>
      <c r="O88" s="212"/>
    </row>
    <row r="89" spans="2:15" ht="15" customHeight="1">
      <c r="B89" s="212" t="s">
        <v>164</v>
      </c>
      <c r="C89" s="213">
        <v>44313</v>
      </c>
      <c r="D89" s="212">
        <v>1239</v>
      </c>
      <c r="E89" s="212"/>
      <c r="F89" s="212" t="s">
        <v>266</v>
      </c>
      <c r="G89" s="212">
        <v>969314</v>
      </c>
      <c r="H89" s="348"/>
      <c r="I89" s="211">
        <v>812.27499999999998</v>
      </c>
      <c r="J89" s="348"/>
      <c r="K89" s="349"/>
      <c r="L89" s="212"/>
      <c r="M89" s="212"/>
      <c r="N89" s="212"/>
      <c r="O89" s="212"/>
    </row>
    <row r="90" spans="2:15" ht="15" customHeight="1">
      <c r="B90" s="212" t="s">
        <v>164</v>
      </c>
      <c r="C90" s="213">
        <v>44313</v>
      </c>
      <c r="D90" s="212">
        <v>1239</v>
      </c>
      <c r="E90" s="212"/>
      <c r="F90" s="212" t="s">
        <v>224</v>
      </c>
      <c r="G90" s="212">
        <v>969068</v>
      </c>
      <c r="H90" s="345"/>
      <c r="I90" s="211">
        <v>255.83199999999999</v>
      </c>
      <c r="J90" s="345"/>
      <c r="K90" s="347"/>
      <c r="L90" s="212"/>
      <c r="M90" s="212"/>
      <c r="N90" s="212"/>
      <c r="O90" s="212"/>
    </row>
    <row r="91" spans="2:15" ht="15" customHeight="1">
      <c r="B91" s="212" t="s">
        <v>164</v>
      </c>
      <c r="C91" s="213">
        <v>44316</v>
      </c>
      <c r="D91" s="212">
        <v>1286</v>
      </c>
      <c r="E91" s="212" t="s">
        <v>10</v>
      </c>
      <c r="F91" s="212" t="s">
        <v>183</v>
      </c>
      <c r="G91" s="212">
        <v>967226</v>
      </c>
      <c r="H91" s="350">
        <v>10000</v>
      </c>
      <c r="I91" s="211">
        <v>113.46000000000001</v>
      </c>
      <c r="J91" s="350">
        <f>H91-(SUM(I91:I102))</f>
        <v>8079.2920000000004</v>
      </c>
      <c r="K91" s="351">
        <f>(SUM(I91:I102))/H91</f>
        <v>0.19207079999999996</v>
      </c>
      <c r="L91" s="212"/>
      <c r="M91" s="212"/>
      <c r="N91" s="212"/>
      <c r="O91" s="212"/>
    </row>
    <row r="92" spans="2:15" ht="15" customHeight="1">
      <c r="B92" s="212" t="s">
        <v>164</v>
      </c>
      <c r="C92" s="213">
        <v>44316</v>
      </c>
      <c r="D92" s="212">
        <v>1286</v>
      </c>
      <c r="E92" s="212" t="s">
        <v>10</v>
      </c>
      <c r="F92" s="212" t="s">
        <v>184</v>
      </c>
      <c r="G92" s="212">
        <v>967476</v>
      </c>
      <c r="H92" s="348"/>
      <c r="I92" s="211"/>
      <c r="J92" s="348"/>
      <c r="K92" s="349"/>
      <c r="L92" s="212"/>
      <c r="M92" s="212"/>
      <c r="N92" s="212"/>
      <c r="O92" s="212"/>
    </row>
    <row r="93" spans="2:15" ht="15" customHeight="1">
      <c r="B93" s="212" t="s">
        <v>164</v>
      </c>
      <c r="C93" s="213">
        <v>44316</v>
      </c>
      <c r="D93" s="212">
        <v>1286</v>
      </c>
      <c r="E93" s="212" t="s">
        <v>10</v>
      </c>
      <c r="F93" s="212" t="s">
        <v>185</v>
      </c>
      <c r="G93" s="212">
        <v>961948</v>
      </c>
      <c r="H93" s="348"/>
      <c r="I93" s="211"/>
      <c r="J93" s="348"/>
      <c r="K93" s="349"/>
      <c r="L93" s="212"/>
      <c r="M93" s="212"/>
      <c r="N93" s="212"/>
      <c r="O93" s="212"/>
    </row>
    <row r="94" spans="2:15" ht="15" customHeight="1">
      <c r="B94" s="212" t="s">
        <v>164</v>
      </c>
      <c r="C94" s="213">
        <v>44316</v>
      </c>
      <c r="D94" s="212">
        <v>1286</v>
      </c>
      <c r="E94" s="212" t="s">
        <v>10</v>
      </c>
      <c r="F94" s="212" t="s">
        <v>186</v>
      </c>
      <c r="G94" s="212">
        <v>961805</v>
      </c>
      <c r="H94" s="348"/>
      <c r="I94" s="211">
        <v>421.43999999999994</v>
      </c>
      <c r="J94" s="348"/>
      <c r="K94" s="349"/>
      <c r="L94" s="212"/>
      <c r="M94" s="212"/>
      <c r="N94" s="212"/>
      <c r="O94" s="212"/>
    </row>
    <row r="95" spans="2:15" ht="15" customHeight="1">
      <c r="B95" s="212" t="s">
        <v>164</v>
      </c>
      <c r="C95" s="213">
        <v>44316</v>
      </c>
      <c r="D95" s="212">
        <v>1286</v>
      </c>
      <c r="E95" s="212" t="s">
        <v>10</v>
      </c>
      <c r="F95" s="212" t="s">
        <v>187</v>
      </c>
      <c r="G95" s="212">
        <v>968122</v>
      </c>
      <c r="H95" s="348"/>
      <c r="I95" s="211">
        <v>181.01499999999999</v>
      </c>
      <c r="J95" s="348"/>
      <c r="K95" s="349"/>
      <c r="L95" s="212"/>
      <c r="M95" s="212"/>
      <c r="N95" s="212"/>
      <c r="O95" s="212"/>
    </row>
    <row r="96" spans="2:15" ht="15" customHeight="1">
      <c r="B96" s="212" t="s">
        <v>164</v>
      </c>
      <c r="C96" s="213">
        <v>44316</v>
      </c>
      <c r="D96" s="212">
        <v>1286</v>
      </c>
      <c r="E96" s="212" t="s">
        <v>10</v>
      </c>
      <c r="F96" s="212" t="s">
        <v>188</v>
      </c>
      <c r="G96" s="212">
        <v>919376</v>
      </c>
      <c r="H96" s="348"/>
      <c r="I96" s="211"/>
      <c r="J96" s="348"/>
      <c r="K96" s="349"/>
      <c r="L96" s="212"/>
      <c r="M96" s="212"/>
      <c r="N96" s="212"/>
      <c r="O96" s="212"/>
    </row>
    <row r="97" spans="2:15" ht="15" customHeight="1">
      <c r="B97" s="212" t="s">
        <v>164</v>
      </c>
      <c r="C97" s="213">
        <v>44316</v>
      </c>
      <c r="D97" s="212">
        <v>1286</v>
      </c>
      <c r="E97" s="212" t="s">
        <v>10</v>
      </c>
      <c r="F97" s="212" t="s">
        <v>189</v>
      </c>
      <c r="G97" s="212">
        <v>958248</v>
      </c>
      <c r="H97" s="348"/>
      <c r="I97" s="211">
        <v>239.52999999999997</v>
      </c>
      <c r="J97" s="348"/>
      <c r="K97" s="349"/>
      <c r="L97" s="212"/>
      <c r="M97" s="212"/>
      <c r="N97" s="212"/>
      <c r="O97" s="212"/>
    </row>
    <row r="98" spans="2:15" ht="15" customHeight="1">
      <c r="B98" s="212" t="s">
        <v>164</v>
      </c>
      <c r="C98" s="213">
        <v>44316</v>
      </c>
      <c r="D98" s="212">
        <v>1286</v>
      </c>
      <c r="E98" s="212" t="s">
        <v>10</v>
      </c>
      <c r="F98" s="212" t="s">
        <v>190</v>
      </c>
      <c r="G98" s="212">
        <v>966135</v>
      </c>
      <c r="H98" s="348"/>
      <c r="I98" s="211">
        <v>221.505</v>
      </c>
      <c r="J98" s="348"/>
      <c r="K98" s="349"/>
      <c r="L98" s="212"/>
      <c r="M98" s="212"/>
      <c r="N98" s="212"/>
      <c r="O98" s="212"/>
    </row>
    <row r="99" spans="2:15" ht="15" customHeight="1">
      <c r="B99" s="212" t="s">
        <v>164</v>
      </c>
      <c r="C99" s="213">
        <v>44316</v>
      </c>
      <c r="D99" s="212">
        <v>1286</v>
      </c>
      <c r="E99" s="212" t="s">
        <v>10</v>
      </c>
      <c r="F99" s="212" t="s">
        <v>191</v>
      </c>
      <c r="G99" s="212">
        <v>969234</v>
      </c>
      <c r="H99" s="348"/>
      <c r="I99" s="211">
        <v>65.52</v>
      </c>
      <c r="J99" s="348"/>
      <c r="K99" s="349"/>
      <c r="L99" s="212"/>
      <c r="M99" s="212"/>
      <c r="N99" s="212"/>
      <c r="O99" s="212"/>
    </row>
    <row r="100" spans="2:15" ht="15" customHeight="1">
      <c r="B100" s="212" t="s">
        <v>164</v>
      </c>
      <c r="C100" s="213">
        <v>44316</v>
      </c>
      <c r="D100" s="212">
        <v>1286</v>
      </c>
      <c r="E100" s="212" t="s">
        <v>10</v>
      </c>
      <c r="F100" s="212" t="s">
        <v>193</v>
      </c>
      <c r="G100" s="212">
        <v>968156</v>
      </c>
      <c r="H100" s="348"/>
      <c r="I100" s="211">
        <v>300.86799999999994</v>
      </c>
      <c r="J100" s="348"/>
      <c r="K100" s="349"/>
      <c r="L100" s="212"/>
      <c r="M100" s="212"/>
      <c r="N100" s="212"/>
      <c r="O100" s="212"/>
    </row>
    <row r="101" spans="2:15" ht="15" customHeight="1">
      <c r="B101" s="212" t="s">
        <v>164</v>
      </c>
      <c r="C101" s="213">
        <v>44316</v>
      </c>
      <c r="D101" s="212">
        <v>1286</v>
      </c>
      <c r="E101" s="212" t="s">
        <v>10</v>
      </c>
      <c r="F101" s="212" t="s">
        <v>192</v>
      </c>
      <c r="G101" s="212">
        <v>968960</v>
      </c>
      <c r="H101" s="348"/>
      <c r="I101" s="211">
        <v>242.71499999999997</v>
      </c>
      <c r="J101" s="348"/>
      <c r="K101" s="349"/>
      <c r="L101" s="212"/>
      <c r="M101" s="212"/>
      <c r="N101" s="212"/>
      <c r="O101" s="212"/>
    </row>
    <row r="102" spans="2:15" ht="15" customHeight="1">
      <c r="B102" s="212" t="s">
        <v>164</v>
      </c>
      <c r="C102" s="213">
        <v>44316</v>
      </c>
      <c r="D102" s="212">
        <v>1286</v>
      </c>
      <c r="E102" s="212" t="s">
        <v>10</v>
      </c>
      <c r="F102" s="212" t="s">
        <v>319</v>
      </c>
      <c r="G102" s="212">
        <v>697302</v>
      </c>
      <c r="H102" s="345"/>
      <c r="I102" s="211">
        <v>134.655</v>
      </c>
      <c r="J102" s="345"/>
      <c r="K102" s="347"/>
      <c r="L102" s="212"/>
      <c r="M102" s="212"/>
      <c r="N102" s="212"/>
      <c r="O102" s="212"/>
    </row>
    <row r="103" spans="2:15" ht="15" customHeight="1">
      <c r="B103" s="212" t="s">
        <v>164</v>
      </c>
      <c r="C103" s="213">
        <v>44316</v>
      </c>
      <c r="D103" s="212">
        <v>1290</v>
      </c>
      <c r="E103" s="212" t="s">
        <v>12</v>
      </c>
      <c r="F103" s="212" t="s">
        <v>206</v>
      </c>
      <c r="G103" s="212">
        <v>901588</v>
      </c>
      <c r="H103" s="212"/>
      <c r="I103" s="211"/>
      <c r="J103" s="212"/>
      <c r="K103" s="140"/>
      <c r="L103" s="350">
        <v>170</v>
      </c>
      <c r="M103" s="212"/>
      <c r="N103" s="350">
        <f>L103-(SUM(M103:M111))</f>
        <v>170</v>
      </c>
      <c r="O103" s="351">
        <f>(SUM(M103:M111))/L103</f>
        <v>0</v>
      </c>
    </row>
    <row r="104" spans="2:15" ht="15" customHeight="1">
      <c r="B104" s="212" t="s">
        <v>164</v>
      </c>
      <c r="C104" s="213">
        <v>44316</v>
      </c>
      <c r="D104" s="212">
        <v>1290</v>
      </c>
      <c r="E104" s="212" t="s">
        <v>12</v>
      </c>
      <c r="F104" s="217" t="s">
        <v>207</v>
      </c>
      <c r="G104" s="217">
        <v>960673</v>
      </c>
      <c r="H104" s="212"/>
      <c r="I104" s="211"/>
      <c r="J104" s="212"/>
      <c r="K104" s="140"/>
      <c r="L104" s="348"/>
      <c r="M104" s="212"/>
      <c r="N104" s="348"/>
      <c r="O104" s="349"/>
    </row>
    <row r="105" spans="2:15" ht="15" customHeight="1">
      <c r="B105" s="212" t="s">
        <v>164</v>
      </c>
      <c r="C105" s="213">
        <v>44316</v>
      </c>
      <c r="D105" s="212">
        <v>1290</v>
      </c>
      <c r="E105" s="212" t="s">
        <v>12</v>
      </c>
      <c r="F105" s="217" t="s">
        <v>208</v>
      </c>
      <c r="G105" s="217">
        <v>923266</v>
      </c>
      <c r="H105" s="212"/>
      <c r="I105" s="211"/>
      <c r="J105" s="212"/>
      <c r="K105" s="140"/>
      <c r="L105" s="348"/>
      <c r="M105" s="212"/>
      <c r="N105" s="348"/>
      <c r="O105" s="349"/>
    </row>
    <row r="106" spans="2:15" ht="15" customHeight="1">
      <c r="B106" s="212" t="s">
        <v>164</v>
      </c>
      <c r="C106" s="213">
        <v>44316</v>
      </c>
      <c r="D106" s="212">
        <v>1290</v>
      </c>
      <c r="E106" s="212" t="s">
        <v>12</v>
      </c>
      <c r="F106" s="217" t="s">
        <v>210</v>
      </c>
      <c r="G106" s="217">
        <v>966707</v>
      </c>
      <c r="H106" s="212"/>
      <c r="I106" s="211"/>
      <c r="J106" s="212"/>
      <c r="K106" s="140"/>
      <c r="L106" s="348"/>
      <c r="M106" s="212"/>
      <c r="N106" s="348"/>
      <c r="O106" s="349"/>
    </row>
    <row r="107" spans="2:15" ht="15" customHeight="1">
      <c r="B107" s="212" t="s">
        <v>164</v>
      </c>
      <c r="C107" s="213">
        <v>44316</v>
      </c>
      <c r="D107" s="212">
        <v>1290</v>
      </c>
      <c r="E107" s="212" t="s">
        <v>12</v>
      </c>
      <c r="F107" s="212" t="s">
        <v>209</v>
      </c>
      <c r="G107" s="212">
        <v>957989</v>
      </c>
      <c r="H107" s="212"/>
      <c r="I107" s="211"/>
      <c r="J107" s="212"/>
      <c r="K107" s="140"/>
      <c r="L107" s="348"/>
      <c r="M107" s="212"/>
      <c r="N107" s="348"/>
      <c r="O107" s="349"/>
    </row>
    <row r="108" spans="2:15" ht="15" customHeight="1">
      <c r="B108" s="212" t="s">
        <v>164</v>
      </c>
      <c r="C108" s="213">
        <v>44316</v>
      </c>
      <c r="D108" s="212">
        <v>1290</v>
      </c>
      <c r="E108" s="212" t="s">
        <v>12</v>
      </c>
      <c r="F108" s="217" t="s">
        <v>211</v>
      </c>
      <c r="G108" s="217">
        <v>953023</v>
      </c>
      <c r="H108" s="212"/>
      <c r="I108" s="211"/>
      <c r="J108" s="212"/>
      <c r="K108" s="140"/>
      <c r="L108" s="348"/>
      <c r="M108" s="212"/>
      <c r="N108" s="348"/>
      <c r="O108" s="349"/>
    </row>
    <row r="109" spans="2:15" ht="15" customHeight="1">
      <c r="B109" s="212" t="s">
        <v>164</v>
      </c>
      <c r="C109" s="213">
        <v>44316</v>
      </c>
      <c r="D109" s="212">
        <v>1290</v>
      </c>
      <c r="E109" s="212" t="s">
        <v>12</v>
      </c>
      <c r="F109" s="212" t="s">
        <v>295</v>
      </c>
      <c r="G109" s="212">
        <v>966095</v>
      </c>
      <c r="H109" s="212"/>
      <c r="I109" s="211"/>
      <c r="J109" s="212"/>
      <c r="K109" s="140"/>
      <c r="L109" s="348"/>
      <c r="M109" s="212"/>
      <c r="N109" s="348"/>
      <c r="O109" s="349"/>
    </row>
    <row r="110" spans="2:15" ht="15" customHeight="1">
      <c r="B110" s="212" t="s">
        <v>164</v>
      </c>
      <c r="C110" s="213">
        <v>44316</v>
      </c>
      <c r="D110" s="212">
        <v>1290</v>
      </c>
      <c r="E110" s="212" t="s">
        <v>12</v>
      </c>
      <c r="F110" s="212" t="s">
        <v>212</v>
      </c>
      <c r="G110" s="212">
        <v>955427</v>
      </c>
      <c r="H110" s="212"/>
      <c r="I110" s="211"/>
      <c r="J110" s="212"/>
      <c r="K110" s="140"/>
      <c r="L110" s="348"/>
      <c r="M110" s="212"/>
      <c r="N110" s="348"/>
      <c r="O110" s="349"/>
    </row>
    <row r="111" spans="2:15" ht="15" customHeight="1">
      <c r="B111" s="212" t="s">
        <v>164</v>
      </c>
      <c r="C111" s="213">
        <v>44316</v>
      </c>
      <c r="D111" s="212">
        <v>1290</v>
      </c>
      <c r="E111" s="212" t="s">
        <v>12</v>
      </c>
      <c r="F111" s="212" t="s">
        <v>213</v>
      </c>
      <c r="G111" s="212">
        <v>950875</v>
      </c>
      <c r="H111" s="212"/>
      <c r="I111" s="211"/>
      <c r="J111" s="212"/>
      <c r="K111" s="140"/>
      <c r="L111" s="345"/>
      <c r="M111" s="212"/>
      <c r="N111" s="345"/>
      <c r="O111" s="347"/>
    </row>
    <row r="112" spans="2:15" ht="15" customHeight="1">
      <c r="B112" s="212" t="s">
        <v>164</v>
      </c>
      <c r="C112" s="213">
        <v>44316</v>
      </c>
      <c r="D112" s="212">
        <v>1291</v>
      </c>
      <c r="E112" s="212" t="s">
        <v>12</v>
      </c>
      <c r="F112" s="212" t="s">
        <v>165</v>
      </c>
      <c r="G112" s="212">
        <v>955952</v>
      </c>
      <c r="H112" s="350">
        <v>1000</v>
      </c>
      <c r="I112" s="211">
        <v>0</v>
      </c>
      <c r="J112" s="350">
        <f>H112-(I112+I113+I114+I115+I116+I117+I118+I119+I120)</f>
        <v>213.81700000000012</v>
      </c>
      <c r="K112" s="351">
        <f>(I112+I113+I114+I115+I116+I117+I118+I119+I120)/H112</f>
        <v>0.78618299999999985</v>
      </c>
      <c r="L112" s="212"/>
      <c r="M112" s="212"/>
      <c r="N112" s="212"/>
      <c r="O112" s="212"/>
    </row>
    <row r="113" spans="2:15" ht="15" customHeight="1">
      <c r="B113" s="212" t="s">
        <v>164</v>
      </c>
      <c r="C113" s="213">
        <v>44316</v>
      </c>
      <c r="D113" s="212">
        <v>1291</v>
      </c>
      <c r="E113" s="212" t="s">
        <v>12</v>
      </c>
      <c r="F113" s="212" t="s">
        <v>166</v>
      </c>
      <c r="G113" s="212">
        <v>965267</v>
      </c>
      <c r="H113" s="348"/>
      <c r="I113" s="211">
        <v>84.257000000000005</v>
      </c>
      <c r="J113" s="348"/>
      <c r="K113" s="349"/>
      <c r="L113" s="212"/>
      <c r="M113" s="212"/>
      <c r="N113" s="212"/>
      <c r="O113" s="212"/>
    </row>
    <row r="114" spans="2:15" ht="15" customHeight="1">
      <c r="B114" s="212" t="s">
        <v>164</v>
      </c>
      <c r="C114" s="213">
        <v>44316</v>
      </c>
      <c r="D114" s="212">
        <v>1291</v>
      </c>
      <c r="E114" s="212" t="s">
        <v>12</v>
      </c>
      <c r="F114" s="212" t="s">
        <v>167</v>
      </c>
      <c r="G114" s="212">
        <v>969387</v>
      </c>
      <c r="H114" s="348"/>
      <c r="I114" s="211">
        <v>66.733999999999995</v>
      </c>
      <c r="J114" s="348"/>
      <c r="K114" s="349"/>
      <c r="L114" s="212"/>
      <c r="M114" s="212"/>
      <c r="N114" s="212"/>
      <c r="O114" s="212"/>
    </row>
    <row r="115" spans="2:15" ht="15" customHeight="1">
      <c r="B115" s="212" t="s">
        <v>164</v>
      </c>
      <c r="C115" s="213">
        <v>44316</v>
      </c>
      <c r="D115" s="212">
        <v>1291</v>
      </c>
      <c r="E115" s="212" t="s">
        <v>12</v>
      </c>
      <c r="F115" s="212" t="s">
        <v>168</v>
      </c>
      <c r="G115" s="212">
        <v>969425</v>
      </c>
      <c r="H115" s="348"/>
      <c r="I115" s="211">
        <v>137.33500000000001</v>
      </c>
      <c r="J115" s="348"/>
      <c r="K115" s="349"/>
      <c r="L115" s="212"/>
      <c r="M115" s="212"/>
      <c r="N115" s="212"/>
      <c r="O115" s="212"/>
    </row>
    <row r="116" spans="2:15" ht="15" customHeight="1">
      <c r="B116" s="212" t="s">
        <v>164</v>
      </c>
      <c r="C116" s="213">
        <v>44316</v>
      </c>
      <c r="D116" s="212">
        <v>1291</v>
      </c>
      <c r="E116" s="212" t="s">
        <v>12</v>
      </c>
      <c r="F116" s="212" t="s">
        <v>169</v>
      </c>
      <c r="G116" s="212">
        <v>967553</v>
      </c>
      <c r="H116" s="348"/>
      <c r="I116" s="211">
        <v>0</v>
      </c>
      <c r="J116" s="348"/>
      <c r="K116" s="349"/>
      <c r="L116" s="212"/>
      <c r="M116" s="212"/>
      <c r="N116" s="212"/>
      <c r="O116" s="212"/>
    </row>
    <row r="117" spans="2:15" ht="15" customHeight="1">
      <c r="B117" s="212" t="s">
        <v>164</v>
      </c>
      <c r="C117" s="213">
        <v>44316</v>
      </c>
      <c r="D117" s="212">
        <v>1291</v>
      </c>
      <c r="E117" s="212" t="s">
        <v>12</v>
      </c>
      <c r="F117" s="212" t="s">
        <v>170</v>
      </c>
      <c r="G117" s="212">
        <v>968930</v>
      </c>
      <c r="H117" s="348"/>
      <c r="I117" s="211">
        <v>236.011</v>
      </c>
      <c r="J117" s="348"/>
      <c r="K117" s="349"/>
      <c r="L117" s="212"/>
      <c r="M117" s="212"/>
      <c r="N117" s="212"/>
      <c r="O117" s="212"/>
    </row>
    <row r="118" spans="2:15" ht="15" customHeight="1">
      <c r="B118" s="212" t="s">
        <v>164</v>
      </c>
      <c r="C118" s="213">
        <v>44316</v>
      </c>
      <c r="D118" s="212">
        <v>1291</v>
      </c>
      <c r="E118" s="212" t="s">
        <v>12</v>
      </c>
      <c r="F118" s="212" t="s">
        <v>171</v>
      </c>
      <c r="G118" s="212">
        <v>968704</v>
      </c>
      <c r="H118" s="348"/>
      <c r="I118" s="211">
        <v>11.81</v>
      </c>
      <c r="J118" s="348"/>
      <c r="K118" s="349"/>
      <c r="L118" s="212"/>
      <c r="M118" s="212"/>
      <c r="N118" s="212"/>
      <c r="O118" s="212"/>
    </row>
    <row r="119" spans="2:15">
      <c r="B119" s="212" t="s">
        <v>164</v>
      </c>
      <c r="C119" s="213">
        <v>44316</v>
      </c>
      <c r="D119" s="212">
        <v>1291</v>
      </c>
      <c r="E119" s="212" t="s">
        <v>12</v>
      </c>
      <c r="F119" s="212" t="s">
        <v>172</v>
      </c>
      <c r="G119" s="212">
        <v>957378</v>
      </c>
      <c r="H119" s="348"/>
      <c r="I119" s="211">
        <v>33.776000000000003</v>
      </c>
      <c r="J119" s="348"/>
      <c r="K119" s="349"/>
      <c r="L119" s="212"/>
      <c r="M119" s="212"/>
      <c r="N119" s="212"/>
      <c r="O119" s="212"/>
    </row>
    <row r="120" spans="2:15" ht="15" customHeight="1">
      <c r="B120" s="212" t="s">
        <v>164</v>
      </c>
      <c r="C120" s="213">
        <v>44316</v>
      </c>
      <c r="D120" s="212">
        <v>1291</v>
      </c>
      <c r="E120" s="212" t="s">
        <v>12</v>
      </c>
      <c r="F120" s="212" t="s">
        <v>173</v>
      </c>
      <c r="G120" s="212">
        <v>969467</v>
      </c>
      <c r="H120" s="345"/>
      <c r="I120" s="211">
        <v>216.26</v>
      </c>
      <c r="J120" s="345"/>
      <c r="K120" s="347"/>
      <c r="L120" s="212"/>
      <c r="M120" s="212"/>
      <c r="N120" s="212"/>
      <c r="O120" s="212"/>
    </row>
    <row r="121" spans="2:15" ht="15" customHeight="1">
      <c r="B121" s="212" t="s">
        <v>164</v>
      </c>
      <c r="C121" s="213">
        <v>44327</v>
      </c>
      <c r="D121" s="212">
        <v>1391</v>
      </c>
      <c r="E121" s="212" t="s">
        <v>174</v>
      </c>
      <c r="F121" s="212" t="s">
        <v>231</v>
      </c>
      <c r="G121" s="212">
        <v>963544</v>
      </c>
      <c r="H121" s="344">
        <v>3891.1370000000002</v>
      </c>
      <c r="I121" s="211">
        <v>389.92500000000001</v>
      </c>
      <c r="J121" s="344">
        <f>H121-(SUM(I121:I127))</f>
        <v>1215.0120000000002</v>
      </c>
      <c r="K121" s="346">
        <f>(SUM(I121:I127))/H121</f>
        <v>0.68774885078577286</v>
      </c>
      <c r="L121" s="212"/>
      <c r="M121" s="212"/>
      <c r="N121" s="212"/>
      <c r="O121" s="212"/>
    </row>
    <row r="122" spans="2:15" ht="15" customHeight="1">
      <c r="B122" s="212" t="s">
        <v>164</v>
      </c>
      <c r="C122" s="213">
        <v>44327</v>
      </c>
      <c r="D122" s="212">
        <v>1391</v>
      </c>
      <c r="E122" s="212" t="s">
        <v>174</v>
      </c>
      <c r="F122" s="212" t="s">
        <v>232</v>
      </c>
      <c r="G122" s="212">
        <v>963409</v>
      </c>
      <c r="H122" s="348"/>
      <c r="I122" s="211">
        <v>736.41200000000003</v>
      </c>
      <c r="J122" s="348"/>
      <c r="K122" s="349"/>
      <c r="L122" s="212"/>
      <c r="M122" s="212"/>
      <c r="N122" s="212"/>
      <c r="O122" s="212"/>
    </row>
    <row r="123" spans="2:15" ht="15" customHeight="1">
      <c r="B123" s="212" t="s">
        <v>164</v>
      </c>
      <c r="C123" s="213">
        <v>44327</v>
      </c>
      <c r="D123" s="212">
        <v>1391</v>
      </c>
      <c r="E123" s="212" t="s">
        <v>174</v>
      </c>
      <c r="F123" s="212" t="s">
        <v>253</v>
      </c>
      <c r="G123" s="212">
        <v>914147</v>
      </c>
      <c r="H123" s="348"/>
      <c r="I123" s="211">
        <v>259.255</v>
      </c>
      <c r="J123" s="348"/>
      <c r="K123" s="349"/>
      <c r="L123" s="212"/>
      <c r="M123" s="212"/>
      <c r="N123" s="212"/>
      <c r="O123" s="212"/>
    </row>
    <row r="124" spans="2:15" ht="15" customHeight="1">
      <c r="B124" s="212" t="s">
        <v>164</v>
      </c>
      <c r="C124" s="213">
        <v>44327</v>
      </c>
      <c r="D124" s="212">
        <v>1391</v>
      </c>
      <c r="E124" s="212" t="s">
        <v>174</v>
      </c>
      <c r="F124" s="212" t="s">
        <v>257</v>
      </c>
      <c r="G124" s="212">
        <v>964706</v>
      </c>
      <c r="H124" s="348"/>
      <c r="I124" s="211"/>
      <c r="J124" s="348"/>
      <c r="K124" s="349"/>
      <c r="L124" s="212"/>
      <c r="M124" s="212"/>
      <c r="N124" s="212"/>
      <c r="O124" s="212"/>
    </row>
    <row r="125" spans="2:15" ht="15" customHeight="1">
      <c r="B125" s="212" t="s">
        <v>164</v>
      </c>
      <c r="C125" s="213">
        <v>44327</v>
      </c>
      <c r="D125" s="212">
        <v>1391</v>
      </c>
      <c r="E125" s="212" t="s">
        <v>174</v>
      </c>
      <c r="F125" s="212" t="s">
        <v>258</v>
      </c>
      <c r="G125" s="212">
        <v>914125</v>
      </c>
      <c r="H125" s="348"/>
      <c r="I125" s="211">
        <v>331.399</v>
      </c>
      <c r="J125" s="348"/>
      <c r="K125" s="349"/>
      <c r="L125" s="212"/>
      <c r="M125" s="212"/>
      <c r="N125" s="212"/>
      <c r="O125" s="212"/>
    </row>
    <row r="126" spans="2:15" ht="15" customHeight="1">
      <c r="B126" s="212" t="s">
        <v>164</v>
      </c>
      <c r="C126" s="213">
        <v>44327</v>
      </c>
      <c r="D126" s="212">
        <v>1391</v>
      </c>
      <c r="E126" s="212" t="s">
        <v>174</v>
      </c>
      <c r="F126" s="212" t="s">
        <v>262</v>
      </c>
      <c r="G126" s="212">
        <v>914124</v>
      </c>
      <c r="H126" s="348"/>
      <c r="I126" s="211">
        <v>583.61900000000003</v>
      </c>
      <c r="J126" s="348"/>
      <c r="K126" s="349"/>
      <c r="L126" s="212"/>
      <c r="M126" s="212"/>
      <c r="N126" s="212"/>
      <c r="O126" s="212"/>
    </row>
    <row r="127" spans="2:15" ht="15" customHeight="1">
      <c r="B127" s="212" t="s">
        <v>164</v>
      </c>
      <c r="C127" s="213">
        <v>44327</v>
      </c>
      <c r="D127" s="212">
        <v>1391</v>
      </c>
      <c r="E127" s="212" t="s">
        <v>174</v>
      </c>
      <c r="F127" s="212" t="s">
        <v>259</v>
      </c>
      <c r="G127" s="212">
        <v>968795</v>
      </c>
      <c r="H127" s="345"/>
      <c r="I127" s="211">
        <v>375.51499999999999</v>
      </c>
      <c r="J127" s="345"/>
      <c r="K127" s="347"/>
      <c r="L127" s="212"/>
      <c r="M127" s="212"/>
      <c r="N127" s="212"/>
      <c r="O127" s="212"/>
    </row>
    <row r="128" spans="2:15" ht="15" customHeight="1">
      <c r="B128" s="212" t="s">
        <v>164</v>
      </c>
      <c r="C128" s="213">
        <v>44334</v>
      </c>
      <c r="D128" s="212">
        <v>1497</v>
      </c>
      <c r="E128" s="212" t="s">
        <v>11</v>
      </c>
      <c r="F128" s="212" t="s">
        <v>269</v>
      </c>
      <c r="G128" s="212">
        <v>913444</v>
      </c>
      <c r="H128" s="344">
        <v>14652.65</v>
      </c>
      <c r="I128" s="211"/>
      <c r="J128" s="344">
        <f>H128-(SUM(I128:I142))</f>
        <v>13775.055</v>
      </c>
      <c r="K128" s="346">
        <f>(SUM(I128:I142))/H128</f>
        <v>5.9893261628442641E-2</v>
      </c>
      <c r="L128" s="212"/>
      <c r="M128" s="212"/>
      <c r="N128" s="212"/>
      <c r="O128" s="212"/>
    </row>
    <row r="129" spans="2:15" ht="15" customHeight="1">
      <c r="B129" s="212" t="s">
        <v>164</v>
      </c>
      <c r="C129" s="213">
        <v>44334</v>
      </c>
      <c r="D129" s="212">
        <v>1497</v>
      </c>
      <c r="E129" s="212" t="s">
        <v>11</v>
      </c>
      <c r="F129" s="212" t="s">
        <v>274</v>
      </c>
      <c r="G129" s="212">
        <v>966244</v>
      </c>
      <c r="H129" s="348"/>
      <c r="I129" s="211">
        <v>110</v>
      </c>
      <c r="J129" s="348"/>
      <c r="K129" s="349"/>
      <c r="L129" s="212"/>
      <c r="M129" s="212"/>
      <c r="N129" s="212"/>
      <c r="O129" s="212"/>
    </row>
    <row r="130" spans="2:15" ht="15" customHeight="1">
      <c r="B130" s="212" t="s">
        <v>164</v>
      </c>
      <c r="C130" s="213">
        <v>44334</v>
      </c>
      <c r="D130" s="212">
        <v>1497</v>
      </c>
      <c r="E130" s="212" t="s">
        <v>11</v>
      </c>
      <c r="F130" s="212" t="s">
        <v>275</v>
      </c>
      <c r="G130" s="212">
        <v>968467</v>
      </c>
      <c r="H130" s="348"/>
      <c r="I130" s="211"/>
      <c r="J130" s="348"/>
      <c r="K130" s="349"/>
      <c r="L130" s="212"/>
      <c r="M130" s="212"/>
      <c r="N130" s="212"/>
      <c r="O130" s="212"/>
    </row>
    <row r="131" spans="2:15" ht="15" customHeight="1">
      <c r="B131" s="212" t="s">
        <v>164</v>
      </c>
      <c r="C131" s="213">
        <v>44334</v>
      </c>
      <c r="D131" s="212">
        <v>1497</v>
      </c>
      <c r="E131" s="212" t="s">
        <v>11</v>
      </c>
      <c r="F131" s="212" t="s">
        <v>276</v>
      </c>
      <c r="G131" s="212">
        <v>950657</v>
      </c>
      <c r="H131" s="348"/>
      <c r="I131" s="211">
        <v>51</v>
      </c>
      <c r="J131" s="348"/>
      <c r="K131" s="349"/>
      <c r="L131" s="212"/>
      <c r="M131" s="212"/>
      <c r="N131" s="212"/>
      <c r="O131" s="212"/>
    </row>
    <row r="132" spans="2:15" ht="15" customHeight="1">
      <c r="B132" s="212" t="s">
        <v>164</v>
      </c>
      <c r="C132" s="213">
        <v>44334</v>
      </c>
      <c r="D132" s="212">
        <v>1497</v>
      </c>
      <c r="E132" s="212" t="s">
        <v>11</v>
      </c>
      <c r="F132" s="212" t="s">
        <v>322</v>
      </c>
      <c r="G132" s="212">
        <v>960352</v>
      </c>
      <c r="H132" s="348"/>
      <c r="I132" s="211">
        <v>5</v>
      </c>
      <c r="J132" s="348"/>
      <c r="K132" s="349"/>
      <c r="L132" s="212"/>
      <c r="M132" s="212"/>
      <c r="N132" s="212"/>
      <c r="O132" s="212"/>
    </row>
    <row r="133" spans="2:15" ht="15" customHeight="1">
      <c r="B133" s="212" t="s">
        <v>164</v>
      </c>
      <c r="C133" s="213">
        <v>44334</v>
      </c>
      <c r="D133" s="212">
        <v>1497</v>
      </c>
      <c r="E133" s="212" t="s">
        <v>11</v>
      </c>
      <c r="F133" s="212" t="s">
        <v>279</v>
      </c>
      <c r="G133" s="212">
        <v>951110</v>
      </c>
      <c r="H133" s="348"/>
      <c r="I133" s="211"/>
      <c r="J133" s="348"/>
      <c r="K133" s="349"/>
      <c r="L133" s="212"/>
      <c r="M133" s="212"/>
      <c r="N133" s="212"/>
      <c r="O133" s="212"/>
    </row>
    <row r="134" spans="2:15" ht="15" customHeight="1">
      <c r="B134" s="212" t="s">
        <v>164</v>
      </c>
      <c r="C134" s="213">
        <v>44334</v>
      </c>
      <c r="D134" s="212">
        <v>1497</v>
      </c>
      <c r="E134" s="212" t="s">
        <v>11</v>
      </c>
      <c r="F134" s="212" t="s">
        <v>323</v>
      </c>
      <c r="G134" s="212">
        <v>969269</v>
      </c>
      <c r="H134" s="348"/>
      <c r="I134" s="211">
        <v>305</v>
      </c>
      <c r="J134" s="348"/>
      <c r="K134" s="349"/>
      <c r="L134" s="212"/>
      <c r="M134" s="212"/>
      <c r="N134" s="212"/>
      <c r="O134" s="212"/>
    </row>
    <row r="135" spans="2:15" ht="15" customHeight="1">
      <c r="B135" s="212" t="s">
        <v>164</v>
      </c>
      <c r="C135" s="213">
        <v>44334</v>
      </c>
      <c r="D135" s="212">
        <v>1497</v>
      </c>
      <c r="E135" s="212" t="s">
        <v>11</v>
      </c>
      <c r="F135" s="212" t="s">
        <v>280</v>
      </c>
      <c r="G135" s="212">
        <v>963710</v>
      </c>
      <c r="H135" s="348"/>
      <c r="I135" s="211"/>
      <c r="J135" s="348"/>
      <c r="K135" s="349"/>
      <c r="L135" s="212"/>
      <c r="M135" s="212"/>
      <c r="N135" s="212"/>
      <c r="O135" s="212"/>
    </row>
    <row r="136" spans="2:15" ht="15" customHeight="1">
      <c r="B136" s="212" t="s">
        <v>164</v>
      </c>
      <c r="C136" s="213">
        <v>44334</v>
      </c>
      <c r="D136" s="212">
        <v>1497</v>
      </c>
      <c r="E136" s="212" t="s">
        <v>11</v>
      </c>
      <c r="F136" s="212" t="s">
        <v>281</v>
      </c>
      <c r="G136" s="212">
        <v>923206</v>
      </c>
      <c r="H136" s="348"/>
      <c r="I136" s="211"/>
      <c r="J136" s="348"/>
      <c r="K136" s="349"/>
      <c r="L136" s="212"/>
      <c r="M136" s="212"/>
      <c r="N136" s="212"/>
      <c r="O136" s="212"/>
    </row>
    <row r="137" spans="2:15">
      <c r="B137" s="212" t="s">
        <v>164</v>
      </c>
      <c r="C137" s="213">
        <v>44334</v>
      </c>
      <c r="D137" s="212">
        <v>1497</v>
      </c>
      <c r="E137" s="212" t="s">
        <v>11</v>
      </c>
      <c r="F137" s="212" t="s">
        <v>282</v>
      </c>
      <c r="G137" s="212">
        <v>962529</v>
      </c>
      <c r="H137" s="348"/>
      <c r="I137" s="211"/>
      <c r="J137" s="348"/>
      <c r="K137" s="349"/>
      <c r="L137" s="212"/>
      <c r="M137" s="212"/>
      <c r="N137" s="212"/>
      <c r="O137" s="212"/>
    </row>
    <row r="138" spans="2:15">
      <c r="B138" s="212" t="s">
        <v>164</v>
      </c>
      <c r="C138" s="213">
        <v>44334</v>
      </c>
      <c r="D138" s="212">
        <v>1497</v>
      </c>
      <c r="E138" s="212" t="s">
        <v>11</v>
      </c>
      <c r="F138" s="212" t="s">
        <v>283</v>
      </c>
      <c r="G138" s="212">
        <v>967677</v>
      </c>
      <c r="H138" s="348"/>
      <c r="I138" s="211">
        <v>286</v>
      </c>
      <c r="J138" s="348"/>
      <c r="K138" s="349"/>
      <c r="L138" s="212"/>
      <c r="M138" s="212"/>
      <c r="N138" s="212"/>
      <c r="O138" s="212"/>
    </row>
    <row r="139" spans="2:15">
      <c r="B139" s="212" t="s">
        <v>164</v>
      </c>
      <c r="C139" s="213">
        <v>44334</v>
      </c>
      <c r="D139" s="212">
        <v>1497</v>
      </c>
      <c r="E139" s="212" t="s">
        <v>11</v>
      </c>
      <c r="F139" s="212" t="s">
        <v>286</v>
      </c>
      <c r="G139" s="212">
        <v>35893</v>
      </c>
      <c r="H139" s="348"/>
      <c r="I139" s="211"/>
      <c r="J139" s="348"/>
      <c r="K139" s="349"/>
      <c r="L139" s="212"/>
      <c r="M139" s="212"/>
      <c r="N139" s="212"/>
      <c r="O139" s="212"/>
    </row>
    <row r="140" spans="2:15">
      <c r="B140" s="212" t="s">
        <v>164</v>
      </c>
      <c r="C140" s="213">
        <v>44334</v>
      </c>
      <c r="D140" s="212">
        <v>1497</v>
      </c>
      <c r="E140" s="212" t="s">
        <v>11</v>
      </c>
      <c r="F140" s="212" t="s">
        <v>287</v>
      </c>
      <c r="G140" s="212">
        <v>955847</v>
      </c>
      <c r="H140" s="348"/>
      <c r="I140" s="211">
        <v>23.594999999999999</v>
      </c>
      <c r="J140" s="348"/>
      <c r="K140" s="349"/>
      <c r="L140" s="212"/>
      <c r="M140" s="212"/>
      <c r="N140" s="212"/>
      <c r="O140" s="212"/>
    </row>
    <row r="141" spans="2:15">
      <c r="B141" s="212" t="s">
        <v>164</v>
      </c>
      <c r="C141" s="213">
        <v>44334</v>
      </c>
      <c r="D141" s="212">
        <v>1497</v>
      </c>
      <c r="E141" s="212" t="s">
        <v>11</v>
      </c>
      <c r="F141" s="212" t="s">
        <v>292</v>
      </c>
      <c r="G141" s="212">
        <v>951184</v>
      </c>
      <c r="H141" s="348"/>
      <c r="I141" s="211"/>
      <c r="J141" s="348"/>
      <c r="K141" s="349"/>
      <c r="L141" s="212"/>
      <c r="M141" s="212"/>
      <c r="N141" s="212"/>
      <c r="O141" s="212"/>
    </row>
    <row r="142" spans="2:15">
      <c r="B142" s="212" t="s">
        <v>164</v>
      </c>
      <c r="C142" s="213">
        <v>44334</v>
      </c>
      <c r="D142" s="212">
        <v>1497</v>
      </c>
      <c r="E142" s="212" t="s">
        <v>11</v>
      </c>
      <c r="F142" s="212" t="s">
        <v>294</v>
      </c>
      <c r="G142" s="212">
        <v>955947</v>
      </c>
      <c r="H142" s="345"/>
      <c r="I142" s="211">
        <v>97</v>
      </c>
      <c r="J142" s="345"/>
      <c r="K142" s="347"/>
      <c r="L142" s="212"/>
      <c r="M142" s="212"/>
      <c r="N142" s="212"/>
      <c r="O142" s="212"/>
    </row>
    <row r="143" spans="2:15">
      <c r="B143" s="212" t="s">
        <v>164</v>
      </c>
      <c r="C143" s="213">
        <v>44336</v>
      </c>
      <c r="D143" s="212">
        <v>1520</v>
      </c>
      <c r="E143" s="207" t="s">
        <v>174</v>
      </c>
      <c r="F143" s="207" t="s">
        <v>221</v>
      </c>
      <c r="G143" s="212">
        <v>967665</v>
      </c>
      <c r="H143" s="212">
        <v>1859.5640000000001</v>
      </c>
      <c r="I143" s="211">
        <v>55.38</v>
      </c>
      <c r="J143" s="212">
        <f t="shared" ref="J143" si="2">H143-I143</f>
        <v>1804.184</v>
      </c>
      <c r="K143" s="140">
        <f t="shared" ref="K143" si="3">I143/H143</f>
        <v>2.9781174511874828E-2</v>
      </c>
      <c r="L143" s="212"/>
      <c r="M143" s="212"/>
      <c r="N143" s="212"/>
      <c r="O143" s="212"/>
    </row>
    <row r="144" spans="2:15">
      <c r="B144" s="212" t="s">
        <v>164</v>
      </c>
      <c r="C144" s="213">
        <v>44340</v>
      </c>
      <c r="D144" s="212">
        <v>1537</v>
      </c>
      <c r="E144" s="207" t="s">
        <v>12</v>
      </c>
      <c r="F144" s="212" t="s">
        <v>166</v>
      </c>
      <c r="G144" s="212">
        <v>965267</v>
      </c>
      <c r="H144" s="344">
        <v>500</v>
      </c>
      <c r="I144" s="212"/>
      <c r="J144" s="344">
        <f>H144-(SUM(I144:I150))</f>
        <v>500</v>
      </c>
      <c r="K144" s="346">
        <f>(SUM(I144:I150))/H144</f>
        <v>0</v>
      </c>
      <c r="L144" s="212"/>
      <c r="M144" s="212"/>
      <c r="N144" s="212"/>
      <c r="O144" s="212"/>
    </row>
    <row r="145" spans="2:15">
      <c r="B145" s="212" t="s">
        <v>164</v>
      </c>
      <c r="C145" s="213">
        <v>44340</v>
      </c>
      <c r="D145" s="212">
        <v>1537</v>
      </c>
      <c r="E145" s="207" t="s">
        <v>12</v>
      </c>
      <c r="F145" s="212" t="s">
        <v>167</v>
      </c>
      <c r="G145" s="212">
        <v>969387</v>
      </c>
      <c r="H145" s="348"/>
      <c r="I145" s="212"/>
      <c r="J145" s="348"/>
      <c r="K145" s="349"/>
      <c r="L145" s="212"/>
      <c r="M145" s="212"/>
      <c r="N145" s="212"/>
      <c r="O145" s="212"/>
    </row>
    <row r="146" spans="2:15">
      <c r="B146" s="212" t="s">
        <v>164</v>
      </c>
      <c r="C146" s="213">
        <v>44340</v>
      </c>
      <c r="D146" s="212">
        <v>1537</v>
      </c>
      <c r="E146" s="207" t="s">
        <v>12</v>
      </c>
      <c r="F146" s="212" t="s">
        <v>168</v>
      </c>
      <c r="G146" s="212">
        <v>969425</v>
      </c>
      <c r="H146" s="348"/>
      <c r="I146" s="212"/>
      <c r="J146" s="348"/>
      <c r="K146" s="349"/>
      <c r="L146" s="212"/>
      <c r="M146" s="212"/>
      <c r="N146" s="212"/>
      <c r="O146" s="212"/>
    </row>
    <row r="147" spans="2:15">
      <c r="B147" s="212" t="s">
        <v>164</v>
      </c>
      <c r="C147" s="213">
        <v>44340</v>
      </c>
      <c r="D147" s="212">
        <v>1537</v>
      </c>
      <c r="E147" s="207" t="s">
        <v>12</v>
      </c>
      <c r="F147" s="212" t="s">
        <v>170</v>
      </c>
      <c r="G147" s="212">
        <v>968930</v>
      </c>
      <c r="H147" s="348"/>
      <c r="I147" s="212"/>
      <c r="J147" s="348"/>
      <c r="K147" s="349"/>
      <c r="L147" s="212"/>
      <c r="M147" s="212"/>
      <c r="N147" s="212"/>
      <c r="O147" s="140"/>
    </row>
    <row r="148" spans="2:15">
      <c r="B148" s="212" t="s">
        <v>164</v>
      </c>
      <c r="C148" s="213">
        <v>44340</v>
      </c>
      <c r="D148" s="212">
        <v>1537</v>
      </c>
      <c r="E148" s="207" t="s">
        <v>12</v>
      </c>
      <c r="F148" s="212" t="s">
        <v>171</v>
      </c>
      <c r="G148" s="212">
        <v>968704</v>
      </c>
      <c r="H148" s="348"/>
      <c r="I148" s="212"/>
      <c r="J148" s="348"/>
      <c r="K148" s="349"/>
      <c r="L148" s="212"/>
      <c r="M148" s="212"/>
      <c r="N148" s="212"/>
      <c r="O148" s="140"/>
    </row>
    <row r="149" spans="2:15">
      <c r="B149" s="212" t="s">
        <v>164</v>
      </c>
      <c r="C149" s="213">
        <v>44340</v>
      </c>
      <c r="D149" s="212">
        <v>1537</v>
      </c>
      <c r="E149" s="207" t="s">
        <v>12</v>
      </c>
      <c r="F149" s="212" t="s">
        <v>172</v>
      </c>
      <c r="G149" s="212">
        <v>957378</v>
      </c>
      <c r="H149" s="348"/>
      <c r="I149" s="212"/>
      <c r="J149" s="348"/>
      <c r="K149" s="349"/>
      <c r="L149" s="212"/>
      <c r="M149" s="212"/>
      <c r="N149" s="212"/>
      <c r="O149" s="212"/>
    </row>
    <row r="150" spans="2:15">
      <c r="B150" s="212" t="s">
        <v>164</v>
      </c>
      <c r="C150" s="213">
        <v>44340</v>
      </c>
      <c r="D150" s="212">
        <v>1537</v>
      </c>
      <c r="E150" s="207" t="s">
        <v>12</v>
      </c>
      <c r="F150" s="212" t="s">
        <v>173</v>
      </c>
      <c r="G150" s="212">
        <v>969467</v>
      </c>
      <c r="H150" s="345"/>
      <c r="I150" s="212"/>
      <c r="J150" s="345"/>
      <c r="K150" s="347"/>
      <c r="L150" s="212"/>
      <c r="M150" s="212"/>
      <c r="N150" s="212"/>
      <c r="O150" s="212"/>
    </row>
    <row r="151" spans="2:15">
      <c r="B151" s="207" t="s">
        <v>164</v>
      </c>
      <c r="C151" s="213">
        <v>44340</v>
      </c>
      <c r="D151" s="212">
        <v>1538</v>
      </c>
      <c r="E151" s="207" t="s">
        <v>174</v>
      </c>
      <c r="F151" s="207" t="s">
        <v>221</v>
      </c>
      <c r="G151" s="212">
        <v>967665</v>
      </c>
      <c r="H151" s="212">
        <v>144.11500000000001</v>
      </c>
      <c r="I151" s="211">
        <v>99.555000000000007</v>
      </c>
      <c r="J151" s="212">
        <f t="shared" ref="J151" si="4">H151-I151</f>
        <v>44.56</v>
      </c>
      <c r="K151" s="140">
        <f t="shared" ref="K151" si="5">I151/H151</f>
        <v>0.69080248412725953</v>
      </c>
      <c r="L151" s="212"/>
      <c r="M151" s="212"/>
      <c r="N151" s="212"/>
      <c r="O151" s="212"/>
    </row>
    <row r="152" spans="2:15">
      <c r="B152" s="212" t="s">
        <v>164</v>
      </c>
      <c r="C152" s="213">
        <v>44357</v>
      </c>
      <c r="D152" s="212">
        <v>1776</v>
      </c>
      <c r="E152" s="212" t="s">
        <v>12</v>
      </c>
      <c r="F152" s="212" t="s">
        <v>166</v>
      </c>
      <c r="G152" s="212">
        <v>965267</v>
      </c>
      <c r="H152" s="344">
        <v>200</v>
      </c>
      <c r="I152" s="212"/>
      <c r="J152" s="344">
        <f>H152-(SUM(I152:I156))</f>
        <v>200</v>
      </c>
      <c r="K152" s="346">
        <f>(SUM(I152:I156))/H152</f>
        <v>0</v>
      </c>
      <c r="L152" s="212"/>
      <c r="M152" s="212"/>
      <c r="N152" s="212"/>
      <c r="O152" s="140"/>
    </row>
    <row r="153" spans="2:15">
      <c r="B153" s="212" t="s">
        <v>164</v>
      </c>
      <c r="C153" s="213">
        <v>44357</v>
      </c>
      <c r="D153" s="212">
        <v>1776</v>
      </c>
      <c r="E153" s="212" t="s">
        <v>12</v>
      </c>
      <c r="F153" s="212" t="s">
        <v>168</v>
      </c>
      <c r="G153" s="212">
        <v>969425</v>
      </c>
      <c r="H153" s="348"/>
      <c r="I153" s="212"/>
      <c r="J153" s="348"/>
      <c r="K153" s="349"/>
      <c r="L153" s="212"/>
      <c r="M153" s="212"/>
      <c r="N153" s="212"/>
      <c r="O153" s="140"/>
    </row>
    <row r="154" spans="2:15">
      <c r="B154" s="212" t="s">
        <v>164</v>
      </c>
      <c r="C154" s="213">
        <v>44357</v>
      </c>
      <c r="D154" s="212">
        <v>1776</v>
      </c>
      <c r="E154" s="212" t="s">
        <v>12</v>
      </c>
      <c r="F154" s="212" t="s">
        <v>171</v>
      </c>
      <c r="G154" s="212">
        <v>968704</v>
      </c>
      <c r="H154" s="348"/>
      <c r="I154" s="212"/>
      <c r="J154" s="348"/>
      <c r="K154" s="349"/>
      <c r="L154" s="212"/>
      <c r="M154" s="212"/>
      <c r="N154" s="212"/>
      <c r="O154" s="140"/>
    </row>
    <row r="155" spans="2:15">
      <c r="B155" s="212" t="s">
        <v>164</v>
      </c>
      <c r="C155" s="213">
        <v>44357</v>
      </c>
      <c r="D155" s="212">
        <v>1776</v>
      </c>
      <c r="E155" s="212" t="s">
        <v>12</v>
      </c>
      <c r="F155" s="212" t="s">
        <v>172</v>
      </c>
      <c r="G155" s="212">
        <v>957378</v>
      </c>
      <c r="H155" s="348"/>
      <c r="I155" s="212"/>
      <c r="J155" s="348"/>
      <c r="K155" s="349"/>
      <c r="L155" s="212"/>
      <c r="M155" s="212"/>
      <c r="N155" s="212"/>
      <c r="O155" s="140"/>
    </row>
    <row r="156" spans="2:15">
      <c r="B156" s="212" t="s">
        <v>164</v>
      </c>
      <c r="C156" s="213">
        <v>44357</v>
      </c>
      <c r="D156" s="212">
        <v>1776</v>
      </c>
      <c r="E156" s="212" t="s">
        <v>12</v>
      </c>
      <c r="F156" s="212" t="s">
        <v>173</v>
      </c>
      <c r="G156" s="212">
        <v>969467</v>
      </c>
      <c r="H156" s="345"/>
      <c r="I156" s="212"/>
      <c r="J156" s="345"/>
      <c r="K156" s="347"/>
      <c r="L156" s="212"/>
      <c r="M156" s="212"/>
      <c r="N156" s="212"/>
      <c r="O156" s="140"/>
    </row>
    <row r="157" spans="2:15">
      <c r="B157" s="212" t="s">
        <v>164</v>
      </c>
      <c r="C157" s="213">
        <v>44365</v>
      </c>
      <c r="D157" s="212">
        <v>1834</v>
      </c>
      <c r="E157" s="212" t="s">
        <v>12</v>
      </c>
      <c r="F157" s="207" t="s">
        <v>205</v>
      </c>
      <c r="G157" s="212">
        <v>697578</v>
      </c>
      <c r="H157" s="344">
        <v>1250</v>
      </c>
      <c r="I157" s="212"/>
      <c r="J157" s="344">
        <f>H157-(SUM(I157:I173))</f>
        <v>1250</v>
      </c>
      <c r="K157" s="346">
        <f>(SUM(I157:I173))/H157</f>
        <v>0</v>
      </c>
      <c r="L157" s="212"/>
      <c r="M157" s="212"/>
      <c r="N157" s="212"/>
      <c r="O157" s="140"/>
    </row>
    <row r="158" spans="2:15">
      <c r="B158" s="212" t="s">
        <v>164</v>
      </c>
      <c r="C158" s="213">
        <v>44365</v>
      </c>
      <c r="D158" s="212">
        <v>1834</v>
      </c>
      <c r="E158" s="212" t="s">
        <v>12</v>
      </c>
      <c r="F158" s="207" t="s">
        <v>161</v>
      </c>
      <c r="G158" s="212">
        <v>965236</v>
      </c>
      <c r="H158" s="348"/>
      <c r="I158" s="211"/>
      <c r="J158" s="348"/>
      <c r="K158" s="349"/>
      <c r="L158" s="212"/>
      <c r="M158" s="212"/>
      <c r="N158" s="212"/>
      <c r="O158" s="140"/>
    </row>
    <row r="159" spans="2:15">
      <c r="B159" s="212" t="s">
        <v>164</v>
      </c>
      <c r="C159" s="213">
        <v>44365</v>
      </c>
      <c r="D159" s="212">
        <v>1834</v>
      </c>
      <c r="E159" s="212" t="s">
        <v>12</v>
      </c>
      <c r="F159" s="207" t="s">
        <v>206</v>
      </c>
      <c r="G159" s="212">
        <v>901588</v>
      </c>
      <c r="H159" s="348"/>
      <c r="I159" s="211"/>
      <c r="J159" s="348"/>
      <c r="K159" s="349"/>
      <c r="L159" s="212"/>
      <c r="M159" s="212"/>
      <c r="N159" s="212"/>
      <c r="O159" s="140"/>
    </row>
    <row r="160" spans="2:15">
      <c r="B160" s="212" t="s">
        <v>164</v>
      </c>
      <c r="C160" s="213">
        <v>44365</v>
      </c>
      <c r="D160" s="212">
        <v>1834</v>
      </c>
      <c r="E160" s="212" t="s">
        <v>12</v>
      </c>
      <c r="F160" s="207" t="s">
        <v>296</v>
      </c>
      <c r="G160" s="212">
        <v>966397</v>
      </c>
      <c r="H160" s="348"/>
      <c r="I160" s="212"/>
      <c r="J160" s="348"/>
      <c r="K160" s="349"/>
      <c r="L160" s="212"/>
      <c r="M160" s="212"/>
      <c r="N160" s="212"/>
      <c r="O160" s="140"/>
    </row>
    <row r="161" spans="2:15">
      <c r="B161" s="212" t="s">
        <v>164</v>
      </c>
      <c r="C161" s="213">
        <v>44365</v>
      </c>
      <c r="D161" s="212">
        <v>1834</v>
      </c>
      <c r="E161" s="212" t="s">
        <v>12</v>
      </c>
      <c r="F161" s="207" t="s">
        <v>163</v>
      </c>
      <c r="G161" s="212">
        <v>964933</v>
      </c>
      <c r="H161" s="348"/>
      <c r="I161" s="212"/>
      <c r="J161" s="348"/>
      <c r="K161" s="349"/>
      <c r="L161" s="212"/>
      <c r="M161" s="212"/>
      <c r="N161" s="212"/>
      <c r="O161" s="140"/>
    </row>
    <row r="162" spans="2:15">
      <c r="B162" s="212" t="s">
        <v>164</v>
      </c>
      <c r="C162" s="213">
        <v>44365</v>
      </c>
      <c r="D162" s="212">
        <v>1834</v>
      </c>
      <c r="E162" s="212" t="s">
        <v>12</v>
      </c>
      <c r="F162" s="207" t="s">
        <v>297</v>
      </c>
      <c r="G162" s="212">
        <v>960563</v>
      </c>
      <c r="H162" s="348"/>
      <c r="I162" s="212"/>
      <c r="J162" s="348"/>
      <c r="K162" s="349"/>
      <c r="L162" s="212"/>
      <c r="M162" s="212"/>
      <c r="N162" s="212"/>
      <c r="O162" s="212"/>
    </row>
    <row r="163" spans="2:15">
      <c r="B163" s="212" t="s">
        <v>164</v>
      </c>
      <c r="C163" s="213">
        <v>44365</v>
      </c>
      <c r="D163" s="212">
        <v>1834</v>
      </c>
      <c r="E163" s="212" t="s">
        <v>12</v>
      </c>
      <c r="F163" s="207" t="s">
        <v>207</v>
      </c>
      <c r="G163" s="212">
        <v>960673</v>
      </c>
      <c r="H163" s="348"/>
      <c r="I163" s="212"/>
      <c r="J163" s="348"/>
      <c r="K163" s="349"/>
      <c r="L163" s="212"/>
      <c r="M163" s="212"/>
      <c r="N163" s="212"/>
      <c r="O163" s="140"/>
    </row>
    <row r="164" spans="2:15">
      <c r="B164" s="212" t="s">
        <v>164</v>
      </c>
      <c r="C164" s="213">
        <v>44365</v>
      </c>
      <c r="D164" s="212">
        <v>1834</v>
      </c>
      <c r="E164" s="212" t="s">
        <v>12</v>
      </c>
      <c r="F164" s="207" t="s">
        <v>302</v>
      </c>
      <c r="G164" s="212">
        <v>968871</v>
      </c>
      <c r="H164" s="348"/>
      <c r="I164" s="212"/>
      <c r="J164" s="348"/>
      <c r="K164" s="349"/>
      <c r="L164" s="212"/>
      <c r="M164" s="212"/>
      <c r="N164" s="212"/>
      <c r="O164" s="140"/>
    </row>
    <row r="165" spans="2:15">
      <c r="B165" s="212" t="s">
        <v>164</v>
      </c>
      <c r="C165" s="213">
        <v>44365</v>
      </c>
      <c r="D165" s="212">
        <v>1834</v>
      </c>
      <c r="E165" s="212" t="s">
        <v>12</v>
      </c>
      <c r="F165" s="207" t="s">
        <v>208</v>
      </c>
      <c r="G165" s="212">
        <v>923266</v>
      </c>
      <c r="H165" s="348"/>
      <c r="I165" s="211"/>
      <c r="J165" s="348"/>
      <c r="K165" s="349"/>
      <c r="L165" s="212"/>
      <c r="M165" s="212"/>
      <c r="N165" s="212"/>
      <c r="O165" s="212"/>
    </row>
    <row r="166" spans="2:15">
      <c r="B166" s="212" t="s">
        <v>164</v>
      </c>
      <c r="C166" s="213">
        <v>44365</v>
      </c>
      <c r="D166" s="212">
        <v>1834</v>
      </c>
      <c r="E166" s="212" t="s">
        <v>12</v>
      </c>
      <c r="F166" s="207" t="s">
        <v>210</v>
      </c>
      <c r="G166" s="212">
        <v>966707</v>
      </c>
      <c r="H166" s="348"/>
      <c r="I166" s="211"/>
      <c r="J166" s="348"/>
      <c r="K166" s="349"/>
      <c r="L166" s="212"/>
      <c r="M166" s="212"/>
      <c r="N166" s="212"/>
      <c r="O166" s="212"/>
    </row>
    <row r="167" spans="2:15">
      <c r="B167" s="212" t="s">
        <v>164</v>
      </c>
      <c r="C167" s="213">
        <v>44365</v>
      </c>
      <c r="D167" s="212">
        <v>1834</v>
      </c>
      <c r="E167" s="212" t="s">
        <v>12</v>
      </c>
      <c r="F167" s="207" t="s">
        <v>209</v>
      </c>
      <c r="G167" s="212">
        <v>957989</v>
      </c>
      <c r="H167" s="348"/>
      <c r="I167" s="212"/>
      <c r="J167" s="348"/>
      <c r="K167" s="349"/>
      <c r="L167" s="212"/>
      <c r="M167" s="212"/>
      <c r="N167" s="212"/>
      <c r="O167" s="212"/>
    </row>
    <row r="168" spans="2:15">
      <c r="B168" s="212" t="s">
        <v>164</v>
      </c>
      <c r="C168" s="213">
        <v>44365</v>
      </c>
      <c r="D168" s="212">
        <v>1834</v>
      </c>
      <c r="E168" s="212" t="s">
        <v>12</v>
      </c>
      <c r="F168" s="207" t="s">
        <v>298</v>
      </c>
      <c r="G168" s="212">
        <v>958708</v>
      </c>
      <c r="H168" s="348"/>
      <c r="I168" s="212"/>
      <c r="J168" s="348"/>
      <c r="K168" s="349"/>
      <c r="L168" s="212"/>
      <c r="M168" s="212"/>
      <c r="N168" s="212"/>
      <c r="O168" s="212"/>
    </row>
    <row r="169" spans="2:15">
      <c r="B169" s="212" t="s">
        <v>164</v>
      </c>
      <c r="C169" s="213">
        <v>44365</v>
      </c>
      <c r="D169" s="212">
        <v>1834</v>
      </c>
      <c r="E169" s="212" t="s">
        <v>12</v>
      </c>
      <c r="F169" s="207" t="s">
        <v>295</v>
      </c>
      <c r="G169" s="212">
        <v>966095</v>
      </c>
      <c r="H169" s="348"/>
      <c r="I169" s="212"/>
      <c r="J169" s="348"/>
      <c r="K169" s="349"/>
      <c r="L169" s="212"/>
      <c r="M169" s="212"/>
      <c r="N169" s="212"/>
      <c r="O169" s="212"/>
    </row>
    <row r="170" spans="2:15">
      <c r="B170" s="212" t="s">
        <v>164</v>
      </c>
      <c r="C170" s="213">
        <v>44365</v>
      </c>
      <c r="D170" s="212">
        <v>1834</v>
      </c>
      <c r="E170" s="212" t="s">
        <v>12</v>
      </c>
      <c r="F170" s="207" t="s">
        <v>211</v>
      </c>
      <c r="G170" s="212">
        <v>953023</v>
      </c>
      <c r="H170" s="348"/>
      <c r="I170" s="212"/>
      <c r="J170" s="348"/>
      <c r="K170" s="349"/>
      <c r="L170" s="212"/>
      <c r="M170" s="212"/>
      <c r="N170" s="212"/>
      <c r="O170" s="212"/>
    </row>
    <row r="171" spans="2:15">
      <c r="B171" s="212" t="s">
        <v>164</v>
      </c>
      <c r="C171" s="213">
        <v>44365</v>
      </c>
      <c r="D171" s="212">
        <v>1834</v>
      </c>
      <c r="E171" s="212" t="s">
        <v>12</v>
      </c>
      <c r="F171" s="207" t="s">
        <v>299</v>
      </c>
      <c r="G171" s="212">
        <v>923167</v>
      </c>
      <c r="H171" s="348"/>
      <c r="I171" s="212"/>
      <c r="J171" s="348"/>
      <c r="K171" s="349"/>
      <c r="L171" s="212"/>
      <c r="M171" s="212"/>
      <c r="N171" s="212"/>
      <c r="O171" s="212"/>
    </row>
    <row r="172" spans="2:15">
      <c r="B172" s="212" t="s">
        <v>164</v>
      </c>
      <c r="C172" s="213">
        <v>44365</v>
      </c>
      <c r="D172" s="212">
        <v>1834</v>
      </c>
      <c r="E172" s="212" t="s">
        <v>12</v>
      </c>
      <c r="F172" s="207" t="s">
        <v>212</v>
      </c>
      <c r="G172" s="212">
        <v>956427</v>
      </c>
      <c r="H172" s="348"/>
      <c r="I172" s="212"/>
      <c r="J172" s="348"/>
      <c r="K172" s="349"/>
      <c r="L172" s="212"/>
      <c r="M172" s="212"/>
      <c r="N172" s="212"/>
      <c r="O172" s="212"/>
    </row>
    <row r="173" spans="2:15">
      <c r="B173" s="212" t="s">
        <v>164</v>
      </c>
      <c r="C173" s="213">
        <v>44365</v>
      </c>
      <c r="D173" s="212">
        <v>1834</v>
      </c>
      <c r="E173" s="212" t="s">
        <v>12</v>
      </c>
      <c r="F173" s="207" t="s">
        <v>213</v>
      </c>
      <c r="G173" s="212">
        <v>950875</v>
      </c>
      <c r="H173" s="345"/>
      <c r="I173" s="212"/>
      <c r="J173" s="345"/>
      <c r="K173" s="347"/>
      <c r="L173" s="212"/>
      <c r="M173" s="212"/>
      <c r="N173" s="212"/>
      <c r="O173" s="212"/>
    </row>
    <row r="174" spans="2:15">
      <c r="B174" s="212" t="s">
        <v>164</v>
      </c>
      <c r="C174" s="213">
        <v>44365</v>
      </c>
      <c r="D174" s="212">
        <v>1836</v>
      </c>
      <c r="E174" s="207" t="s">
        <v>174</v>
      </c>
      <c r="F174" s="230" t="s">
        <v>325</v>
      </c>
      <c r="G174" s="217">
        <v>697526</v>
      </c>
      <c r="H174" s="212">
        <v>1000</v>
      </c>
      <c r="I174" s="211">
        <v>187.488</v>
      </c>
      <c r="J174" s="212">
        <f t="shared" ref="J174" si="6">H174-I174</f>
        <v>812.51199999999994</v>
      </c>
      <c r="K174" s="140">
        <f t="shared" ref="K174" si="7">I174/H174</f>
        <v>0.18748799999999999</v>
      </c>
      <c r="L174" s="212"/>
      <c r="M174" s="212"/>
      <c r="N174" s="212"/>
      <c r="O174" s="140"/>
    </row>
    <row r="175" spans="2:15">
      <c r="B175" s="212" t="s">
        <v>164</v>
      </c>
      <c r="C175" s="213">
        <v>44365</v>
      </c>
      <c r="D175" s="212">
        <v>1836</v>
      </c>
      <c r="E175" s="207" t="s">
        <v>174</v>
      </c>
      <c r="F175" s="230" t="s">
        <v>229</v>
      </c>
      <c r="G175" s="217">
        <v>956794</v>
      </c>
      <c r="H175" s="212">
        <v>1000</v>
      </c>
      <c r="I175" s="211">
        <v>259.29500000000002</v>
      </c>
      <c r="J175" s="212">
        <f t="shared" ref="J175:J177" si="8">H175-I175</f>
        <v>740.70499999999993</v>
      </c>
      <c r="K175" s="140">
        <f t="shared" ref="K175:K177" si="9">I175/H175</f>
        <v>0.259295</v>
      </c>
      <c r="L175" s="212"/>
      <c r="M175" s="212"/>
      <c r="N175" s="212"/>
      <c r="O175" s="140"/>
    </row>
    <row r="176" spans="2:15">
      <c r="B176" s="212" t="s">
        <v>164</v>
      </c>
      <c r="C176" s="213">
        <v>44365</v>
      </c>
      <c r="D176" s="212">
        <v>1836</v>
      </c>
      <c r="E176" s="207" t="s">
        <v>174</v>
      </c>
      <c r="F176" s="230" t="s">
        <v>307</v>
      </c>
      <c r="G176" s="217">
        <v>697542</v>
      </c>
      <c r="H176" s="212">
        <v>2500</v>
      </c>
      <c r="I176" s="211">
        <v>436.67</v>
      </c>
      <c r="J176" s="212">
        <f t="shared" si="8"/>
        <v>2063.33</v>
      </c>
      <c r="K176" s="140">
        <f t="shared" si="9"/>
        <v>0.17466800000000002</v>
      </c>
      <c r="L176" s="212"/>
      <c r="M176" s="212"/>
      <c r="N176" s="212"/>
      <c r="O176" s="140"/>
    </row>
    <row r="177" spans="2:15">
      <c r="B177" s="212" t="s">
        <v>164</v>
      </c>
      <c r="C177" s="213">
        <v>44365</v>
      </c>
      <c r="D177" s="212">
        <v>1836</v>
      </c>
      <c r="E177" s="207" t="s">
        <v>174</v>
      </c>
      <c r="F177" s="230" t="s">
        <v>326</v>
      </c>
      <c r="G177" s="217">
        <v>697783</v>
      </c>
      <c r="H177" s="212">
        <v>2500</v>
      </c>
      <c r="I177" s="211">
        <v>172.13300000000001</v>
      </c>
      <c r="J177" s="212">
        <f t="shared" si="8"/>
        <v>2327.8670000000002</v>
      </c>
      <c r="K177" s="140">
        <f t="shared" si="9"/>
        <v>6.8853200000000003E-2</v>
      </c>
      <c r="L177" s="212"/>
      <c r="M177" s="212"/>
      <c r="N177" s="212"/>
      <c r="O177" s="140"/>
    </row>
    <row r="178" spans="2:15">
      <c r="B178" s="212" t="s">
        <v>164</v>
      </c>
      <c r="C178" s="213">
        <v>44385</v>
      </c>
      <c r="D178" s="212">
        <v>2011</v>
      </c>
      <c r="E178" s="207" t="s">
        <v>12</v>
      </c>
      <c r="F178" s="217" t="s">
        <v>298</v>
      </c>
      <c r="G178" s="212">
        <v>958708</v>
      </c>
      <c r="H178" s="344">
        <v>561</v>
      </c>
      <c r="I178" s="212"/>
      <c r="J178" s="344">
        <f>H178-(I178+I179)</f>
        <v>561</v>
      </c>
      <c r="K178" s="346">
        <f>(I178+I179)/H178</f>
        <v>0</v>
      </c>
      <c r="L178" s="212"/>
      <c r="M178" s="212"/>
      <c r="N178" s="212"/>
      <c r="O178" s="140"/>
    </row>
    <row r="179" spans="2:15">
      <c r="B179" s="212" t="s">
        <v>164</v>
      </c>
      <c r="C179" s="213">
        <v>44385</v>
      </c>
      <c r="D179" s="212">
        <v>2011</v>
      </c>
      <c r="E179" s="207" t="s">
        <v>12</v>
      </c>
      <c r="F179" s="217" t="s">
        <v>299</v>
      </c>
      <c r="G179" s="212">
        <v>923167</v>
      </c>
      <c r="H179" s="345"/>
      <c r="I179" s="212"/>
      <c r="J179" s="345"/>
      <c r="K179" s="347"/>
      <c r="L179" s="212"/>
      <c r="M179" s="212"/>
      <c r="N179" s="212"/>
      <c r="O179" s="140"/>
    </row>
    <row r="180" spans="2:15">
      <c r="B180" s="212" t="s">
        <v>164</v>
      </c>
      <c r="C180" s="213">
        <v>44385</v>
      </c>
      <c r="D180" s="212">
        <v>2028</v>
      </c>
      <c r="E180" s="207" t="s">
        <v>174</v>
      </c>
      <c r="F180" s="217" t="s">
        <v>249</v>
      </c>
      <c r="G180" s="217">
        <v>968293</v>
      </c>
      <c r="H180" s="344">
        <v>3000</v>
      </c>
      <c r="I180" s="211">
        <v>285.02700000000004</v>
      </c>
      <c r="J180" s="344">
        <f>H180-(I180+I181+I182)</f>
        <v>2289.8329999999996</v>
      </c>
      <c r="K180" s="346">
        <f>(I180+I181+I182)/H180</f>
        <v>0.23672233333333337</v>
      </c>
      <c r="L180" s="212"/>
      <c r="M180" s="212"/>
      <c r="N180" s="212"/>
      <c r="O180" s="140"/>
    </row>
    <row r="181" spans="2:15">
      <c r="B181" s="212" t="s">
        <v>164</v>
      </c>
      <c r="C181" s="213">
        <v>44385</v>
      </c>
      <c r="D181" s="212">
        <v>2028</v>
      </c>
      <c r="E181" s="207" t="s">
        <v>174</v>
      </c>
      <c r="F181" s="217" t="s">
        <v>306</v>
      </c>
      <c r="G181" s="217">
        <v>969249</v>
      </c>
      <c r="H181" s="348"/>
      <c r="I181" s="211">
        <v>161.63800000000001</v>
      </c>
      <c r="J181" s="348"/>
      <c r="K181" s="349"/>
      <c r="L181" s="212"/>
      <c r="M181" s="212"/>
      <c r="N181" s="212"/>
      <c r="O181" s="140"/>
    </row>
    <row r="182" spans="2:15">
      <c r="B182" s="212" t="s">
        <v>164</v>
      </c>
      <c r="C182" s="213">
        <v>44385</v>
      </c>
      <c r="D182" s="212">
        <v>2028</v>
      </c>
      <c r="E182" s="207" t="s">
        <v>174</v>
      </c>
      <c r="F182" s="217" t="s">
        <v>305</v>
      </c>
      <c r="G182" s="212">
        <v>955856</v>
      </c>
      <c r="H182" s="345"/>
      <c r="I182" s="211">
        <v>263.50200000000001</v>
      </c>
      <c r="J182" s="345"/>
      <c r="K182" s="347"/>
      <c r="L182" s="212"/>
      <c r="M182" s="212"/>
      <c r="N182" s="212"/>
      <c r="O182" s="140"/>
    </row>
    <row r="183" spans="2:15">
      <c r="B183" s="212" t="s">
        <v>164</v>
      </c>
      <c r="C183" s="213">
        <v>44407</v>
      </c>
      <c r="D183" s="212">
        <v>2173</v>
      </c>
      <c r="E183" s="207" t="s">
        <v>174</v>
      </c>
      <c r="F183" s="212" t="s">
        <v>225</v>
      </c>
      <c r="G183" s="212">
        <v>969313</v>
      </c>
      <c r="H183" s="212">
        <v>300.49200000000002</v>
      </c>
      <c r="I183" s="212"/>
      <c r="J183" s="212">
        <f t="shared" ref="J183" si="10">H183-I183</f>
        <v>300.49200000000002</v>
      </c>
      <c r="K183" s="140">
        <f t="shared" ref="K183" si="11">I183/H183</f>
        <v>0</v>
      </c>
      <c r="L183" s="212"/>
      <c r="M183" s="212"/>
      <c r="N183" s="212"/>
      <c r="O183" s="140"/>
    </row>
    <row r="184" spans="2:15">
      <c r="B184" s="212" t="s">
        <v>164</v>
      </c>
      <c r="C184" s="213">
        <v>44407</v>
      </c>
      <c r="D184" s="212">
        <v>2174</v>
      </c>
      <c r="E184" s="207" t="s">
        <v>328</v>
      </c>
      <c r="F184" s="212" t="s">
        <v>217</v>
      </c>
      <c r="G184" s="212">
        <v>968447</v>
      </c>
      <c r="H184" s="212">
        <v>300.49200000000002</v>
      </c>
      <c r="I184" s="212"/>
      <c r="J184" s="212">
        <f t="shared" ref="J184" si="12">H184-I184</f>
        <v>300.49200000000002</v>
      </c>
      <c r="K184" s="140">
        <f t="shared" ref="K184" si="13">I184/H184</f>
        <v>0</v>
      </c>
      <c r="L184" s="212"/>
      <c r="M184" s="212"/>
      <c r="N184" s="212"/>
      <c r="O184" s="140"/>
    </row>
    <row r="185" spans="2:15">
      <c r="B185" s="212" t="s">
        <v>164</v>
      </c>
      <c r="C185" s="213">
        <v>44407</v>
      </c>
      <c r="D185" s="212">
        <v>2175</v>
      </c>
      <c r="E185" s="207" t="s">
        <v>328</v>
      </c>
      <c r="F185" s="212" t="s">
        <v>224</v>
      </c>
      <c r="G185" s="212">
        <v>969068</v>
      </c>
      <c r="H185" s="212">
        <v>300.49200000000002</v>
      </c>
      <c r="I185" s="212"/>
      <c r="J185" s="212">
        <f t="shared" ref="J185:J194" si="14">H185-I185</f>
        <v>300.49200000000002</v>
      </c>
      <c r="K185" s="140">
        <f t="shared" ref="K185:K194" si="15">I185/H185</f>
        <v>0</v>
      </c>
      <c r="L185" s="212"/>
      <c r="M185" s="212"/>
      <c r="N185" s="212"/>
      <c r="O185" s="140"/>
    </row>
    <row r="186" spans="2:15">
      <c r="B186" s="212" t="s">
        <v>164</v>
      </c>
      <c r="C186" s="213">
        <v>44407</v>
      </c>
      <c r="D186" s="212">
        <v>2176</v>
      </c>
      <c r="E186" s="207" t="s">
        <v>174</v>
      </c>
      <c r="F186" s="212" t="s">
        <v>219</v>
      </c>
      <c r="G186" s="212">
        <v>968274</v>
      </c>
      <c r="H186" s="212">
        <v>300.49200000000002</v>
      </c>
      <c r="I186" s="212"/>
      <c r="J186" s="212">
        <f t="shared" si="14"/>
        <v>300.49200000000002</v>
      </c>
      <c r="K186" s="140">
        <f t="shared" si="15"/>
        <v>0</v>
      </c>
      <c r="L186" s="212"/>
      <c r="M186" s="212"/>
      <c r="N186" s="212"/>
      <c r="O186" s="140"/>
    </row>
    <row r="187" spans="2:15">
      <c r="B187" s="212" t="s">
        <v>164</v>
      </c>
      <c r="C187" s="213">
        <v>44426</v>
      </c>
      <c r="D187" s="212">
        <v>2328</v>
      </c>
      <c r="E187" s="207" t="s">
        <v>174</v>
      </c>
      <c r="F187" s="212" t="s">
        <v>266</v>
      </c>
      <c r="G187" s="212">
        <v>969314</v>
      </c>
      <c r="H187" s="212">
        <v>600</v>
      </c>
      <c r="I187" s="212"/>
      <c r="J187" s="212">
        <f t="shared" si="14"/>
        <v>600</v>
      </c>
      <c r="K187" s="140">
        <f t="shared" si="15"/>
        <v>0</v>
      </c>
      <c r="L187" s="212"/>
      <c r="M187" s="212"/>
      <c r="N187" s="212"/>
      <c r="O187" s="140"/>
    </row>
    <row r="188" spans="2:15">
      <c r="B188" s="212" t="s">
        <v>164</v>
      </c>
      <c r="C188" s="213">
        <v>44426</v>
      </c>
      <c r="D188" s="212">
        <v>2328</v>
      </c>
      <c r="E188" s="207" t="s">
        <v>174</v>
      </c>
      <c r="F188" s="212" t="s">
        <v>264</v>
      </c>
      <c r="G188" s="212">
        <v>961059</v>
      </c>
      <c r="H188" s="212">
        <v>800</v>
      </c>
      <c r="I188" s="212"/>
      <c r="J188" s="212">
        <f t="shared" si="14"/>
        <v>800</v>
      </c>
      <c r="K188" s="140">
        <f t="shared" si="15"/>
        <v>0</v>
      </c>
      <c r="L188" s="212"/>
      <c r="M188" s="212"/>
      <c r="N188" s="212"/>
      <c r="O188" s="140"/>
    </row>
    <row r="189" spans="2:15">
      <c r="B189" s="212" t="s">
        <v>164</v>
      </c>
      <c r="C189" s="213">
        <v>44434</v>
      </c>
      <c r="D189" s="212">
        <v>2407</v>
      </c>
      <c r="E189" s="207" t="s">
        <v>174</v>
      </c>
      <c r="F189" s="207" t="s">
        <v>304</v>
      </c>
      <c r="G189" s="212">
        <v>913594</v>
      </c>
      <c r="H189" s="212">
        <v>1000</v>
      </c>
      <c r="I189" s="212"/>
      <c r="J189" s="212">
        <f t="shared" si="14"/>
        <v>1000</v>
      </c>
      <c r="K189" s="140">
        <f t="shared" si="15"/>
        <v>0</v>
      </c>
      <c r="L189" s="212"/>
      <c r="M189" s="212"/>
      <c r="N189" s="212"/>
      <c r="O189" s="140"/>
    </row>
    <row r="190" spans="2:15">
      <c r="B190" s="212" t="s">
        <v>164</v>
      </c>
      <c r="C190" s="213">
        <v>44434</v>
      </c>
      <c r="D190" s="212">
        <v>2407</v>
      </c>
      <c r="E190" s="207" t="s">
        <v>174</v>
      </c>
      <c r="F190" s="207" t="s">
        <v>229</v>
      </c>
      <c r="G190" s="212">
        <v>956794</v>
      </c>
      <c r="H190" s="212">
        <v>1500</v>
      </c>
      <c r="I190" s="212"/>
      <c r="J190" s="212">
        <f t="shared" si="14"/>
        <v>1500</v>
      </c>
      <c r="K190" s="140">
        <f t="shared" si="15"/>
        <v>0</v>
      </c>
      <c r="L190" s="212"/>
      <c r="M190" s="212"/>
      <c r="N190" s="212"/>
      <c r="O190" s="140"/>
    </row>
    <row r="191" spans="2:15">
      <c r="B191" s="212" t="s">
        <v>164</v>
      </c>
      <c r="C191" s="213">
        <v>44434</v>
      </c>
      <c r="D191" s="212">
        <v>2407</v>
      </c>
      <c r="E191" s="207" t="s">
        <v>174</v>
      </c>
      <c r="F191" s="207" t="s">
        <v>260</v>
      </c>
      <c r="G191" s="212">
        <v>968111</v>
      </c>
      <c r="H191" s="212">
        <v>1500</v>
      </c>
      <c r="I191" s="212"/>
      <c r="J191" s="212">
        <f t="shared" si="14"/>
        <v>1500</v>
      </c>
      <c r="K191" s="140">
        <f t="shared" si="15"/>
        <v>0</v>
      </c>
      <c r="L191" s="212"/>
      <c r="M191" s="212"/>
      <c r="N191" s="212"/>
      <c r="O191" s="140"/>
    </row>
    <row r="192" spans="2:15">
      <c r="B192" s="212" t="s">
        <v>164</v>
      </c>
      <c r="C192" s="213">
        <v>44441</v>
      </c>
      <c r="D192" s="212">
        <v>2438</v>
      </c>
      <c r="E192" s="207" t="s">
        <v>328</v>
      </c>
      <c r="F192" s="207" t="s">
        <v>325</v>
      </c>
      <c r="G192" s="212">
        <v>697526</v>
      </c>
      <c r="H192" s="212">
        <v>500</v>
      </c>
      <c r="I192" s="212"/>
      <c r="J192" s="212">
        <f t="shared" si="14"/>
        <v>500</v>
      </c>
      <c r="K192" s="140">
        <f t="shared" si="15"/>
        <v>0</v>
      </c>
      <c r="L192" s="212"/>
      <c r="M192" s="212"/>
      <c r="N192" s="212"/>
      <c r="O192" s="140"/>
    </row>
    <row r="193" spans="2:15">
      <c r="B193" s="212" t="s">
        <v>164</v>
      </c>
      <c r="C193" s="213">
        <v>44453</v>
      </c>
      <c r="D193" s="212">
        <v>2542</v>
      </c>
      <c r="E193" s="207" t="s">
        <v>174</v>
      </c>
      <c r="F193" s="207" t="s">
        <v>245</v>
      </c>
      <c r="G193" s="212">
        <v>961261</v>
      </c>
      <c r="H193" s="212">
        <v>1000</v>
      </c>
      <c r="I193" s="212"/>
      <c r="J193" s="212">
        <f t="shared" si="14"/>
        <v>1000</v>
      </c>
      <c r="K193" s="140">
        <f t="shared" si="15"/>
        <v>0</v>
      </c>
      <c r="L193" s="212"/>
      <c r="M193" s="212"/>
      <c r="N193" s="212"/>
      <c r="O193" s="140"/>
    </row>
    <row r="194" spans="2:15">
      <c r="B194" s="212" t="s">
        <v>164</v>
      </c>
      <c r="C194" s="213">
        <v>44453</v>
      </c>
      <c r="D194" s="212">
        <v>2542</v>
      </c>
      <c r="E194" s="207" t="s">
        <v>174</v>
      </c>
      <c r="F194" s="207" t="s">
        <v>246</v>
      </c>
      <c r="G194" s="212">
        <v>697514</v>
      </c>
      <c r="H194" s="212">
        <v>1000</v>
      </c>
      <c r="I194" s="212"/>
      <c r="J194" s="212">
        <f t="shared" si="14"/>
        <v>1000</v>
      </c>
      <c r="K194" s="140">
        <f t="shared" si="15"/>
        <v>0</v>
      </c>
      <c r="L194" s="212"/>
      <c r="M194" s="212"/>
      <c r="N194" s="212"/>
      <c r="O194" s="212"/>
    </row>
    <row r="195" spans="2:15">
      <c r="B195" s="207"/>
      <c r="C195" s="213"/>
      <c r="D195" s="212"/>
      <c r="E195" s="207"/>
      <c r="F195" s="207"/>
      <c r="G195" s="212"/>
      <c r="H195" s="212"/>
      <c r="I195" s="212"/>
      <c r="J195" s="212"/>
      <c r="K195" s="140"/>
      <c r="L195" s="212"/>
      <c r="M195" s="212"/>
      <c r="N195" s="212"/>
      <c r="O195" s="212"/>
    </row>
    <row r="196" spans="2:15">
      <c r="B196" s="212"/>
      <c r="C196" s="213"/>
      <c r="D196" s="212"/>
      <c r="E196" s="212"/>
      <c r="F196" s="212"/>
      <c r="G196" s="212"/>
      <c r="H196" s="212"/>
      <c r="I196" s="212"/>
      <c r="J196" s="212"/>
      <c r="K196" s="140"/>
      <c r="L196" s="212"/>
      <c r="M196" s="212"/>
      <c r="N196" s="212"/>
      <c r="O196" s="212"/>
    </row>
    <row r="197" spans="2:15">
      <c r="B197" s="212"/>
      <c r="C197" s="213"/>
      <c r="D197" s="212"/>
      <c r="E197" s="212"/>
      <c r="F197" s="212"/>
      <c r="G197" s="212"/>
      <c r="H197" s="212"/>
      <c r="I197" s="212"/>
      <c r="J197" s="212"/>
      <c r="K197" s="140"/>
      <c r="L197" s="212"/>
      <c r="M197" s="212"/>
      <c r="N197" s="212"/>
      <c r="O197" s="212"/>
    </row>
    <row r="198" spans="2:15">
      <c r="B198" s="212"/>
      <c r="C198" s="213"/>
      <c r="D198" s="212"/>
      <c r="E198" s="212"/>
      <c r="F198" s="212"/>
      <c r="G198" s="212"/>
      <c r="H198" s="212"/>
      <c r="I198" s="212"/>
      <c r="J198" s="212"/>
      <c r="K198" s="140"/>
      <c r="L198" s="212"/>
      <c r="M198" s="212"/>
      <c r="N198" s="212"/>
      <c r="O198" s="212"/>
    </row>
    <row r="199" spans="2:15">
      <c r="B199" s="212"/>
      <c r="C199" s="213"/>
      <c r="D199" s="212"/>
      <c r="E199" s="212"/>
      <c r="F199" s="212"/>
      <c r="G199" s="212"/>
      <c r="H199" s="212"/>
      <c r="I199" s="212"/>
      <c r="J199" s="212"/>
      <c r="K199" s="140"/>
      <c r="L199" s="212"/>
      <c r="M199" s="212"/>
      <c r="N199" s="212"/>
      <c r="O199" s="212"/>
    </row>
    <row r="200" spans="2:15">
      <c r="B200" s="212"/>
      <c r="C200" s="213"/>
      <c r="D200" s="212"/>
      <c r="E200" s="212"/>
      <c r="F200" s="212"/>
      <c r="G200" s="212"/>
      <c r="H200" s="212"/>
      <c r="I200" s="212"/>
      <c r="J200" s="212"/>
      <c r="K200" s="140"/>
      <c r="L200" s="212"/>
      <c r="M200" s="212"/>
      <c r="N200" s="212"/>
      <c r="O200" s="212"/>
    </row>
    <row r="201" spans="2:15">
      <c r="B201" s="212"/>
      <c r="C201" s="213"/>
      <c r="D201" s="212"/>
      <c r="E201" s="212"/>
      <c r="F201" s="212"/>
      <c r="G201" s="212"/>
      <c r="H201" s="212"/>
      <c r="I201" s="212"/>
      <c r="J201" s="212"/>
      <c r="K201" s="140"/>
      <c r="L201" s="212"/>
      <c r="M201" s="212"/>
      <c r="N201" s="212"/>
      <c r="O201" s="212"/>
    </row>
    <row r="202" spans="2:15">
      <c r="B202" s="212"/>
      <c r="C202" s="213"/>
      <c r="D202" s="212"/>
      <c r="E202" s="212"/>
      <c r="F202" s="212"/>
      <c r="G202" s="212"/>
      <c r="H202" s="212"/>
      <c r="I202" s="212"/>
      <c r="J202" s="212"/>
      <c r="K202" s="140"/>
      <c r="L202" s="212"/>
      <c r="M202" s="212"/>
      <c r="N202" s="212"/>
      <c r="O202" s="212"/>
    </row>
    <row r="203" spans="2:15">
      <c r="C203" s="252"/>
      <c r="K203" s="169"/>
    </row>
    <row r="204" spans="2:15">
      <c r="C204" s="252"/>
      <c r="K204" s="169"/>
    </row>
    <row r="205" spans="2:15">
      <c r="C205" s="252"/>
      <c r="K205" s="169"/>
    </row>
    <row r="206" spans="2:15">
      <c r="C206" s="252"/>
      <c r="K206" s="169"/>
    </row>
    <row r="207" spans="2:15">
      <c r="C207" s="252"/>
      <c r="K207" s="169"/>
    </row>
    <row r="208" spans="2:15">
      <c r="C208" s="252"/>
      <c r="K208" s="169"/>
    </row>
    <row r="209" spans="3:11">
      <c r="C209" s="252"/>
      <c r="K209" s="169"/>
    </row>
    <row r="210" spans="3:11">
      <c r="C210" s="252"/>
      <c r="K210" s="169"/>
    </row>
    <row r="211" spans="3:11">
      <c r="C211" s="252"/>
      <c r="K211" s="169"/>
    </row>
    <row r="212" spans="3:11">
      <c r="C212" s="252"/>
      <c r="K212" s="169"/>
    </row>
    <row r="213" spans="3:11">
      <c r="C213" s="252"/>
      <c r="K213" s="169"/>
    </row>
    <row r="214" spans="3:11">
      <c r="C214" s="252"/>
      <c r="K214" s="169"/>
    </row>
    <row r="215" spans="3:11">
      <c r="C215" s="252"/>
      <c r="K215" s="169"/>
    </row>
    <row r="216" spans="3:11">
      <c r="C216" s="252"/>
      <c r="K216" s="169"/>
    </row>
    <row r="217" spans="3:11">
      <c r="C217" s="252"/>
      <c r="K217" s="169"/>
    </row>
    <row r="218" spans="3:11">
      <c r="C218" s="252"/>
      <c r="K218" s="169"/>
    </row>
    <row r="219" spans="3:11">
      <c r="C219" s="252"/>
      <c r="K219" s="169"/>
    </row>
    <row r="220" spans="3:11">
      <c r="C220" s="252"/>
      <c r="K220" s="169"/>
    </row>
    <row r="221" spans="3:11">
      <c r="C221" s="252"/>
      <c r="K221" s="169"/>
    </row>
    <row r="222" spans="3:11">
      <c r="C222" s="252"/>
      <c r="K222" s="169"/>
    </row>
    <row r="223" spans="3:11">
      <c r="C223" s="252"/>
      <c r="K223" s="169"/>
    </row>
    <row r="224" spans="3:11">
      <c r="C224" s="252"/>
      <c r="K224" s="169"/>
    </row>
    <row r="225" spans="3:11">
      <c r="C225" s="252"/>
      <c r="K225" s="169"/>
    </row>
    <row r="226" spans="3:11">
      <c r="C226" s="252"/>
      <c r="K226" s="169"/>
    </row>
    <row r="227" spans="3:11">
      <c r="C227" s="252"/>
      <c r="K227" s="169"/>
    </row>
    <row r="228" spans="3:11">
      <c r="C228" s="252"/>
      <c r="K228" s="169"/>
    </row>
    <row r="229" spans="3:11">
      <c r="C229" s="252"/>
      <c r="K229" s="169"/>
    </row>
    <row r="230" spans="3:11">
      <c r="C230" s="252"/>
      <c r="K230" s="169"/>
    </row>
    <row r="231" spans="3:11">
      <c r="C231" s="252"/>
      <c r="K231" s="169"/>
    </row>
    <row r="232" spans="3:11">
      <c r="C232" s="252"/>
      <c r="K232" s="169"/>
    </row>
    <row r="233" spans="3:11">
      <c r="C233" s="252"/>
      <c r="K233" s="169"/>
    </row>
    <row r="234" spans="3:11">
      <c r="C234" s="252"/>
      <c r="K234" s="169"/>
    </row>
    <row r="235" spans="3:11">
      <c r="C235" s="252"/>
      <c r="K235" s="169"/>
    </row>
    <row r="236" spans="3:11">
      <c r="C236" s="252"/>
      <c r="K236" s="169"/>
    </row>
    <row r="237" spans="3:11">
      <c r="C237" s="252"/>
      <c r="K237" s="169"/>
    </row>
    <row r="238" spans="3:11">
      <c r="C238" s="252"/>
      <c r="K238" s="169"/>
    </row>
    <row r="239" spans="3:11">
      <c r="C239" s="252"/>
      <c r="K239" s="169"/>
    </row>
    <row r="240" spans="3:11">
      <c r="C240" s="252"/>
      <c r="K240" s="169"/>
    </row>
    <row r="241" spans="3:11">
      <c r="C241" s="252"/>
      <c r="K241" s="169"/>
    </row>
    <row r="242" spans="3:11">
      <c r="C242" s="252"/>
      <c r="K242" s="169"/>
    </row>
    <row r="243" spans="3:11">
      <c r="C243" s="252"/>
      <c r="K243" s="169"/>
    </row>
    <row r="244" spans="3:11">
      <c r="C244" s="252"/>
      <c r="K244" s="169"/>
    </row>
    <row r="245" spans="3:11">
      <c r="C245" s="252"/>
      <c r="K245" s="169"/>
    </row>
    <row r="246" spans="3:11">
      <c r="C246" s="252"/>
      <c r="K246" s="169"/>
    </row>
    <row r="247" spans="3:11">
      <c r="C247" s="252"/>
      <c r="K247" s="169"/>
    </row>
    <row r="248" spans="3:11">
      <c r="C248" s="252"/>
      <c r="K248" s="169"/>
    </row>
    <row r="249" spans="3:11">
      <c r="C249" s="252"/>
      <c r="K249" s="169"/>
    </row>
    <row r="250" spans="3:11">
      <c r="C250" s="252"/>
      <c r="K250" s="169"/>
    </row>
    <row r="251" spans="3:11">
      <c r="C251" s="252"/>
      <c r="K251" s="169"/>
    </row>
    <row r="252" spans="3:11">
      <c r="C252" s="252"/>
      <c r="K252" s="169"/>
    </row>
    <row r="253" spans="3:11">
      <c r="C253" s="252"/>
      <c r="K253" s="169"/>
    </row>
    <row r="254" spans="3:11">
      <c r="C254" s="252"/>
      <c r="K254" s="169"/>
    </row>
    <row r="255" spans="3:11">
      <c r="C255" s="252"/>
      <c r="K255" s="169"/>
    </row>
    <row r="256" spans="3:11">
      <c r="C256" s="252"/>
      <c r="K256" s="169"/>
    </row>
    <row r="257" spans="3:11">
      <c r="C257" s="252"/>
      <c r="K257" s="169"/>
    </row>
    <row r="258" spans="3:11">
      <c r="C258" s="252"/>
      <c r="K258" s="169"/>
    </row>
    <row r="259" spans="3:11">
      <c r="C259" s="252"/>
      <c r="K259" s="169"/>
    </row>
    <row r="260" spans="3:11">
      <c r="C260" s="252"/>
      <c r="K260" s="169"/>
    </row>
    <row r="261" spans="3:11">
      <c r="C261" s="252"/>
      <c r="K261" s="169"/>
    </row>
    <row r="262" spans="3:11">
      <c r="C262" s="252"/>
      <c r="K262" s="169"/>
    </row>
    <row r="263" spans="3:11">
      <c r="C263" s="252"/>
      <c r="K263" s="169"/>
    </row>
    <row r="264" spans="3:11">
      <c r="C264" s="252"/>
      <c r="K264" s="169"/>
    </row>
    <row r="265" spans="3:11">
      <c r="C265" s="252"/>
      <c r="K265" s="169"/>
    </row>
    <row r="266" spans="3:11">
      <c r="C266" s="252"/>
      <c r="K266" s="169"/>
    </row>
    <row r="267" spans="3:11">
      <c r="C267" s="252"/>
      <c r="K267" s="169"/>
    </row>
    <row r="268" spans="3:11">
      <c r="C268" s="252"/>
      <c r="K268" s="169"/>
    </row>
    <row r="269" spans="3:11">
      <c r="C269" s="252"/>
      <c r="K269" s="169"/>
    </row>
    <row r="270" spans="3:11">
      <c r="C270" s="252"/>
      <c r="K270" s="169"/>
    </row>
    <row r="271" spans="3:11">
      <c r="C271" s="252"/>
      <c r="K271" s="169"/>
    </row>
    <row r="272" spans="3:11">
      <c r="C272" s="252"/>
      <c r="K272" s="169"/>
    </row>
    <row r="273" spans="3:11">
      <c r="C273" s="252"/>
      <c r="K273" s="169"/>
    </row>
    <row r="274" spans="3:11">
      <c r="C274" s="252"/>
      <c r="K274" s="169"/>
    </row>
    <row r="275" spans="3:11">
      <c r="C275" s="252"/>
      <c r="K275" s="169"/>
    </row>
    <row r="276" spans="3:11">
      <c r="C276" s="252"/>
      <c r="K276" s="169"/>
    </row>
  </sheetData>
  <autoFilter ref="B4:O182"/>
  <mergeCells count="45">
    <mergeCell ref="H157:H173"/>
    <mergeCell ref="J157:J173"/>
    <mergeCell ref="K157:K173"/>
    <mergeCell ref="O103:O111"/>
    <mergeCell ref="H112:H120"/>
    <mergeCell ref="J112:J120"/>
    <mergeCell ref="K112:K120"/>
    <mergeCell ref="L103:L111"/>
    <mergeCell ref="N103:N111"/>
    <mergeCell ref="H152:H156"/>
    <mergeCell ref="J152:J156"/>
    <mergeCell ref="K152:K156"/>
    <mergeCell ref="H47:H90"/>
    <mergeCell ref="J47:J90"/>
    <mergeCell ref="K47:K90"/>
    <mergeCell ref="L2:O2"/>
    <mergeCell ref="S3:V3"/>
    <mergeCell ref="H2:K2"/>
    <mergeCell ref="H5:H13"/>
    <mergeCell ref="J5:J13"/>
    <mergeCell ref="K5:K13"/>
    <mergeCell ref="H22:H31"/>
    <mergeCell ref="J22:J31"/>
    <mergeCell ref="K22:K31"/>
    <mergeCell ref="H32:H46"/>
    <mergeCell ref="J32:J46"/>
    <mergeCell ref="K32:K46"/>
    <mergeCell ref="H91:H102"/>
    <mergeCell ref="J91:J102"/>
    <mergeCell ref="K91:K102"/>
    <mergeCell ref="H144:H150"/>
    <mergeCell ref="J144:J150"/>
    <mergeCell ref="K144:K150"/>
    <mergeCell ref="H128:H142"/>
    <mergeCell ref="J128:J142"/>
    <mergeCell ref="K128:K142"/>
    <mergeCell ref="H121:H127"/>
    <mergeCell ref="J121:J127"/>
    <mergeCell ref="K121:K127"/>
    <mergeCell ref="H178:H179"/>
    <mergeCell ref="J178:J179"/>
    <mergeCell ref="K178:K179"/>
    <mergeCell ref="H180:H182"/>
    <mergeCell ref="J180:J182"/>
    <mergeCell ref="K180:K182"/>
  </mergeCells>
  <conditionalFormatting sqref="O165:O215 O112:O160 O162 K104:K105 K196:K215 O5:O23 K5 K32 K144 O32:O103 K174:K178 K180 K189:K193">
    <cfRule type="cellIs" dxfId="4" priority="7" operator="greaterThan">
      <formula>0.9</formula>
    </cfRule>
  </conditionalFormatting>
  <conditionalFormatting sqref="K183">
    <cfRule type="cellIs" dxfId="3" priority="4" operator="greaterThan">
      <formula>0.9</formula>
    </cfRule>
  </conditionalFormatting>
  <conditionalFormatting sqref="K184">
    <cfRule type="cellIs" dxfId="2" priority="3" operator="greaterThan">
      <formula>0.9</formula>
    </cfRule>
  </conditionalFormatting>
  <conditionalFormatting sqref="K185">
    <cfRule type="cellIs" dxfId="1" priority="2" operator="greaterThan">
      <formula>0.9</formula>
    </cfRule>
  </conditionalFormatting>
  <conditionalFormatting sqref="K186:K188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61"/>
  <sheetViews>
    <sheetView topLeftCell="B67" workbookViewId="0">
      <selection activeCell="G6" sqref="G6:G76"/>
    </sheetView>
  </sheetViews>
  <sheetFormatPr baseColWidth="10" defaultRowHeight="15"/>
  <cols>
    <col min="1" max="1" width="11.42578125" style="115"/>
    <col min="2" max="2" width="11.5703125" style="115" bestFit="1" customWidth="1"/>
    <col min="3" max="3" width="19" style="115" bestFit="1" customWidth="1"/>
    <col min="4" max="4" width="7" style="115" bestFit="1" customWidth="1"/>
    <col min="5" max="5" width="22.28515625" style="115" bestFit="1" customWidth="1"/>
    <col min="6" max="6" width="11.42578125" style="115"/>
    <col min="7" max="7" width="11.42578125" style="238"/>
    <col min="8" max="8" width="11.85546875" style="115" bestFit="1" customWidth="1"/>
    <col min="9" max="9" width="13.42578125" style="115" bestFit="1" customWidth="1"/>
    <col min="10" max="16384" width="11.42578125" style="115"/>
  </cols>
  <sheetData>
    <row r="2" spans="2:10">
      <c r="B2" s="296" t="s">
        <v>215</v>
      </c>
      <c r="C2" s="296"/>
      <c r="D2" s="296"/>
      <c r="E2" s="296"/>
      <c r="F2" s="296"/>
      <c r="G2" s="296"/>
      <c r="H2" s="296"/>
      <c r="I2" s="296"/>
      <c r="J2" s="296"/>
    </row>
    <row r="3" spans="2:10">
      <c r="B3" s="297">
        <f>Resumen!C4</f>
        <v>44454</v>
      </c>
      <c r="C3" s="297"/>
      <c r="D3" s="297"/>
      <c r="E3" s="297"/>
      <c r="F3" s="297"/>
      <c r="G3" s="297"/>
      <c r="H3" s="297"/>
      <c r="I3" s="297"/>
      <c r="J3" s="297"/>
    </row>
    <row r="5" spans="2:10" ht="45">
      <c r="B5" s="231" t="s">
        <v>176</v>
      </c>
      <c r="C5" s="231" t="s">
        <v>28</v>
      </c>
      <c r="D5" s="231" t="s">
        <v>124</v>
      </c>
      <c r="E5" s="231" t="s">
        <v>37</v>
      </c>
      <c r="F5" s="229" t="s">
        <v>177</v>
      </c>
      <c r="G5" s="233" t="s">
        <v>178</v>
      </c>
      <c r="H5" s="231" t="s">
        <v>179</v>
      </c>
      <c r="I5" s="231" t="s">
        <v>180</v>
      </c>
      <c r="J5" s="231" t="s">
        <v>36</v>
      </c>
    </row>
    <row r="6" spans="2:10">
      <c r="B6" s="228" t="s">
        <v>216</v>
      </c>
      <c r="C6" s="228" t="s">
        <v>217</v>
      </c>
      <c r="D6" s="228">
        <v>968447</v>
      </c>
      <c r="E6" s="232" t="s">
        <v>300</v>
      </c>
      <c r="F6" s="228">
        <v>1447.5920000000001</v>
      </c>
      <c r="G6" s="237">
        <v>934.97900000000004</v>
      </c>
      <c r="H6" s="234">
        <f>+F6-G6</f>
        <v>512.61300000000006</v>
      </c>
      <c r="I6" s="236">
        <f>+G6/F6</f>
        <v>0.64588571918054261</v>
      </c>
      <c r="J6" s="232"/>
    </row>
    <row r="7" spans="2:10">
      <c r="B7" s="228" t="s">
        <v>218</v>
      </c>
      <c r="C7" s="228" t="s">
        <v>219</v>
      </c>
      <c r="D7" s="228">
        <v>968274</v>
      </c>
      <c r="E7" s="234" t="s">
        <v>300</v>
      </c>
      <c r="F7" s="228">
        <v>2409.5209999999997</v>
      </c>
      <c r="G7" s="237">
        <v>1001.765</v>
      </c>
      <c r="H7" s="234">
        <f t="shared" ref="H7:H14" si="0">+F7-G7</f>
        <v>1407.7559999999999</v>
      </c>
      <c r="I7" s="236">
        <f t="shared" ref="I7:I14" si="1">+G7/F7</f>
        <v>0.41575275749827462</v>
      </c>
      <c r="J7" s="232"/>
    </row>
    <row r="8" spans="2:10">
      <c r="B8" s="228" t="s">
        <v>218</v>
      </c>
      <c r="C8" s="228" t="s">
        <v>220</v>
      </c>
      <c r="D8" s="228">
        <v>968369</v>
      </c>
      <c r="E8" s="234" t="s">
        <v>300</v>
      </c>
      <c r="F8" s="228">
        <v>603.31700000000001</v>
      </c>
      <c r="G8" s="150"/>
      <c r="H8" s="234">
        <f t="shared" si="0"/>
        <v>603.31700000000001</v>
      </c>
      <c r="I8" s="236">
        <f t="shared" si="1"/>
        <v>0</v>
      </c>
      <c r="J8" s="232"/>
    </row>
    <row r="9" spans="2:10">
      <c r="B9" s="228" t="s">
        <v>218</v>
      </c>
      <c r="C9" s="228" t="s">
        <v>221</v>
      </c>
      <c r="D9" s="228">
        <v>967665</v>
      </c>
      <c r="E9" s="234" t="s">
        <v>300</v>
      </c>
      <c r="F9" s="228">
        <v>1012.482</v>
      </c>
      <c r="G9" s="150">
        <v>295.80999999999995</v>
      </c>
      <c r="H9" s="234">
        <f t="shared" si="0"/>
        <v>716.67200000000003</v>
      </c>
      <c r="I9" s="236">
        <f t="shared" si="1"/>
        <v>0.29216321870413492</v>
      </c>
      <c r="J9" s="232"/>
    </row>
    <row r="10" spans="2:10">
      <c r="B10" s="228" t="s">
        <v>218</v>
      </c>
      <c r="C10" s="228" t="s">
        <v>222</v>
      </c>
      <c r="D10" s="228">
        <v>968466</v>
      </c>
      <c r="E10" s="234" t="s">
        <v>300</v>
      </c>
      <c r="F10" s="228">
        <v>599.74700000000007</v>
      </c>
      <c r="G10" s="237">
        <v>599.74699999999996</v>
      </c>
      <c r="H10" s="234">
        <f t="shared" si="0"/>
        <v>0</v>
      </c>
      <c r="I10" s="236">
        <f t="shared" si="1"/>
        <v>0.99999999999999978</v>
      </c>
      <c r="J10" s="232"/>
    </row>
    <row r="11" spans="2:10">
      <c r="B11" s="228" t="s">
        <v>218</v>
      </c>
      <c r="C11" s="228" t="s">
        <v>223</v>
      </c>
      <c r="D11" s="228">
        <v>967544</v>
      </c>
      <c r="E11" s="234" t="s">
        <v>300</v>
      </c>
      <c r="F11" s="228">
        <v>2399.0569999999998</v>
      </c>
      <c r="G11" s="150">
        <v>982.54900000000009</v>
      </c>
      <c r="H11" s="234">
        <f t="shared" si="0"/>
        <v>1416.5079999999998</v>
      </c>
      <c r="I11" s="236">
        <f t="shared" si="1"/>
        <v>0.40955633817787579</v>
      </c>
      <c r="J11" s="232"/>
    </row>
    <row r="12" spans="2:10">
      <c r="B12" s="228" t="s">
        <v>216</v>
      </c>
      <c r="C12" s="228" t="s">
        <v>224</v>
      </c>
      <c r="D12" s="228">
        <v>969068</v>
      </c>
      <c r="E12" s="234" t="s">
        <v>300</v>
      </c>
      <c r="F12" s="228">
        <v>515.03899999999999</v>
      </c>
      <c r="G12" s="150">
        <v>515.03899999999999</v>
      </c>
      <c r="H12" s="234">
        <f t="shared" si="0"/>
        <v>0</v>
      </c>
      <c r="I12" s="236">
        <f t="shared" si="1"/>
        <v>1</v>
      </c>
      <c r="J12" s="232"/>
    </row>
    <row r="13" spans="2:10">
      <c r="B13" s="228" t="s">
        <v>218</v>
      </c>
      <c r="C13" s="228" t="s">
        <v>225</v>
      </c>
      <c r="D13" s="228">
        <v>969313</v>
      </c>
      <c r="E13" s="234" t="s">
        <v>300</v>
      </c>
      <c r="F13" s="228">
        <v>1353.4490000000001</v>
      </c>
      <c r="G13" s="150">
        <v>885.65099999999995</v>
      </c>
      <c r="H13" s="234">
        <f t="shared" si="0"/>
        <v>467.79800000000012</v>
      </c>
      <c r="I13" s="236">
        <f t="shared" si="1"/>
        <v>0.65436599384239813</v>
      </c>
      <c r="J13" s="232"/>
    </row>
    <row r="14" spans="2:10">
      <c r="B14" s="228" t="s">
        <v>218</v>
      </c>
      <c r="C14" s="228" t="s">
        <v>175</v>
      </c>
      <c r="D14" s="228">
        <v>969441</v>
      </c>
      <c r="E14" s="234" t="s">
        <v>300</v>
      </c>
      <c r="F14" s="228">
        <v>1181.04</v>
      </c>
      <c r="G14" s="150"/>
      <c r="H14" s="234">
        <f t="shared" si="0"/>
        <v>1181.04</v>
      </c>
      <c r="I14" s="236">
        <f t="shared" si="1"/>
        <v>0</v>
      </c>
      <c r="J14" s="232"/>
    </row>
    <row r="15" spans="2:10">
      <c r="B15" s="228" t="s">
        <v>218</v>
      </c>
      <c r="C15" s="228" t="s">
        <v>226</v>
      </c>
      <c r="D15" s="228">
        <v>968463</v>
      </c>
      <c r="E15" s="234" t="s">
        <v>300</v>
      </c>
      <c r="F15" s="373">
        <v>21281.701000000001</v>
      </c>
      <c r="G15" s="150"/>
      <c r="H15" s="378">
        <f>+F15-(+G15+G16+G17+G18+G19+G20+G21+G22+G23+G24+G25+G26+G27+G28+G29+G30+G31+G32+G33+G34+G35+G36+G37+G38+G39+G40+G41+G42+G43+G44+G45+G46+G47+G48+G49+G50+G51+G52+G53+G54+G55+G56+G57+G58)</f>
        <v>4223.0589999999975</v>
      </c>
      <c r="I15" s="379">
        <f>(+G15+G16+G17+G18+G19+G20+G21+G22+G23+G24+G25+G26+G27+G28+G29+G30+G31+G32+G33+G34+G35+G36+G37+G38+G39+G40+G41+G42+G43+G44+G45+G46+G47+G48+G49+G50+G51+G52+G53+G54+G55+G56+G57+G58)/F15</f>
        <v>0.8015638411610051</v>
      </c>
      <c r="J15" s="232"/>
    </row>
    <row r="16" spans="2:10">
      <c r="B16" s="228" t="s">
        <v>218</v>
      </c>
      <c r="C16" s="228" t="s">
        <v>227</v>
      </c>
      <c r="D16" s="228">
        <v>965747</v>
      </c>
      <c r="E16" s="234" t="s">
        <v>300</v>
      </c>
      <c r="F16" s="370"/>
      <c r="G16" s="237">
        <v>598.82300000000009</v>
      </c>
      <c r="H16" s="361"/>
      <c r="I16" s="380"/>
      <c r="J16" s="232"/>
    </row>
    <row r="17" spans="2:10">
      <c r="B17" s="228" t="s">
        <v>218</v>
      </c>
      <c r="C17" s="228" t="s">
        <v>228</v>
      </c>
      <c r="D17" s="228">
        <v>913587</v>
      </c>
      <c r="E17" s="234" t="s">
        <v>300</v>
      </c>
      <c r="F17" s="370"/>
      <c r="G17" s="150">
        <v>504.40000000000003</v>
      </c>
      <c r="H17" s="361"/>
      <c r="I17" s="380"/>
      <c r="J17" s="232"/>
    </row>
    <row r="18" spans="2:10">
      <c r="B18" s="228" t="s">
        <v>218</v>
      </c>
      <c r="C18" s="228" t="s">
        <v>229</v>
      </c>
      <c r="D18" s="228">
        <v>956794</v>
      </c>
      <c r="E18" s="234" t="s">
        <v>300</v>
      </c>
      <c r="F18" s="370"/>
      <c r="G18" s="237">
        <v>766.4</v>
      </c>
      <c r="H18" s="361"/>
      <c r="I18" s="380"/>
      <c r="J18" s="232"/>
    </row>
    <row r="19" spans="2:10">
      <c r="B19" s="228" t="s">
        <v>218</v>
      </c>
      <c r="C19" s="228" t="s">
        <v>230</v>
      </c>
      <c r="D19" s="228">
        <v>913594</v>
      </c>
      <c r="E19" s="234" t="s">
        <v>300</v>
      </c>
      <c r="F19" s="370"/>
      <c r="G19" s="237">
        <v>191.71499999999997</v>
      </c>
      <c r="H19" s="361"/>
      <c r="I19" s="380"/>
      <c r="J19" s="232"/>
    </row>
    <row r="20" spans="2:10">
      <c r="B20" s="228" t="s">
        <v>218</v>
      </c>
      <c r="C20" s="228" t="s">
        <v>219</v>
      </c>
      <c r="D20" s="228">
        <v>968274</v>
      </c>
      <c r="E20" s="234" t="s">
        <v>300</v>
      </c>
      <c r="F20" s="370"/>
      <c r="G20" s="150"/>
      <c r="H20" s="361"/>
      <c r="I20" s="380"/>
      <c r="J20" s="232"/>
    </row>
    <row r="21" spans="2:10">
      <c r="B21" s="228" t="s">
        <v>218</v>
      </c>
      <c r="C21" s="228" t="s">
        <v>231</v>
      </c>
      <c r="D21" s="228">
        <v>963544</v>
      </c>
      <c r="E21" s="234" t="s">
        <v>300</v>
      </c>
      <c r="F21" s="370"/>
      <c r="G21" s="150">
        <v>824.154</v>
      </c>
      <c r="H21" s="361"/>
      <c r="I21" s="380"/>
      <c r="J21" s="232"/>
    </row>
    <row r="22" spans="2:10">
      <c r="B22" s="228" t="s">
        <v>218</v>
      </c>
      <c r="C22" s="228" t="s">
        <v>232</v>
      </c>
      <c r="D22" s="228">
        <v>963409</v>
      </c>
      <c r="E22" s="234" t="s">
        <v>300</v>
      </c>
      <c r="F22" s="370"/>
      <c r="G22" s="150">
        <v>396.375</v>
      </c>
      <c r="H22" s="361"/>
      <c r="I22" s="380"/>
      <c r="J22" s="232"/>
    </row>
    <row r="23" spans="2:10">
      <c r="B23" s="228" t="s">
        <v>218</v>
      </c>
      <c r="C23" s="228" t="s">
        <v>233</v>
      </c>
      <c r="D23" s="228">
        <v>966363</v>
      </c>
      <c r="E23" s="234" t="s">
        <v>300</v>
      </c>
      <c r="F23" s="370"/>
      <c r="G23" s="150">
        <v>338.94999999999993</v>
      </c>
      <c r="H23" s="361"/>
      <c r="I23" s="380"/>
      <c r="J23" s="232"/>
    </row>
    <row r="24" spans="2:10">
      <c r="B24" s="228" t="s">
        <v>218</v>
      </c>
      <c r="C24" s="228" t="s">
        <v>234</v>
      </c>
      <c r="D24" s="228">
        <v>965738</v>
      </c>
      <c r="E24" s="234" t="s">
        <v>300</v>
      </c>
      <c r="F24" s="370"/>
      <c r="G24" s="150">
        <v>689.63499999999999</v>
      </c>
      <c r="H24" s="361"/>
      <c r="I24" s="380"/>
      <c r="J24" s="232"/>
    </row>
    <row r="25" spans="2:10">
      <c r="B25" s="228" t="s">
        <v>218</v>
      </c>
      <c r="C25" s="228" t="s">
        <v>235</v>
      </c>
      <c r="D25" s="228">
        <v>955856</v>
      </c>
      <c r="E25" s="234" t="s">
        <v>300</v>
      </c>
      <c r="F25" s="370"/>
      <c r="G25" s="150">
        <v>531.55999999999995</v>
      </c>
      <c r="H25" s="361"/>
      <c r="I25" s="380"/>
      <c r="J25" s="232"/>
    </row>
    <row r="26" spans="2:10">
      <c r="B26" s="228" t="s">
        <v>218</v>
      </c>
      <c r="C26" s="228" t="s">
        <v>236</v>
      </c>
      <c r="D26" s="228">
        <v>960891</v>
      </c>
      <c r="E26" s="234" t="s">
        <v>300</v>
      </c>
      <c r="F26" s="370"/>
      <c r="G26" s="237"/>
      <c r="H26" s="361"/>
      <c r="I26" s="380"/>
      <c r="J26" s="232"/>
    </row>
    <row r="27" spans="2:10">
      <c r="B27" s="228" t="s">
        <v>218</v>
      </c>
      <c r="C27" s="228" t="s">
        <v>237</v>
      </c>
      <c r="D27" s="228">
        <v>965576</v>
      </c>
      <c r="E27" s="234" t="s">
        <v>300</v>
      </c>
      <c r="F27" s="370"/>
      <c r="G27" s="150"/>
      <c r="H27" s="361"/>
      <c r="I27" s="380"/>
      <c r="J27" s="232"/>
    </row>
    <row r="28" spans="2:10">
      <c r="B28" s="228" t="s">
        <v>218</v>
      </c>
      <c r="C28" s="228" t="s">
        <v>238</v>
      </c>
      <c r="D28" s="228">
        <v>964506</v>
      </c>
      <c r="E28" s="234" t="s">
        <v>300</v>
      </c>
      <c r="F28" s="370"/>
      <c r="G28" s="237">
        <v>310.78500000000003</v>
      </c>
      <c r="H28" s="361"/>
      <c r="I28" s="380"/>
      <c r="J28" s="232"/>
    </row>
    <row r="29" spans="2:10">
      <c r="B29" s="228" t="s">
        <v>216</v>
      </c>
      <c r="C29" s="228" t="s">
        <v>239</v>
      </c>
      <c r="D29" s="228">
        <v>35115</v>
      </c>
      <c r="E29" s="234" t="s">
        <v>300</v>
      </c>
      <c r="F29" s="370"/>
      <c r="G29" s="150"/>
      <c r="H29" s="361"/>
      <c r="I29" s="380"/>
      <c r="J29" s="232"/>
    </row>
    <row r="30" spans="2:10">
      <c r="B30" s="228" t="s">
        <v>218</v>
      </c>
      <c r="C30" s="228" t="s">
        <v>240</v>
      </c>
      <c r="D30" s="228">
        <v>967834</v>
      </c>
      <c r="E30" s="234" t="s">
        <v>300</v>
      </c>
      <c r="F30" s="370"/>
      <c r="G30" s="237">
        <v>336.745</v>
      </c>
      <c r="H30" s="361"/>
      <c r="I30" s="380"/>
      <c r="J30" s="232"/>
    </row>
    <row r="31" spans="2:10">
      <c r="B31" s="228" t="s">
        <v>218</v>
      </c>
      <c r="C31" s="228" t="s">
        <v>241</v>
      </c>
      <c r="D31" s="228">
        <v>966916</v>
      </c>
      <c r="E31" s="234" t="s">
        <v>300</v>
      </c>
      <c r="F31" s="370"/>
      <c r="G31" s="237">
        <v>668.49</v>
      </c>
      <c r="H31" s="361"/>
      <c r="I31" s="380"/>
      <c r="J31" s="232"/>
    </row>
    <row r="32" spans="2:10">
      <c r="B32" s="228" t="s">
        <v>218</v>
      </c>
      <c r="C32" s="228" t="s">
        <v>242</v>
      </c>
      <c r="D32" s="228">
        <v>956524</v>
      </c>
      <c r="E32" s="234" t="s">
        <v>300</v>
      </c>
      <c r="F32" s="370"/>
      <c r="G32" s="150"/>
      <c r="H32" s="361"/>
      <c r="I32" s="380"/>
      <c r="J32" s="232"/>
    </row>
    <row r="33" spans="2:10">
      <c r="B33" s="228" t="s">
        <v>216</v>
      </c>
      <c r="C33" s="228" t="s">
        <v>217</v>
      </c>
      <c r="D33" s="228">
        <v>968447</v>
      </c>
      <c r="E33" s="234" t="s">
        <v>300</v>
      </c>
      <c r="F33" s="370"/>
      <c r="G33" s="150"/>
      <c r="H33" s="361"/>
      <c r="I33" s="380"/>
      <c r="J33" s="232"/>
    </row>
    <row r="34" spans="2:10">
      <c r="B34" s="228" t="s">
        <v>218</v>
      </c>
      <c r="C34" s="228" t="s">
        <v>243</v>
      </c>
      <c r="D34" s="228">
        <v>952279</v>
      </c>
      <c r="E34" s="234" t="s">
        <v>300</v>
      </c>
      <c r="F34" s="370"/>
      <c r="G34" s="150">
        <v>635.79000000000008</v>
      </c>
      <c r="H34" s="361"/>
      <c r="I34" s="380"/>
      <c r="J34" s="232"/>
    </row>
    <row r="35" spans="2:10">
      <c r="B35" s="228" t="s">
        <v>218</v>
      </c>
      <c r="C35" s="228" t="s">
        <v>244</v>
      </c>
      <c r="D35" s="228">
        <v>964906</v>
      </c>
      <c r="E35" s="234" t="s">
        <v>300</v>
      </c>
      <c r="F35" s="370"/>
      <c r="G35" s="237">
        <v>792.41</v>
      </c>
      <c r="H35" s="361"/>
      <c r="I35" s="380"/>
      <c r="J35" s="232"/>
    </row>
    <row r="36" spans="2:10">
      <c r="B36" s="228" t="s">
        <v>218</v>
      </c>
      <c r="C36" s="228" t="s">
        <v>245</v>
      </c>
      <c r="D36" s="228">
        <v>961261</v>
      </c>
      <c r="E36" s="234" t="s">
        <v>300</v>
      </c>
      <c r="F36" s="370"/>
      <c r="G36" s="150"/>
      <c r="H36" s="361"/>
      <c r="I36" s="380"/>
      <c r="J36" s="232"/>
    </row>
    <row r="37" spans="2:10">
      <c r="B37" s="228" t="s">
        <v>218</v>
      </c>
      <c r="C37" s="228" t="s">
        <v>246</v>
      </c>
      <c r="D37" s="228">
        <v>962880</v>
      </c>
      <c r="E37" s="234" t="s">
        <v>300</v>
      </c>
      <c r="F37" s="370"/>
      <c r="G37" s="150"/>
      <c r="H37" s="361"/>
      <c r="I37" s="380"/>
      <c r="J37" s="232"/>
    </row>
    <row r="38" spans="2:10">
      <c r="B38" s="228" t="s">
        <v>218</v>
      </c>
      <c r="C38" s="228" t="s">
        <v>247</v>
      </c>
      <c r="D38" s="228">
        <v>966010</v>
      </c>
      <c r="E38" s="234" t="s">
        <v>300</v>
      </c>
      <c r="F38" s="370"/>
      <c r="G38" s="237">
        <v>860.48100000000022</v>
      </c>
      <c r="H38" s="361"/>
      <c r="I38" s="380"/>
      <c r="J38" s="232"/>
    </row>
    <row r="39" spans="2:10">
      <c r="B39" s="228" t="s">
        <v>218</v>
      </c>
      <c r="C39" s="228" t="s">
        <v>248</v>
      </c>
      <c r="D39" s="228">
        <v>913564</v>
      </c>
      <c r="E39" s="234" t="s">
        <v>300</v>
      </c>
      <c r="F39" s="370"/>
      <c r="G39" s="237">
        <v>421.52499999999998</v>
      </c>
      <c r="H39" s="361"/>
      <c r="I39" s="380"/>
      <c r="J39" s="232"/>
    </row>
    <row r="40" spans="2:10">
      <c r="B40" s="228" t="s">
        <v>218</v>
      </c>
      <c r="C40" s="228" t="s">
        <v>249</v>
      </c>
      <c r="D40" s="228">
        <v>968293</v>
      </c>
      <c r="E40" s="234" t="s">
        <v>300</v>
      </c>
      <c r="F40" s="370"/>
      <c r="G40" s="237">
        <v>827.59</v>
      </c>
      <c r="H40" s="361"/>
      <c r="I40" s="380"/>
      <c r="J40" s="232"/>
    </row>
    <row r="41" spans="2:10">
      <c r="B41" s="228" t="s">
        <v>218</v>
      </c>
      <c r="C41" s="228" t="s">
        <v>250</v>
      </c>
      <c r="D41" s="228">
        <v>964503</v>
      </c>
      <c r="E41" s="234" t="s">
        <v>300</v>
      </c>
      <c r="F41" s="370"/>
      <c r="G41" s="237">
        <v>400.39499999999998</v>
      </c>
      <c r="H41" s="361"/>
      <c r="I41" s="380"/>
      <c r="J41" s="232"/>
    </row>
    <row r="42" spans="2:10">
      <c r="B42" s="228" t="s">
        <v>218</v>
      </c>
      <c r="C42" s="228" t="s">
        <v>251</v>
      </c>
      <c r="D42" s="228">
        <v>913590</v>
      </c>
      <c r="E42" s="234" t="s">
        <v>300</v>
      </c>
      <c r="F42" s="370"/>
      <c r="G42" s="237">
        <v>256.93</v>
      </c>
      <c r="H42" s="361"/>
      <c r="I42" s="380"/>
      <c r="J42" s="232"/>
    </row>
    <row r="43" spans="2:10">
      <c r="B43" s="228" t="s">
        <v>218</v>
      </c>
      <c r="C43" s="228" t="s">
        <v>252</v>
      </c>
      <c r="D43" s="228">
        <v>952277</v>
      </c>
      <c r="E43" s="234" t="s">
        <v>300</v>
      </c>
      <c r="F43" s="370"/>
      <c r="G43" s="150">
        <v>616.37900000000013</v>
      </c>
      <c r="H43" s="361"/>
      <c r="I43" s="380"/>
      <c r="J43" s="232"/>
    </row>
    <row r="44" spans="2:10">
      <c r="B44" s="228" t="s">
        <v>218</v>
      </c>
      <c r="C44" s="228" t="s">
        <v>253</v>
      </c>
      <c r="D44" s="228">
        <v>914147</v>
      </c>
      <c r="E44" s="234" t="s">
        <v>300</v>
      </c>
      <c r="F44" s="370"/>
      <c r="G44" s="150">
        <v>333.10500000000002</v>
      </c>
      <c r="H44" s="361"/>
      <c r="I44" s="380"/>
      <c r="J44" s="232"/>
    </row>
    <row r="45" spans="2:10">
      <c r="B45" s="228" t="s">
        <v>218</v>
      </c>
      <c r="C45" s="228" t="s">
        <v>254</v>
      </c>
      <c r="D45" s="228">
        <v>960140</v>
      </c>
      <c r="E45" s="234" t="s">
        <v>300</v>
      </c>
      <c r="F45" s="370"/>
      <c r="G45" s="150"/>
      <c r="H45" s="361"/>
      <c r="I45" s="380"/>
      <c r="J45" s="232"/>
    </row>
    <row r="46" spans="2:10">
      <c r="B46" s="228" t="s">
        <v>216</v>
      </c>
      <c r="C46" s="228" t="s">
        <v>255</v>
      </c>
      <c r="D46" s="228">
        <v>953852</v>
      </c>
      <c r="E46" s="234" t="s">
        <v>300</v>
      </c>
      <c r="F46" s="370"/>
      <c r="G46" s="150">
        <v>536.46499999999992</v>
      </c>
      <c r="H46" s="361"/>
      <c r="I46" s="380"/>
      <c r="J46" s="232"/>
    </row>
    <row r="47" spans="2:10">
      <c r="B47" s="228" t="s">
        <v>216</v>
      </c>
      <c r="C47" s="228" t="s">
        <v>256</v>
      </c>
      <c r="D47" s="228">
        <v>952324</v>
      </c>
      <c r="E47" s="234" t="s">
        <v>300</v>
      </c>
      <c r="F47" s="370"/>
      <c r="G47" s="150"/>
      <c r="H47" s="361"/>
      <c r="I47" s="380"/>
      <c r="J47" s="232"/>
    </row>
    <row r="48" spans="2:10">
      <c r="B48" s="228" t="s">
        <v>218</v>
      </c>
      <c r="C48" s="228" t="s">
        <v>257</v>
      </c>
      <c r="D48" s="228">
        <v>964706</v>
      </c>
      <c r="E48" s="234" t="s">
        <v>300</v>
      </c>
      <c r="F48" s="370"/>
      <c r="G48" s="150"/>
      <c r="H48" s="361"/>
      <c r="I48" s="380"/>
      <c r="J48" s="232"/>
    </row>
    <row r="49" spans="2:10">
      <c r="B49" s="228" t="s">
        <v>218</v>
      </c>
      <c r="C49" s="228" t="s">
        <v>258</v>
      </c>
      <c r="D49" s="228">
        <v>914125</v>
      </c>
      <c r="E49" s="234" t="s">
        <v>300</v>
      </c>
      <c r="F49" s="370"/>
      <c r="G49" s="150">
        <v>0</v>
      </c>
      <c r="H49" s="361"/>
      <c r="I49" s="380"/>
      <c r="J49" s="232"/>
    </row>
    <row r="50" spans="2:10">
      <c r="B50" s="228" t="s">
        <v>218</v>
      </c>
      <c r="C50" s="228" t="s">
        <v>259</v>
      </c>
      <c r="D50" s="228">
        <v>968795</v>
      </c>
      <c r="E50" s="234" t="s">
        <v>300</v>
      </c>
      <c r="F50" s="370"/>
      <c r="G50" s="150">
        <v>216.54</v>
      </c>
      <c r="H50" s="361"/>
      <c r="I50" s="380"/>
      <c r="J50" s="232"/>
    </row>
    <row r="51" spans="2:10">
      <c r="B51" s="228" t="s">
        <v>218</v>
      </c>
      <c r="C51" s="228" t="s">
        <v>260</v>
      </c>
      <c r="D51" s="228">
        <v>968111</v>
      </c>
      <c r="E51" s="234" t="s">
        <v>300</v>
      </c>
      <c r="F51" s="370"/>
      <c r="G51" s="237">
        <v>1390.7820000000002</v>
      </c>
      <c r="H51" s="361"/>
      <c r="I51" s="380"/>
      <c r="J51" s="232"/>
    </row>
    <row r="52" spans="2:10">
      <c r="B52" s="228" t="s">
        <v>216</v>
      </c>
      <c r="C52" s="228" t="s">
        <v>261</v>
      </c>
      <c r="D52" s="228">
        <v>963908</v>
      </c>
      <c r="E52" s="234" t="s">
        <v>300</v>
      </c>
      <c r="F52" s="370"/>
      <c r="G52" s="150">
        <v>578.87000000000012</v>
      </c>
      <c r="H52" s="361"/>
      <c r="I52" s="380"/>
      <c r="J52" s="232"/>
    </row>
    <row r="53" spans="2:10">
      <c r="B53" s="228" t="s">
        <v>218</v>
      </c>
      <c r="C53" s="228" t="s">
        <v>262</v>
      </c>
      <c r="D53" s="228">
        <v>914124</v>
      </c>
      <c r="E53" s="234" t="s">
        <v>300</v>
      </c>
      <c r="F53" s="370"/>
      <c r="G53" s="150">
        <v>363.52</v>
      </c>
      <c r="H53" s="361"/>
      <c r="I53" s="380"/>
      <c r="J53" s="232"/>
    </row>
    <row r="54" spans="2:10">
      <c r="B54" s="228" t="s">
        <v>216</v>
      </c>
      <c r="C54" s="228" t="s">
        <v>263</v>
      </c>
      <c r="D54" s="228">
        <v>914128</v>
      </c>
      <c r="E54" s="234" t="s">
        <v>300</v>
      </c>
      <c r="F54" s="370"/>
      <c r="G54" s="237">
        <v>772.12000000000012</v>
      </c>
      <c r="H54" s="361"/>
      <c r="I54" s="380"/>
      <c r="J54" s="232"/>
    </row>
    <row r="55" spans="2:10">
      <c r="B55" s="228" t="s">
        <v>218</v>
      </c>
      <c r="C55" s="228" t="s">
        <v>264</v>
      </c>
      <c r="D55" s="228">
        <v>961059</v>
      </c>
      <c r="E55" s="234" t="s">
        <v>300</v>
      </c>
      <c r="F55" s="370"/>
      <c r="G55" s="237">
        <v>1008.8699999999999</v>
      </c>
      <c r="H55" s="361"/>
      <c r="I55" s="380"/>
      <c r="J55" s="232"/>
    </row>
    <row r="56" spans="2:10">
      <c r="B56" s="228" t="s">
        <v>216</v>
      </c>
      <c r="C56" s="228" t="s">
        <v>265</v>
      </c>
      <c r="D56" s="228">
        <v>923159</v>
      </c>
      <c r="E56" s="234" t="s">
        <v>300</v>
      </c>
      <c r="F56" s="370"/>
      <c r="G56" s="150"/>
      <c r="H56" s="361"/>
      <c r="I56" s="380"/>
      <c r="J56" s="232"/>
    </row>
    <row r="57" spans="2:10">
      <c r="B57" s="228" t="s">
        <v>216</v>
      </c>
      <c r="C57" s="228" t="s">
        <v>224</v>
      </c>
      <c r="D57" s="228">
        <v>969068</v>
      </c>
      <c r="E57" s="234" t="s">
        <v>300</v>
      </c>
      <c r="F57" s="370"/>
      <c r="G57" s="150">
        <v>270.44299999999998</v>
      </c>
      <c r="H57" s="361"/>
      <c r="I57" s="380"/>
      <c r="J57" s="232"/>
    </row>
    <row r="58" spans="2:10">
      <c r="B58" s="228" t="s">
        <v>218</v>
      </c>
      <c r="C58" s="228" t="s">
        <v>236</v>
      </c>
      <c r="D58" s="228">
        <v>969249</v>
      </c>
      <c r="E58" s="234" t="s">
        <v>300</v>
      </c>
      <c r="F58" s="371"/>
      <c r="G58" s="237">
        <v>618.3950000000001</v>
      </c>
      <c r="H58" s="362"/>
      <c r="I58" s="381"/>
      <c r="J58" s="232"/>
    </row>
    <row r="59" spans="2:10">
      <c r="B59" s="228" t="s">
        <v>218</v>
      </c>
      <c r="C59" s="228" t="s">
        <v>231</v>
      </c>
      <c r="D59" s="228">
        <v>963544</v>
      </c>
      <c r="E59" s="234" t="s">
        <v>300</v>
      </c>
      <c r="F59" s="373">
        <v>6.5529999999998836</v>
      </c>
      <c r="G59" s="150">
        <v>6.5529999999999999</v>
      </c>
      <c r="H59" s="374">
        <f>+F59-G59</f>
        <v>-1.1635137298071641E-13</v>
      </c>
      <c r="I59" s="376">
        <f>+G59/F59</f>
        <v>1.0000000000000178</v>
      </c>
      <c r="J59" s="232"/>
    </row>
    <row r="60" spans="2:10">
      <c r="B60" s="228" t="s">
        <v>218</v>
      </c>
      <c r="C60" s="228" t="s">
        <v>232</v>
      </c>
      <c r="D60" s="228">
        <v>963409</v>
      </c>
      <c r="E60" s="234" t="s">
        <v>300</v>
      </c>
      <c r="F60" s="370"/>
      <c r="G60" s="150"/>
      <c r="H60" s="375"/>
      <c r="I60" s="377"/>
      <c r="J60" s="232"/>
    </row>
    <row r="61" spans="2:10">
      <c r="B61" s="228" t="s">
        <v>218</v>
      </c>
      <c r="C61" s="228" t="s">
        <v>253</v>
      </c>
      <c r="D61" s="228">
        <v>914147</v>
      </c>
      <c r="E61" s="234" t="s">
        <v>300</v>
      </c>
      <c r="F61" s="370"/>
      <c r="G61" s="150"/>
      <c r="H61" s="375"/>
      <c r="I61" s="377"/>
      <c r="J61" s="232"/>
    </row>
    <row r="62" spans="2:10">
      <c r="B62" s="228" t="s">
        <v>218</v>
      </c>
      <c r="C62" s="228" t="s">
        <v>257</v>
      </c>
      <c r="D62" s="228">
        <v>964706</v>
      </c>
      <c r="E62" s="234" t="s">
        <v>300</v>
      </c>
      <c r="F62" s="370"/>
      <c r="G62" s="150"/>
      <c r="H62" s="375"/>
      <c r="I62" s="377"/>
      <c r="J62" s="232"/>
    </row>
    <row r="63" spans="2:10">
      <c r="B63" s="228" t="s">
        <v>218</v>
      </c>
      <c r="C63" s="228" t="s">
        <v>258</v>
      </c>
      <c r="D63" s="228">
        <v>914125</v>
      </c>
      <c r="E63" s="234" t="s">
        <v>300</v>
      </c>
      <c r="F63" s="370"/>
      <c r="G63" s="150"/>
      <c r="H63" s="375"/>
      <c r="I63" s="377"/>
      <c r="J63" s="232"/>
    </row>
    <row r="64" spans="2:10">
      <c r="B64" s="228" t="s">
        <v>218</v>
      </c>
      <c r="C64" s="228" t="s">
        <v>262</v>
      </c>
      <c r="D64" s="228">
        <v>914124</v>
      </c>
      <c r="E64" s="234" t="s">
        <v>300</v>
      </c>
      <c r="F64" s="370"/>
      <c r="G64" s="150"/>
      <c r="H64" s="375"/>
      <c r="I64" s="377"/>
      <c r="J64" s="232"/>
    </row>
    <row r="65" spans="2:10">
      <c r="B65" s="228" t="s">
        <v>218</v>
      </c>
      <c r="C65" s="228" t="s">
        <v>259</v>
      </c>
      <c r="D65" s="228">
        <v>968795</v>
      </c>
      <c r="E65" s="234" t="s">
        <v>300</v>
      </c>
      <c r="F65" s="371"/>
      <c r="G65" s="150"/>
      <c r="H65" s="375"/>
      <c r="I65" s="377"/>
      <c r="J65" s="232"/>
    </row>
    <row r="66" spans="2:10">
      <c r="B66" s="228" t="s">
        <v>218</v>
      </c>
      <c r="C66" s="228" t="s">
        <v>245</v>
      </c>
      <c r="D66" s="228">
        <v>961261</v>
      </c>
      <c r="E66" s="234" t="s">
        <v>300</v>
      </c>
      <c r="F66" s="373">
        <v>1004.861</v>
      </c>
      <c r="G66" s="237">
        <v>597.14</v>
      </c>
      <c r="H66" s="378">
        <f>+F66-G66-G67</f>
        <v>407.721</v>
      </c>
      <c r="I66" s="379">
        <f>+H66/F66</f>
        <v>0.40574865578423286</v>
      </c>
      <c r="J66" s="232"/>
    </row>
    <row r="67" spans="2:10">
      <c r="B67" s="228" t="s">
        <v>218</v>
      </c>
      <c r="C67" s="228" t="s">
        <v>246</v>
      </c>
      <c r="D67" s="228">
        <v>962880</v>
      </c>
      <c r="E67" s="234" t="s">
        <v>300</v>
      </c>
      <c r="F67" s="371"/>
      <c r="G67" s="150"/>
      <c r="H67" s="362"/>
      <c r="I67" s="380"/>
      <c r="J67" s="232"/>
    </row>
    <row r="68" spans="2:10">
      <c r="B68" s="228" t="s">
        <v>218</v>
      </c>
      <c r="C68" s="228" t="s">
        <v>231</v>
      </c>
      <c r="D68" s="228">
        <v>963544</v>
      </c>
      <c r="E68" s="234" t="s">
        <v>300</v>
      </c>
      <c r="F68" s="373">
        <v>1603.9739999999999</v>
      </c>
      <c r="G68" s="237"/>
      <c r="H68" s="378">
        <f>+F68-G68-G69-G70-G71-G72-G73-G74</f>
        <v>0</v>
      </c>
      <c r="I68" s="379">
        <f>(G68+G69+G70+G71+G72+G73+G74)/F68</f>
        <v>1</v>
      </c>
      <c r="J68" s="232"/>
    </row>
    <row r="69" spans="2:10">
      <c r="B69" s="228" t="s">
        <v>218</v>
      </c>
      <c r="C69" s="228" t="s">
        <v>232</v>
      </c>
      <c r="D69" s="228">
        <v>963409</v>
      </c>
      <c r="E69" s="234" t="s">
        <v>300</v>
      </c>
      <c r="F69" s="370"/>
      <c r="G69" s="237">
        <v>546.59</v>
      </c>
      <c r="H69" s="361"/>
      <c r="I69" s="380"/>
      <c r="J69" s="232"/>
    </row>
    <row r="70" spans="2:10">
      <c r="B70" s="228" t="s">
        <v>218</v>
      </c>
      <c r="C70" s="228" t="s">
        <v>253</v>
      </c>
      <c r="D70" s="228">
        <v>914147</v>
      </c>
      <c r="E70" s="234" t="s">
        <v>300</v>
      </c>
      <c r="F70" s="370"/>
      <c r="G70" s="150">
        <v>159.315</v>
      </c>
      <c r="H70" s="361"/>
      <c r="I70" s="380"/>
      <c r="J70" s="232"/>
    </row>
    <row r="71" spans="2:10">
      <c r="B71" s="228" t="s">
        <v>218</v>
      </c>
      <c r="C71" s="228" t="s">
        <v>257</v>
      </c>
      <c r="D71" s="228">
        <v>964706</v>
      </c>
      <c r="E71" s="234" t="s">
        <v>300</v>
      </c>
      <c r="F71" s="370"/>
      <c r="G71" s="150"/>
      <c r="H71" s="361"/>
      <c r="I71" s="380"/>
      <c r="J71" s="232"/>
    </row>
    <row r="72" spans="2:10">
      <c r="B72" s="228" t="s">
        <v>218</v>
      </c>
      <c r="C72" s="228" t="s">
        <v>258</v>
      </c>
      <c r="D72" s="228">
        <v>914125</v>
      </c>
      <c r="E72" s="234" t="s">
        <v>300</v>
      </c>
      <c r="F72" s="370"/>
      <c r="G72" s="150">
        <v>269.15499999999997</v>
      </c>
      <c r="H72" s="361"/>
      <c r="I72" s="380"/>
      <c r="J72" s="232"/>
    </row>
    <row r="73" spans="2:10">
      <c r="B73" s="228" t="s">
        <v>218</v>
      </c>
      <c r="C73" s="228" t="s">
        <v>262</v>
      </c>
      <c r="D73" s="228">
        <v>914124</v>
      </c>
      <c r="E73" s="234" t="s">
        <v>300</v>
      </c>
      <c r="F73" s="370"/>
      <c r="G73" s="150">
        <v>277.7</v>
      </c>
      <c r="H73" s="361"/>
      <c r="I73" s="380"/>
      <c r="J73" s="232"/>
    </row>
    <row r="74" spans="2:10">
      <c r="B74" s="228" t="s">
        <v>218</v>
      </c>
      <c r="C74" s="228" t="s">
        <v>259</v>
      </c>
      <c r="D74" s="228">
        <v>968795</v>
      </c>
      <c r="E74" s="234" t="s">
        <v>300</v>
      </c>
      <c r="F74" s="371"/>
      <c r="G74" s="150">
        <v>351.214</v>
      </c>
      <c r="H74" s="362"/>
      <c r="I74" s="381"/>
      <c r="J74" s="232"/>
    </row>
    <row r="75" spans="2:10">
      <c r="B75" s="228" t="s">
        <v>218</v>
      </c>
      <c r="C75" s="228" t="s">
        <v>225</v>
      </c>
      <c r="D75" s="228">
        <v>969313</v>
      </c>
      <c r="E75" s="234" t="s">
        <v>300</v>
      </c>
      <c r="F75" s="373">
        <v>2000</v>
      </c>
      <c r="G75" s="150"/>
      <c r="H75" s="378">
        <f>+F75-G75-G76</f>
        <v>1438.6299999999999</v>
      </c>
      <c r="I75" s="382">
        <f>(G75+G76)/F75</f>
        <v>0.28068500000000007</v>
      </c>
      <c r="J75" s="232"/>
    </row>
    <row r="76" spans="2:10">
      <c r="B76" s="228" t="s">
        <v>218</v>
      </c>
      <c r="C76" s="228" t="s">
        <v>266</v>
      </c>
      <c r="D76" s="228">
        <v>969314</v>
      </c>
      <c r="E76" s="234" t="s">
        <v>300</v>
      </c>
      <c r="F76" s="371"/>
      <c r="G76" s="237">
        <v>561.37000000000012</v>
      </c>
      <c r="H76" s="362"/>
      <c r="I76" s="382"/>
      <c r="J76" s="232"/>
    </row>
    <row r="77" spans="2:10">
      <c r="B77" s="360" t="s">
        <v>182</v>
      </c>
      <c r="C77" s="230" t="s">
        <v>183</v>
      </c>
      <c r="D77" s="230">
        <v>967226</v>
      </c>
      <c r="E77" s="234" t="s">
        <v>300</v>
      </c>
      <c r="F77" s="360">
        <v>27200.839</v>
      </c>
      <c r="G77" s="245">
        <v>575.58600000000001</v>
      </c>
      <c r="H77" s="383">
        <f>F77-(G77+G78+G79+G80+G81+G82+G83+G84+G85+G86+G87+G88)</f>
        <v>21062.762999999999</v>
      </c>
      <c r="I77" s="385">
        <v>0.20311999999999999</v>
      </c>
      <c r="J77" s="232"/>
    </row>
    <row r="78" spans="2:10">
      <c r="B78" s="361"/>
      <c r="C78" s="230" t="s">
        <v>184</v>
      </c>
      <c r="D78" s="230">
        <v>967476</v>
      </c>
      <c r="E78" s="234" t="s">
        <v>300</v>
      </c>
      <c r="F78" s="361"/>
      <c r="G78" s="246"/>
      <c r="H78" s="384"/>
      <c r="I78" s="385"/>
      <c r="J78" s="232"/>
    </row>
    <row r="79" spans="2:10">
      <c r="B79" s="361"/>
      <c r="C79" s="230" t="s">
        <v>185</v>
      </c>
      <c r="D79" s="230">
        <v>961948</v>
      </c>
      <c r="E79" s="234" t="s">
        <v>300</v>
      </c>
      <c r="F79" s="361"/>
      <c r="G79" s="245">
        <v>128.405</v>
      </c>
      <c r="H79" s="384"/>
      <c r="I79" s="385"/>
      <c r="J79" s="232"/>
    </row>
    <row r="80" spans="2:10">
      <c r="B80" s="361"/>
      <c r="C80" s="230" t="s">
        <v>186</v>
      </c>
      <c r="D80" s="230">
        <v>961805</v>
      </c>
      <c r="E80" s="234" t="s">
        <v>300</v>
      </c>
      <c r="F80" s="361"/>
      <c r="G80" s="245">
        <v>863.02300000000002</v>
      </c>
      <c r="H80" s="384"/>
      <c r="I80" s="385"/>
      <c r="J80" s="232"/>
    </row>
    <row r="81" spans="2:10">
      <c r="B81" s="361"/>
      <c r="C81" s="230" t="s">
        <v>187</v>
      </c>
      <c r="D81" s="230">
        <v>968122</v>
      </c>
      <c r="E81" s="234" t="s">
        <v>300</v>
      </c>
      <c r="F81" s="361"/>
      <c r="G81" s="245">
        <v>442.197</v>
      </c>
      <c r="H81" s="384"/>
      <c r="I81" s="385"/>
      <c r="J81" s="232"/>
    </row>
    <row r="82" spans="2:10">
      <c r="B82" s="361"/>
      <c r="C82" s="230" t="s">
        <v>188</v>
      </c>
      <c r="D82" s="230">
        <v>919376</v>
      </c>
      <c r="E82" s="234" t="s">
        <v>300</v>
      </c>
      <c r="F82" s="361"/>
      <c r="G82" s="245">
        <v>614.04</v>
      </c>
      <c r="H82" s="384"/>
      <c r="I82" s="385"/>
      <c r="J82" s="232"/>
    </row>
    <row r="83" spans="2:10">
      <c r="B83" s="361"/>
      <c r="C83" s="230" t="s">
        <v>189</v>
      </c>
      <c r="D83" s="230">
        <v>958248</v>
      </c>
      <c r="E83" s="234" t="s">
        <v>300</v>
      </c>
      <c r="F83" s="361"/>
      <c r="G83" s="245">
        <v>871.59</v>
      </c>
      <c r="H83" s="384"/>
      <c r="I83" s="385"/>
      <c r="J83" s="232"/>
    </row>
    <row r="84" spans="2:10">
      <c r="B84" s="361"/>
      <c r="C84" s="230" t="s">
        <v>190</v>
      </c>
      <c r="D84" s="230">
        <v>966135</v>
      </c>
      <c r="E84" s="234" t="s">
        <v>300</v>
      </c>
      <c r="F84" s="361"/>
      <c r="G84" s="245">
        <v>651.09</v>
      </c>
      <c r="H84" s="384"/>
      <c r="I84" s="385"/>
      <c r="J84" s="232"/>
    </row>
    <row r="85" spans="2:10">
      <c r="B85" s="361"/>
      <c r="C85" s="230" t="s">
        <v>191</v>
      </c>
      <c r="D85" s="230">
        <v>1546</v>
      </c>
      <c r="E85" s="234" t="s">
        <v>300</v>
      </c>
      <c r="F85" s="361"/>
      <c r="G85" s="245">
        <v>596.42999999999995</v>
      </c>
      <c r="H85" s="384"/>
      <c r="I85" s="385"/>
      <c r="J85" s="232"/>
    </row>
    <row r="86" spans="2:10">
      <c r="B86" s="361"/>
      <c r="C86" s="230" t="s">
        <v>191</v>
      </c>
      <c r="D86" s="230">
        <v>969234</v>
      </c>
      <c r="E86" s="234" t="s">
        <v>300</v>
      </c>
      <c r="F86" s="361"/>
      <c r="G86" s="245"/>
      <c r="H86" s="384"/>
      <c r="I86" s="385"/>
      <c r="J86" s="232"/>
    </row>
    <row r="87" spans="2:10">
      <c r="B87" s="361"/>
      <c r="C87" s="230" t="s">
        <v>193</v>
      </c>
      <c r="D87" s="230">
        <v>968156</v>
      </c>
      <c r="E87" s="234" t="s">
        <v>300</v>
      </c>
      <c r="F87" s="361"/>
      <c r="G87" s="245">
        <v>845.37</v>
      </c>
      <c r="H87" s="384"/>
      <c r="I87" s="385"/>
      <c r="J87" s="232"/>
    </row>
    <row r="88" spans="2:10">
      <c r="B88" s="361"/>
      <c r="C88" s="230" t="s">
        <v>192</v>
      </c>
      <c r="D88" s="230">
        <v>968960</v>
      </c>
      <c r="E88" s="234" t="s">
        <v>300</v>
      </c>
      <c r="F88" s="362"/>
      <c r="G88" s="247">
        <v>550.34500000000003</v>
      </c>
      <c r="H88" s="384"/>
      <c r="I88" s="385"/>
      <c r="J88" s="232"/>
    </row>
    <row r="89" spans="2:10">
      <c r="B89" s="361"/>
      <c r="C89" s="232" t="s">
        <v>267</v>
      </c>
      <c r="D89" s="232">
        <v>967935</v>
      </c>
      <c r="E89" s="234" t="s">
        <v>300</v>
      </c>
      <c r="F89" s="360">
        <v>31290.914000000001</v>
      </c>
      <c r="G89" s="248"/>
      <c r="H89" s="386">
        <f>F89-(G89+G90+G91+G92+G93+G94+G95+G96+G97+G98)</f>
        <v>27503.511000000002</v>
      </c>
      <c r="I89" s="385">
        <v>0.1062</v>
      </c>
      <c r="J89" s="232"/>
    </row>
    <row r="90" spans="2:10">
      <c r="B90" s="361"/>
      <c r="C90" s="232" t="s">
        <v>194</v>
      </c>
      <c r="D90" s="232">
        <v>968808</v>
      </c>
      <c r="E90" s="234" t="s">
        <v>300</v>
      </c>
      <c r="F90" s="361"/>
      <c r="G90" s="247">
        <v>356.875</v>
      </c>
      <c r="H90" s="386"/>
      <c r="I90" s="385"/>
      <c r="J90" s="232"/>
    </row>
    <row r="91" spans="2:10">
      <c r="B91" s="361"/>
      <c r="C91" s="232" t="s">
        <v>195</v>
      </c>
      <c r="D91" s="232">
        <v>967513</v>
      </c>
      <c r="E91" s="234" t="s">
        <v>300</v>
      </c>
      <c r="F91" s="361"/>
      <c r="G91" s="245">
        <v>695.62599999999998</v>
      </c>
      <c r="H91" s="386"/>
      <c r="I91" s="385"/>
      <c r="J91" s="232"/>
    </row>
    <row r="92" spans="2:10">
      <c r="B92" s="361"/>
      <c r="C92" s="232" t="s">
        <v>196</v>
      </c>
      <c r="D92" s="232">
        <v>968789</v>
      </c>
      <c r="E92" s="234" t="s">
        <v>300</v>
      </c>
      <c r="F92" s="361"/>
      <c r="G92" s="245">
        <v>240.35900000000001</v>
      </c>
      <c r="H92" s="386"/>
      <c r="I92" s="385"/>
      <c r="J92" s="232"/>
    </row>
    <row r="93" spans="2:10">
      <c r="B93" s="361"/>
      <c r="C93" s="232" t="s">
        <v>197</v>
      </c>
      <c r="D93" s="232">
        <v>919387</v>
      </c>
      <c r="E93" s="234" t="s">
        <v>300</v>
      </c>
      <c r="F93" s="361"/>
      <c r="G93" s="247">
        <v>82.033000000000001</v>
      </c>
      <c r="H93" s="386"/>
      <c r="I93" s="385"/>
      <c r="J93" s="232"/>
    </row>
    <row r="94" spans="2:10">
      <c r="B94" s="361"/>
      <c r="C94" s="232" t="s">
        <v>198</v>
      </c>
      <c r="D94" s="232">
        <v>964115</v>
      </c>
      <c r="E94" s="234" t="s">
        <v>300</v>
      </c>
      <c r="F94" s="361"/>
      <c r="G94" s="245">
        <v>402.36500000000001</v>
      </c>
      <c r="H94" s="386"/>
      <c r="I94" s="385"/>
      <c r="J94" s="232"/>
    </row>
    <row r="95" spans="2:10">
      <c r="B95" s="361"/>
      <c r="C95" s="232" t="s">
        <v>199</v>
      </c>
      <c r="D95" s="232">
        <v>968831</v>
      </c>
      <c r="E95" s="234" t="s">
        <v>300</v>
      </c>
      <c r="F95" s="361"/>
      <c r="G95" s="245">
        <v>206.285</v>
      </c>
      <c r="H95" s="386"/>
      <c r="I95" s="385"/>
      <c r="J95" s="232"/>
    </row>
    <row r="96" spans="2:10">
      <c r="B96" s="361"/>
      <c r="C96" s="232" t="s">
        <v>200</v>
      </c>
      <c r="D96" s="232">
        <v>966479</v>
      </c>
      <c r="E96" s="234" t="s">
        <v>300</v>
      </c>
      <c r="F96" s="361"/>
      <c r="G96" s="245">
        <v>644.25</v>
      </c>
      <c r="H96" s="386"/>
      <c r="I96" s="385"/>
      <c r="J96" s="232"/>
    </row>
    <row r="97" spans="2:10">
      <c r="B97" s="361"/>
      <c r="C97" s="232" t="s">
        <v>201</v>
      </c>
      <c r="D97" s="232">
        <v>966548</v>
      </c>
      <c r="E97" s="234" t="s">
        <v>300</v>
      </c>
      <c r="F97" s="361"/>
      <c r="G97" s="245">
        <v>840.005</v>
      </c>
      <c r="H97" s="386"/>
      <c r="I97" s="385"/>
      <c r="J97" s="232"/>
    </row>
    <row r="98" spans="2:10">
      <c r="B98" s="362"/>
      <c r="C98" s="232" t="s">
        <v>202</v>
      </c>
      <c r="D98" s="232">
        <v>966516</v>
      </c>
      <c r="E98" s="234" t="s">
        <v>300</v>
      </c>
      <c r="F98" s="362"/>
      <c r="G98" s="247">
        <v>319.60500000000002</v>
      </c>
      <c r="H98" s="386"/>
      <c r="I98" s="385"/>
      <c r="J98" s="232"/>
    </row>
    <row r="99" spans="2:10">
      <c r="B99" s="373" t="s">
        <v>32</v>
      </c>
      <c r="C99" s="228" t="s">
        <v>268</v>
      </c>
      <c r="D99" s="228">
        <v>968468</v>
      </c>
      <c r="E99" s="234" t="s">
        <v>300</v>
      </c>
      <c r="F99" s="373">
        <v>6924.8509999999969</v>
      </c>
      <c r="G99" s="150">
        <v>159.94</v>
      </c>
      <c r="H99" s="360">
        <f>F99-(SUM(G99:G127))</f>
        <v>-0.72400000000379805</v>
      </c>
      <c r="I99" s="363">
        <f>(SUM(G99:G127))/F99</f>
        <v>1.0001045509860074</v>
      </c>
      <c r="J99" s="232"/>
    </row>
    <row r="100" spans="2:10">
      <c r="B100" s="370"/>
      <c r="C100" s="228" t="s">
        <v>269</v>
      </c>
      <c r="D100" s="228">
        <v>913444</v>
      </c>
      <c r="E100" s="234" t="s">
        <v>300</v>
      </c>
      <c r="F100" s="370"/>
      <c r="G100" s="150">
        <v>182.37</v>
      </c>
      <c r="H100" s="361"/>
      <c r="I100" s="364"/>
      <c r="J100" s="232"/>
    </row>
    <row r="101" spans="2:10">
      <c r="B101" s="370"/>
      <c r="C101" s="228" t="s">
        <v>270</v>
      </c>
      <c r="D101" s="228">
        <v>967785</v>
      </c>
      <c r="E101" s="234" t="s">
        <v>300</v>
      </c>
      <c r="F101" s="370"/>
      <c r="G101" s="150">
        <v>85.554999999999993</v>
      </c>
      <c r="H101" s="361"/>
      <c r="I101" s="364"/>
      <c r="J101" s="232"/>
    </row>
    <row r="102" spans="2:10">
      <c r="B102" s="370"/>
      <c r="C102" s="228" t="s">
        <v>271</v>
      </c>
      <c r="D102" s="228">
        <v>963744</v>
      </c>
      <c r="E102" s="234" t="s">
        <v>300</v>
      </c>
      <c r="F102" s="370"/>
      <c r="G102" s="150">
        <v>210.92</v>
      </c>
      <c r="H102" s="361"/>
      <c r="I102" s="364"/>
      <c r="J102" s="232"/>
    </row>
    <row r="103" spans="2:10">
      <c r="B103" s="370"/>
      <c r="C103" s="228" t="s">
        <v>272</v>
      </c>
      <c r="D103" s="228">
        <v>962067</v>
      </c>
      <c r="E103" s="234" t="s">
        <v>300</v>
      </c>
      <c r="F103" s="370"/>
      <c r="G103" s="150"/>
      <c r="H103" s="361"/>
      <c r="I103" s="364"/>
      <c r="J103" s="232"/>
    </row>
    <row r="104" spans="2:10">
      <c r="B104" s="370"/>
      <c r="C104" s="228" t="s">
        <v>273</v>
      </c>
      <c r="D104" s="228">
        <v>959745</v>
      </c>
      <c r="E104" s="234" t="s">
        <v>300</v>
      </c>
      <c r="F104" s="370"/>
      <c r="G104" s="150">
        <v>39.314999999999998</v>
      </c>
      <c r="H104" s="361"/>
      <c r="I104" s="364"/>
      <c r="J104" s="232"/>
    </row>
    <row r="105" spans="2:10">
      <c r="B105" s="370"/>
      <c r="C105" s="228" t="s">
        <v>274</v>
      </c>
      <c r="D105" s="228">
        <v>966244</v>
      </c>
      <c r="E105" s="234" t="s">
        <v>300</v>
      </c>
      <c r="F105" s="370"/>
      <c r="G105" s="150">
        <v>261.48500000000001</v>
      </c>
      <c r="H105" s="361"/>
      <c r="I105" s="364"/>
      <c r="J105" s="232"/>
    </row>
    <row r="106" spans="2:10">
      <c r="B106" s="370"/>
      <c r="C106" s="228" t="s">
        <v>275</v>
      </c>
      <c r="D106" s="228">
        <v>968467</v>
      </c>
      <c r="E106" s="234" t="s">
        <v>300</v>
      </c>
      <c r="F106" s="370"/>
      <c r="G106" s="150">
        <v>290.58499999999998</v>
      </c>
      <c r="H106" s="361"/>
      <c r="I106" s="364"/>
      <c r="J106" s="232"/>
    </row>
    <row r="107" spans="2:10">
      <c r="B107" s="370"/>
      <c r="C107" s="228" t="s">
        <v>276</v>
      </c>
      <c r="D107" s="228">
        <v>950657</v>
      </c>
      <c r="E107" s="234" t="s">
        <v>300</v>
      </c>
      <c r="F107" s="370"/>
      <c r="G107" s="150">
        <v>441.27499999999998</v>
      </c>
      <c r="H107" s="361"/>
      <c r="I107" s="364"/>
      <c r="J107" s="232"/>
    </row>
    <row r="108" spans="2:10">
      <c r="B108" s="370"/>
      <c r="C108" s="228" t="s">
        <v>277</v>
      </c>
      <c r="D108" s="228">
        <v>967800</v>
      </c>
      <c r="E108" s="234" t="s">
        <v>300</v>
      </c>
      <c r="F108" s="370"/>
      <c r="G108" s="150"/>
      <c r="H108" s="361"/>
      <c r="I108" s="364"/>
      <c r="J108" s="232"/>
    </row>
    <row r="109" spans="2:10">
      <c r="B109" s="370"/>
      <c r="C109" s="228" t="s">
        <v>278</v>
      </c>
      <c r="D109" s="228">
        <v>960352</v>
      </c>
      <c r="E109" s="234" t="s">
        <v>300</v>
      </c>
      <c r="F109" s="370"/>
      <c r="G109" s="150">
        <v>300.32</v>
      </c>
      <c r="H109" s="361"/>
      <c r="I109" s="364"/>
      <c r="J109" s="232"/>
    </row>
    <row r="110" spans="2:10">
      <c r="B110" s="370"/>
      <c r="C110" s="228" t="s">
        <v>279</v>
      </c>
      <c r="D110" s="228">
        <v>951110</v>
      </c>
      <c r="E110" s="234" t="s">
        <v>300</v>
      </c>
      <c r="F110" s="370"/>
      <c r="G110" s="150">
        <v>417.13</v>
      </c>
      <c r="H110" s="361"/>
      <c r="I110" s="364"/>
      <c r="J110" s="232"/>
    </row>
    <row r="111" spans="2:10">
      <c r="B111" s="370"/>
      <c r="C111" s="228" t="s">
        <v>203</v>
      </c>
      <c r="D111" s="228">
        <v>968796</v>
      </c>
      <c r="E111" s="234" t="s">
        <v>300</v>
      </c>
      <c r="F111" s="370"/>
      <c r="G111" s="150">
        <v>478.02499999999998</v>
      </c>
      <c r="H111" s="361"/>
      <c r="I111" s="364"/>
      <c r="J111" s="232"/>
    </row>
    <row r="112" spans="2:10">
      <c r="B112" s="370"/>
      <c r="C112" s="228" t="s">
        <v>160</v>
      </c>
      <c r="D112" s="228">
        <v>961267</v>
      </c>
      <c r="E112" s="234" t="s">
        <v>300</v>
      </c>
      <c r="F112" s="370"/>
      <c r="G112" s="150">
        <v>249.34</v>
      </c>
      <c r="H112" s="361"/>
      <c r="I112" s="364"/>
      <c r="J112" s="232"/>
    </row>
    <row r="113" spans="2:10">
      <c r="B113" s="370"/>
      <c r="C113" s="228" t="s">
        <v>280</v>
      </c>
      <c r="D113" s="228">
        <v>963710</v>
      </c>
      <c r="E113" s="234" t="s">
        <v>300</v>
      </c>
      <c r="F113" s="370"/>
      <c r="G113" s="150">
        <v>549.23500000000001</v>
      </c>
      <c r="H113" s="361"/>
      <c r="I113" s="364"/>
      <c r="J113" s="232"/>
    </row>
    <row r="114" spans="2:10">
      <c r="B114" s="370"/>
      <c r="C114" s="228" t="s">
        <v>281</v>
      </c>
      <c r="D114" s="228">
        <v>923206</v>
      </c>
      <c r="E114" s="234" t="s">
        <v>300</v>
      </c>
      <c r="F114" s="370"/>
      <c r="G114" s="150">
        <v>293.04500000000002</v>
      </c>
      <c r="H114" s="361"/>
      <c r="I114" s="364"/>
      <c r="J114" s="232"/>
    </row>
    <row r="115" spans="2:10">
      <c r="B115" s="370"/>
      <c r="C115" s="228" t="s">
        <v>282</v>
      </c>
      <c r="D115" s="228">
        <v>962529</v>
      </c>
      <c r="E115" s="234" t="s">
        <v>300</v>
      </c>
      <c r="F115" s="370"/>
      <c r="G115" s="150">
        <v>488.1149999999999</v>
      </c>
      <c r="H115" s="361"/>
      <c r="I115" s="364"/>
      <c r="J115" s="232"/>
    </row>
    <row r="116" spans="2:10">
      <c r="B116" s="370"/>
      <c r="C116" s="228" t="s">
        <v>283</v>
      </c>
      <c r="D116" s="228">
        <v>967677</v>
      </c>
      <c r="E116" s="234" t="s">
        <v>300</v>
      </c>
      <c r="F116" s="370"/>
      <c r="G116" s="150">
        <v>593.64</v>
      </c>
      <c r="H116" s="361"/>
      <c r="I116" s="364"/>
      <c r="J116" s="232"/>
    </row>
    <row r="117" spans="2:10">
      <c r="B117" s="370"/>
      <c r="C117" s="228" t="s">
        <v>284</v>
      </c>
      <c r="D117" s="228">
        <v>953317</v>
      </c>
      <c r="E117" s="234" t="s">
        <v>300</v>
      </c>
      <c r="F117" s="370"/>
      <c r="G117" s="150"/>
      <c r="H117" s="361"/>
      <c r="I117" s="364"/>
      <c r="J117" s="232"/>
    </row>
    <row r="118" spans="2:10">
      <c r="B118" s="370"/>
      <c r="C118" s="228" t="s">
        <v>285</v>
      </c>
      <c r="D118" s="228">
        <v>953967</v>
      </c>
      <c r="E118" s="234" t="s">
        <v>300</v>
      </c>
      <c r="F118" s="370"/>
      <c r="G118" s="150">
        <v>242.95</v>
      </c>
      <c r="H118" s="361"/>
      <c r="I118" s="364"/>
      <c r="J118" s="232"/>
    </row>
    <row r="119" spans="2:10">
      <c r="B119" s="370"/>
      <c r="C119" s="228" t="s">
        <v>286</v>
      </c>
      <c r="D119" s="228">
        <v>35893</v>
      </c>
      <c r="E119" s="234" t="s">
        <v>300</v>
      </c>
      <c r="F119" s="370"/>
      <c r="G119" s="150">
        <v>199.51000000000002</v>
      </c>
      <c r="H119" s="361"/>
      <c r="I119" s="364"/>
      <c r="J119" s="232"/>
    </row>
    <row r="120" spans="2:10">
      <c r="B120" s="370"/>
      <c r="C120" s="228" t="s">
        <v>287</v>
      </c>
      <c r="D120" s="228">
        <v>955847</v>
      </c>
      <c r="E120" s="234" t="s">
        <v>300</v>
      </c>
      <c r="F120" s="370"/>
      <c r="G120" s="150">
        <v>141.30000000000001</v>
      </c>
      <c r="H120" s="361"/>
      <c r="I120" s="364"/>
      <c r="J120" s="232"/>
    </row>
    <row r="121" spans="2:10">
      <c r="B121" s="370"/>
      <c r="C121" s="228" t="s">
        <v>288</v>
      </c>
      <c r="D121" s="228">
        <v>921881</v>
      </c>
      <c r="E121" s="234" t="s">
        <v>300</v>
      </c>
      <c r="F121" s="370"/>
      <c r="G121" s="150">
        <v>156.81</v>
      </c>
      <c r="H121" s="361"/>
      <c r="I121" s="364"/>
      <c r="J121" s="232"/>
    </row>
    <row r="122" spans="2:10">
      <c r="B122" s="370"/>
      <c r="C122" s="228" t="s">
        <v>289</v>
      </c>
      <c r="D122" s="228">
        <v>968469</v>
      </c>
      <c r="E122" s="234" t="s">
        <v>300</v>
      </c>
      <c r="F122" s="370"/>
      <c r="G122" s="150">
        <v>311.96500000000003</v>
      </c>
      <c r="H122" s="361"/>
      <c r="I122" s="364"/>
      <c r="J122" s="232"/>
    </row>
    <row r="123" spans="2:10">
      <c r="B123" s="370"/>
      <c r="C123" s="228" t="s">
        <v>290</v>
      </c>
      <c r="D123" s="228">
        <v>965905</v>
      </c>
      <c r="E123" s="234" t="s">
        <v>300</v>
      </c>
      <c r="F123" s="370"/>
      <c r="G123" s="150"/>
      <c r="H123" s="361"/>
      <c r="I123" s="364"/>
      <c r="J123" s="232"/>
    </row>
    <row r="124" spans="2:10">
      <c r="B124" s="370"/>
      <c r="C124" s="228" t="s">
        <v>291</v>
      </c>
      <c r="D124" s="228">
        <v>967700</v>
      </c>
      <c r="E124" s="234" t="s">
        <v>300</v>
      </c>
      <c r="F124" s="370"/>
      <c r="G124" s="150"/>
      <c r="H124" s="361"/>
      <c r="I124" s="364"/>
      <c r="J124" s="232"/>
    </row>
    <row r="125" spans="2:10">
      <c r="B125" s="370"/>
      <c r="C125" s="228" t="s">
        <v>292</v>
      </c>
      <c r="D125" s="228">
        <v>951184</v>
      </c>
      <c r="E125" s="234" t="s">
        <v>300</v>
      </c>
      <c r="F125" s="370"/>
      <c r="G125" s="150">
        <v>272.42500000000001</v>
      </c>
      <c r="H125" s="361"/>
      <c r="I125" s="364"/>
      <c r="J125" s="232"/>
    </row>
    <row r="126" spans="2:10">
      <c r="B126" s="370"/>
      <c r="C126" s="228" t="s">
        <v>293</v>
      </c>
      <c r="D126" s="228">
        <v>960009</v>
      </c>
      <c r="E126" s="234" t="s">
        <v>300</v>
      </c>
      <c r="F126" s="370"/>
      <c r="G126" s="150"/>
      <c r="H126" s="361"/>
      <c r="I126" s="364"/>
      <c r="J126" s="232"/>
    </row>
    <row r="127" spans="2:10">
      <c r="B127" s="371"/>
      <c r="C127" s="228" t="s">
        <v>294</v>
      </c>
      <c r="D127" s="228">
        <v>955947</v>
      </c>
      <c r="E127" s="234" t="s">
        <v>300</v>
      </c>
      <c r="F127" s="371"/>
      <c r="G127" s="150">
        <v>560.31999999999994</v>
      </c>
      <c r="H127" s="362"/>
      <c r="I127" s="365"/>
      <c r="J127" s="232"/>
    </row>
    <row r="128" spans="2:10">
      <c r="B128" s="232" t="s">
        <v>29</v>
      </c>
      <c r="C128" s="232" t="s">
        <v>295</v>
      </c>
      <c r="D128" s="232">
        <v>966095</v>
      </c>
      <c r="E128" s="234" t="s">
        <v>300</v>
      </c>
      <c r="F128" s="232">
        <v>62.117000000000019</v>
      </c>
      <c r="G128" s="150">
        <v>62.116999999999997</v>
      </c>
      <c r="H128" s="232">
        <f>F128-G128</f>
        <v>0</v>
      </c>
      <c r="I128" s="111">
        <f>G128/F128</f>
        <v>0.99999999999999967</v>
      </c>
      <c r="J128" s="232"/>
    </row>
    <row r="129" spans="2:10">
      <c r="B129" s="373" t="s">
        <v>29</v>
      </c>
      <c r="C129" s="228" t="s">
        <v>161</v>
      </c>
      <c r="D129" s="228">
        <v>965236</v>
      </c>
      <c r="E129" s="234" t="s">
        <v>300</v>
      </c>
      <c r="F129" s="373">
        <v>3969.2250000000004</v>
      </c>
      <c r="G129" s="150">
        <v>381.36500000000001</v>
      </c>
      <c r="H129" s="360">
        <f>F129-(G129+G130+G131+G132+G133+G134+G135+G136+G137+G138+G139+G140+G141+G142+G143)</f>
        <v>0</v>
      </c>
      <c r="I129" s="363">
        <f>(G129+G130+G131+G132+G133+G134+G135+G136+G137+G138+G139+G140+G141+G142+G143)/F129</f>
        <v>0.99999999999999989</v>
      </c>
      <c r="J129" s="232"/>
    </row>
    <row r="130" spans="2:10">
      <c r="B130" s="370"/>
      <c r="C130" s="228" t="s">
        <v>205</v>
      </c>
      <c r="D130" s="228">
        <v>28034</v>
      </c>
      <c r="E130" s="234" t="s">
        <v>300</v>
      </c>
      <c r="F130" s="370"/>
      <c r="G130" s="150">
        <v>61.412999999999997</v>
      </c>
      <c r="H130" s="361"/>
      <c r="I130" s="364"/>
      <c r="J130" s="232"/>
    </row>
    <row r="131" spans="2:10">
      <c r="B131" s="370"/>
      <c r="C131" s="228" t="s">
        <v>206</v>
      </c>
      <c r="D131" s="228">
        <v>901588</v>
      </c>
      <c r="E131" s="234" t="s">
        <v>300</v>
      </c>
      <c r="F131" s="370"/>
      <c r="G131" s="150">
        <v>338.24599999999998</v>
      </c>
      <c r="H131" s="361"/>
      <c r="I131" s="364"/>
      <c r="J131" s="232"/>
    </row>
    <row r="132" spans="2:10">
      <c r="B132" s="370"/>
      <c r="C132" s="228" t="s">
        <v>296</v>
      </c>
      <c r="D132" s="228">
        <v>966397</v>
      </c>
      <c r="E132" s="234" t="s">
        <v>300</v>
      </c>
      <c r="F132" s="370"/>
      <c r="G132" s="150">
        <v>84.694000000000003</v>
      </c>
      <c r="H132" s="361"/>
      <c r="I132" s="364"/>
      <c r="J132" s="232"/>
    </row>
    <row r="133" spans="2:10">
      <c r="B133" s="370"/>
      <c r="C133" s="228" t="s">
        <v>163</v>
      </c>
      <c r="D133" s="228">
        <v>964933</v>
      </c>
      <c r="E133" s="234" t="s">
        <v>300</v>
      </c>
      <c r="F133" s="370"/>
      <c r="G133" s="150">
        <v>340.12599999999998</v>
      </c>
      <c r="H133" s="361"/>
      <c r="I133" s="364"/>
      <c r="J133" s="232"/>
    </row>
    <row r="134" spans="2:10">
      <c r="B134" s="370"/>
      <c r="C134" s="228" t="s">
        <v>297</v>
      </c>
      <c r="D134" s="228">
        <v>960563</v>
      </c>
      <c r="E134" s="234" t="s">
        <v>300</v>
      </c>
      <c r="F134" s="370"/>
      <c r="G134" s="150">
        <v>374.22299999999996</v>
      </c>
      <c r="H134" s="361"/>
      <c r="I134" s="364"/>
      <c r="J134" s="232"/>
    </row>
    <row r="135" spans="2:10">
      <c r="B135" s="370"/>
      <c r="C135" s="228" t="s">
        <v>207</v>
      </c>
      <c r="D135" s="228">
        <v>960673</v>
      </c>
      <c r="E135" s="234" t="s">
        <v>300</v>
      </c>
      <c r="F135" s="370"/>
      <c r="G135" s="150">
        <v>87.03</v>
      </c>
      <c r="H135" s="361"/>
      <c r="I135" s="364"/>
      <c r="J135" s="232"/>
    </row>
    <row r="136" spans="2:10">
      <c r="B136" s="370"/>
      <c r="C136" s="228" t="s">
        <v>208</v>
      </c>
      <c r="D136" s="228">
        <v>923266</v>
      </c>
      <c r="E136" s="234" t="s">
        <v>300</v>
      </c>
      <c r="F136" s="370"/>
      <c r="G136" s="150">
        <v>410.80500000000001</v>
      </c>
      <c r="H136" s="361"/>
      <c r="I136" s="364"/>
      <c r="J136" s="232"/>
    </row>
    <row r="137" spans="2:10">
      <c r="B137" s="370"/>
      <c r="C137" s="228" t="s">
        <v>209</v>
      </c>
      <c r="D137" s="228">
        <v>957989</v>
      </c>
      <c r="E137" s="234" t="s">
        <v>300</v>
      </c>
      <c r="F137" s="370"/>
      <c r="G137" s="150">
        <v>406.036</v>
      </c>
      <c r="H137" s="361"/>
      <c r="I137" s="364"/>
      <c r="J137" s="232"/>
    </row>
    <row r="138" spans="2:10">
      <c r="B138" s="370"/>
      <c r="C138" s="228" t="s">
        <v>298</v>
      </c>
      <c r="D138" s="228">
        <v>958708</v>
      </c>
      <c r="E138" s="234" t="s">
        <v>300</v>
      </c>
      <c r="F138" s="370"/>
      <c r="G138" s="150">
        <v>130.77100000000002</v>
      </c>
      <c r="H138" s="361"/>
      <c r="I138" s="364"/>
      <c r="J138" s="232"/>
    </row>
    <row r="139" spans="2:10">
      <c r="B139" s="370"/>
      <c r="C139" s="228" t="s">
        <v>211</v>
      </c>
      <c r="D139" s="228">
        <v>953023</v>
      </c>
      <c r="E139" s="234" t="s">
        <v>300</v>
      </c>
      <c r="F139" s="370"/>
      <c r="G139" s="150">
        <v>55.545999999999999</v>
      </c>
      <c r="H139" s="361"/>
      <c r="I139" s="364"/>
      <c r="J139" s="232"/>
    </row>
    <row r="140" spans="2:10">
      <c r="B140" s="370"/>
      <c r="C140" s="228" t="s">
        <v>299</v>
      </c>
      <c r="D140" s="228">
        <v>923167</v>
      </c>
      <c r="E140" s="234" t="s">
        <v>300</v>
      </c>
      <c r="F140" s="370"/>
      <c r="G140" s="150">
        <v>323.88699999999994</v>
      </c>
      <c r="H140" s="361"/>
      <c r="I140" s="364"/>
      <c r="J140" s="232"/>
    </row>
    <row r="141" spans="2:10">
      <c r="B141" s="370"/>
      <c r="C141" s="228" t="s">
        <v>212</v>
      </c>
      <c r="D141" s="228">
        <v>956427</v>
      </c>
      <c r="E141" s="234" t="s">
        <v>300</v>
      </c>
      <c r="F141" s="370"/>
      <c r="G141" s="150">
        <v>326.58500000000004</v>
      </c>
      <c r="H141" s="361"/>
      <c r="I141" s="364"/>
      <c r="J141" s="232"/>
    </row>
    <row r="142" spans="2:10">
      <c r="B142" s="370"/>
      <c r="C142" s="228" t="s">
        <v>213</v>
      </c>
      <c r="D142" s="228">
        <v>950875</v>
      </c>
      <c r="E142" s="234" t="s">
        <v>300</v>
      </c>
      <c r="F142" s="370"/>
      <c r="G142" s="150">
        <v>283.202</v>
      </c>
      <c r="H142" s="361"/>
      <c r="I142" s="364"/>
      <c r="J142" s="232"/>
    </row>
    <row r="143" spans="2:10">
      <c r="B143" s="370"/>
      <c r="C143" s="228" t="s">
        <v>210</v>
      </c>
      <c r="D143" s="228">
        <v>966707</v>
      </c>
      <c r="E143" s="234" t="s">
        <v>300</v>
      </c>
      <c r="F143" s="371"/>
      <c r="G143" s="150">
        <v>365.29599999999999</v>
      </c>
      <c r="H143" s="362"/>
      <c r="I143" s="365"/>
      <c r="J143" s="232"/>
    </row>
    <row r="144" spans="2:10">
      <c r="B144" s="370"/>
      <c r="C144" s="228" t="s">
        <v>171</v>
      </c>
      <c r="D144" s="228">
        <v>968704</v>
      </c>
      <c r="E144" s="234" t="s">
        <v>300</v>
      </c>
      <c r="F144" s="373">
        <v>428.13200000000006</v>
      </c>
      <c r="G144" s="150"/>
      <c r="H144" s="369">
        <f>F144-SUM(G144:G146)</f>
        <v>93.645000000000095</v>
      </c>
      <c r="I144" s="366">
        <f>SUM(G144:G146)/F144</f>
        <v>0.78127072958807076</v>
      </c>
      <c r="J144" s="232"/>
    </row>
    <row r="145" spans="2:10">
      <c r="B145" s="370"/>
      <c r="C145" s="228" t="s">
        <v>172</v>
      </c>
      <c r="D145" s="228">
        <v>957378</v>
      </c>
      <c r="E145" s="234" t="s">
        <v>300</v>
      </c>
      <c r="F145" s="370"/>
      <c r="G145" s="150">
        <v>139.73599999999999</v>
      </c>
      <c r="H145" s="370"/>
      <c r="I145" s="367"/>
      <c r="J145" s="232"/>
    </row>
    <row r="146" spans="2:10">
      <c r="B146" s="370"/>
      <c r="C146" s="228" t="s">
        <v>166</v>
      </c>
      <c r="D146" s="228">
        <v>965267</v>
      </c>
      <c r="E146" s="234" t="s">
        <v>300</v>
      </c>
      <c r="F146" s="371"/>
      <c r="G146" s="150">
        <v>194.751</v>
      </c>
      <c r="H146" s="371"/>
      <c r="I146" s="368"/>
      <c r="J146" s="232"/>
    </row>
    <row r="147" spans="2:10">
      <c r="B147" s="370"/>
      <c r="C147" s="228" t="s">
        <v>161</v>
      </c>
      <c r="D147" s="228">
        <v>965236</v>
      </c>
      <c r="E147" s="234" t="s">
        <v>300</v>
      </c>
      <c r="F147" s="373">
        <v>1000</v>
      </c>
      <c r="G147" s="237">
        <v>116.167</v>
      </c>
      <c r="H147" s="372">
        <f>F147-SUM(G147:G161)</f>
        <v>0</v>
      </c>
      <c r="I147" s="359">
        <f>SUM(G147:G161)/F147</f>
        <v>0.99999999999999989</v>
      </c>
      <c r="J147" s="232"/>
    </row>
    <row r="148" spans="2:10">
      <c r="B148" s="370"/>
      <c r="C148" s="228" t="s">
        <v>205</v>
      </c>
      <c r="D148" s="228">
        <v>28034</v>
      </c>
      <c r="E148" s="234" t="s">
        <v>300</v>
      </c>
      <c r="F148" s="370"/>
      <c r="G148" s="237">
        <v>27.581000000000003</v>
      </c>
      <c r="H148" s="372"/>
      <c r="I148" s="359"/>
      <c r="J148" s="232"/>
    </row>
    <row r="149" spans="2:10">
      <c r="B149" s="370"/>
      <c r="C149" s="228" t="s">
        <v>206</v>
      </c>
      <c r="D149" s="228">
        <v>901588</v>
      </c>
      <c r="E149" s="234" t="s">
        <v>300</v>
      </c>
      <c r="F149" s="370"/>
      <c r="G149" s="237">
        <v>72.334000000000003</v>
      </c>
      <c r="H149" s="372"/>
      <c r="I149" s="359"/>
      <c r="J149" s="232"/>
    </row>
    <row r="150" spans="2:10">
      <c r="B150" s="370"/>
      <c r="C150" s="228" t="s">
        <v>296</v>
      </c>
      <c r="D150" s="228">
        <v>966397</v>
      </c>
      <c r="E150" s="234" t="s">
        <v>300</v>
      </c>
      <c r="F150" s="370"/>
      <c r="G150" s="237">
        <v>67.704999999999998</v>
      </c>
      <c r="H150" s="372"/>
      <c r="I150" s="359"/>
      <c r="J150" s="232"/>
    </row>
    <row r="151" spans="2:10">
      <c r="B151" s="370"/>
      <c r="C151" s="228" t="s">
        <v>163</v>
      </c>
      <c r="D151" s="228">
        <v>964933</v>
      </c>
      <c r="E151" s="234" t="s">
        <v>300</v>
      </c>
      <c r="F151" s="370"/>
      <c r="G151" s="237">
        <v>57.985999999999997</v>
      </c>
      <c r="H151" s="372"/>
      <c r="I151" s="359"/>
      <c r="J151" s="232"/>
    </row>
    <row r="152" spans="2:10">
      <c r="B152" s="370"/>
      <c r="C152" s="228" t="s">
        <v>297</v>
      </c>
      <c r="D152" s="228">
        <v>960563</v>
      </c>
      <c r="E152" s="234" t="s">
        <v>300</v>
      </c>
      <c r="F152" s="370"/>
      <c r="G152" s="237">
        <v>161.435</v>
      </c>
      <c r="H152" s="372"/>
      <c r="I152" s="359"/>
      <c r="J152" s="232"/>
    </row>
    <row r="153" spans="2:10">
      <c r="B153" s="370"/>
      <c r="C153" s="228" t="s">
        <v>207</v>
      </c>
      <c r="D153" s="228">
        <v>960673</v>
      </c>
      <c r="E153" s="234" t="s">
        <v>300</v>
      </c>
      <c r="F153" s="370"/>
      <c r="G153" s="237">
        <v>57.256999999999998</v>
      </c>
      <c r="H153" s="372"/>
      <c r="I153" s="359"/>
      <c r="J153" s="232"/>
    </row>
    <row r="154" spans="2:10">
      <c r="B154" s="370"/>
      <c r="C154" s="228" t="s">
        <v>208</v>
      </c>
      <c r="D154" s="228">
        <v>923266</v>
      </c>
      <c r="E154" s="234" t="s">
        <v>300</v>
      </c>
      <c r="F154" s="370"/>
      <c r="G154" s="237"/>
      <c r="H154" s="372"/>
      <c r="I154" s="359"/>
      <c r="J154" s="232"/>
    </row>
    <row r="155" spans="2:10">
      <c r="B155" s="370"/>
      <c r="C155" s="228" t="s">
        <v>209</v>
      </c>
      <c r="D155" s="228">
        <v>957989</v>
      </c>
      <c r="E155" s="234" t="s">
        <v>300</v>
      </c>
      <c r="F155" s="370"/>
      <c r="G155" s="237">
        <v>39.256</v>
      </c>
      <c r="H155" s="372"/>
      <c r="I155" s="359"/>
      <c r="J155" s="232"/>
    </row>
    <row r="156" spans="2:10">
      <c r="B156" s="370"/>
      <c r="C156" s="228" t="s">
        <v>210</v>
      </c>
      <c r="D156" s="228">
        <v>966707</v>
      </c>
      <c r="E156" s="234" t="s">
        <v>300</v>
      </c>
      <c r="F156" s="370"/>
      <c r="G156" s="241">
        <v>127.47200000000001</v>
      </c>
      <c r="H156" s="372"/>
      <c r="I156" s="359"/>
      <c r="J156" s="232"/>
    </row>
    <row r="157" spans="2:10">
      <c r="B157" s="370"/>
      <c r="C157" s="228" t="s">
        <v>298</v>
      </c>
      <c r="D157" s="228">
        <v>958708</v>
      </c>
      <c r="E157" s="234" t="s">
        <v>300</v>
      </c>
      <c r="F157" s="370"/>
      <c r="G157" s="237">
        <v>58.442</v>
      </c>
      <c r="H157" s="372"/>
      <c r="I157" s="359"/>
      <c r="J157" s="232"/>
    </row>
    <row r="158" spans="2:10">
      <c r="B158" s="370"/>
      <c r="C158" s="228" t="s">
        <v>211</v>
      </c>
      <c r="D158" s="228">
        <v>953023</v>
      </c>
      <c r="E158" s="234" t="s">
        <v>300</v>
      </c>
      <c r="F158" s="370"/>
      <c r="G158" s="237">
        <v>69.585999999999999</v>
      </c>
      <c r="H158" s="372"/>
      <c r="I158" s="359"/>
      <c r="J158" s="232"/>
    </row>
    <row r="159" spans="2:10">
      <c r="B159" s="370"/>
      <c r="C159" s="228" t="s">
        <v>299</v>
      </c>
      <c r="D159" s="228">
        <v>923167</v>
      </c>
      <c r="E159" s="234" t="s">
        <v>300</v>
      </c>
      <c r="F159" s="370"/>
      <c r="G159" s="237"/>
      <c r="H159" s="372"/>
      <c r="I159" s="359"/>
      <c r="J159" s="232"/>
    </row>
    <row r="160" spans="2:10">
      <c r="B160" s="370"/>
      <c r="C160" s="228" t="s">
        <v>212</v>
      </c>
      <c r="D160" s="228">
        <v>956427</v>
      </c>
      <c r="E160" s="234" t="s">
        <v>300</v>
      </c>
      <c r="F160" s="370"/>
      <c r="G160" s="237">
        <v>70.941999999999993</v>
      </c>
      <c r="H160" s="372"/>
      <c r="I160" s="359"/>
      <c r="J160" s="232"/>
    </row>
    <row r="161" spans="2:10">
      <c r="B161" s="371"/>
      <c r="C161" s="228" t="s">
        <v>213</v>
      </c>
      <c r="D161" s="228">
        <v>950875</v>
      </c>
      <c r="E161" s="234" t="s">
        <v>300</v>
      </c>
      <c r="F161" s="371"/>
      <c r="G161" s="237">
        <v>73.837000000000003</v>
      </c>
      <c r="H161" s="372"/>
      <c r="I161" s="359"/>
      <c r="J161" s="232"/>
    </row>
  </sheetData>
  <mergeCells count="38">
    <mergeCell ref="F68:F74"/>
    <mergeCell ref="F75:F76"/>
    <mergeCell ref="B77:B98"/>
    <mergeCell ref="F77:F88"/>
    <mergeCell ref="H68:H74"/>
    <mergeCell ref="F89:F98"/>
    <mergeCell ref="I68:I74"/>
    <mergeCell ref="H75:H76"/>
    <mergeCell ref="I75:I76"/>
    <mergeCell ref="H99:H127"/>
    <mergeCell ref="I99:I127"/>
    <mergeCell ref="H77:H88"/>
    <mergeCell ref="I77:I88"/>
    <mergeCell ref="H89:H98"/>
    <mergeCell ref="I89:I98"/>
    <mergeCell ref="B2:J2"/>
    <mergeCell ref="B3:J3"/>
    <mergeCell ref="F15:F58"/>
    <mergeCell ref="F59:F65"/>
    <mergeCell ref="F66:F67"/>
    <mergeCell ref="H59:H65"/>
    <mergeCell ref="I59:I65"/>
    <mergeCell ref="H15:H58"/>
    <mergeCell ref="I15:I58"/>
    <mergeCell ref="H66:H67"/>
    <mergeCell ref="I66:I67"/>
    <mergeCell ref="B129:B161"/>
    <mergeCell ref="F129:F143"/>
    <mergeCell ref="F144:F146"/>
    <mergeCell ref="F147:F161"/>
    <mergeCell ref="B99:B127"/>
    <mergeCell ref="F99:F127"/>
    <mergeCell ref="I147:I161"/>
    <mergeCell ref="H129:H143"/>
    <mergeCell ref="I129:I143"/>
    <mergeCell ref="I144:I146"/>
    <mergeCell ref="H144:H146"/>
    <mergeCell ref="H147:H161"/>
  </mergeCells>
  <phoneticPr fontId="37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6"/>
  <sheetViews>
    <sheetView workbookViewId="0">
      <selection activeCell="G17" sqref="G17"/>
    </sheetView>
  </sheetViews>
  <sheetFormatPr baseColWidth="10" defaultRowHeight="15"/>
  <cols>
    <col min="4" max="4" width="11.42578125" style="101"/>
    <col min="5" max="5" width="22.28515625" bestFit="1" customWidth="1"/>
    <col min="6" max="6" width="13.140625" customWidth="1"/>
    <col min="9" max="9" width="13.42578125" bestFit="1" customWidth="1"/>
  </cols>
  <sheetData>
    <row r="2" spans="2:10">
      <c r="B2" s="296" t="s">
        <v>214</v>
      </c>
      <c r="C2" s="296"/>
      <c r="D2" s="296"/>
      <c r="E2" s="296"/>
      <c r="F2" s="296"/>
      <c r="G2" s="296"/>
      <c r="H2" s="296"/>
      <c r="I2" s="296"/>
      <c r="J2" s="296"/>
    </row>
    <row r="3" spans="2:10">
      <c r="B3" s="297">
        <f>Resumen!C4</f>
        <v>44454</v>
      </c>
      <c r="C3" s="297"/>
      <c r="D3" s="297"/>
      <c r="E3" s="297"/>
      <c r="F3" s="297"/>
      <c r="G3" s="297"/>
      <c r="H3" s="297"/>
      <c r="I3" s="297"/>
      <c r="J3" s="297"/>
    </row>
    <row r="4" spans="2:10">
      <c r="B4" s="115"/>
      <c r="C4" s="115"/>
      <c r="D4" s="115"/>
      <c r="E4" s="115"/>
      <c r="F4" s="115"/>
      <c r="G4" s="115"/>
      <c r="H4" s="115"/>
      <c r="I4" s="115"/>
      <c r="J4" s="115"/>
    </row>
    <row r="5" spans="2:10" ht="45">
      <c r="B5" s="225" t="s">
        <v>176</v>
      </c>
      <c r="C5" s="225" t="s">
        <v>28</v>
      </c>
      <c r="D5" s="225" t="s">
        <v>124</v>
      </c>
      <c r="E5" s="225" t="s">
        <v>37</v>
      </c>
      <c r="F5" s="229" t="s">
        <v>177</v>
      </c>
      <c r="G5" s="225" t="s">
        <v>178</v>
      </c>
      <c r="H5" s="225" t="s">
        <v>179</v>
      </c>
      <c r="I5" s="225" t="s">
        <v>180</v>
      </c>
      <c r="J5" s="225" t="s">
        <v>36</v>
      </c>
    </row>
    <row r="6" spans="2:10">
      <c r="B6" s="373" t="s">
        <v>182</v>
      </c>
      <c r="C6" s="227" t="s">
        <v>183</v>
      </c>
      <c r="D6" s="227">
        <v>967226</v>
      </c>
      <c r="E6" s="226" t="s">
        <v>181</v>
      </c>
      <c r="F6" s="373">
        <v>200</v>
      </c>
      <c r="G6" s="102"/>
      <c r="H6" s="102"/>
      <c r="I6" s="102"/>
      <c r="J6" s="102"/>
    </row>
    <row r="7" spans="2:10">
      <c r="B7" s="370"/>
      <c r="C7" s="227" t="s">
        <v>184</v>
      </c>
      <c r="D7" s="227">
        <v>967476</v>
      </c>
      <c r="E7" s="226" t="s">
        <v>181</v>
      </c>
      <c r="F7" s="370"/>
      <c r="G7" s="102"/>
      <c r="H7" s="102"/>
      <c r="I7" s="102"/>
      <c r="J7" s="102"/>
    </row>
    <row r="8" spans="2:10">
      <c r="B8" s="370"/>
      <c r="C8" s="227" t="s">
        <v>185</v>
      </c>
      <c r="D8" s="227">
        <v>961948</v>
      </c>
      <c r="E8" s="226" t="s">
        <v>181</v>
      </c>
      <c r="F8" s="370"/>
      <c r="G8" s="102"/>
      <c r="H8" s="102"/>
      <c r="I8" s="102"/>
      <c r="J8" s="102"/>
    </row>
    <row r="9" spans="2:10">
      <c r="B9" s="370"/>
      <c r="C9" s="227" t="s">
        <v>186</v>
      </c>
      <c r="D9" s="227">
        <v>961805</v>
      </c>
      <c r="E9" s="226" t="s">
        <v>181</v>
      </c>
      <c r="F9" s="370"/>
      <c r="G9" s="102"/>
      <c r="H9" s="102"/>
      <c r="I9" s="102"/>
      <c r="J9" s="102"/>
    </row>
    <row r="10" spans="2:10">
      <c r="B10" s="370"/>
      <c r="C10" s="227" t="s">
        <v>187</v>
      </c>
      <c r="D10" s="227">
        <v>968122</v>
      </c>
      <c r="E10" s="226" t="s">
        <v>181</v>
      </c>
      <c r="F10" s="370"/>
      <c r="G10" s="102"/>
      <c r="H10" s="102"/>
      <c r="I10" s="102"/>
      <c r="J10" s="102"/>
    </row>
    <row r="11" spans="2:10">
      <c r="B11" s="370"/>
      <c r="C11" s="227" t="s">
        <v>188</v>
      </c>
      <c r="D11" s="227">
        <v>919376</v>
      </c>
      <c r="E11" s="226" t="s">
        <v>181</v>
      </c>
      <c r="F11" s="370"/>
      <c r="G11" s="102"/>
      <c r="H11" s="102"/>
      <c r="I11" s="102"/>
      <c r="J11" s="102"/>
    </row>
    <row r="12" spans="2:10" ht="30">
      <c r="B12" s="370"/>
      <c r="C12" s="227" t="s">
        <v>189</v>
      </c>
      <c r="D12" s="227">
        <v>958248</v>
      </c>
      <c r="E12" s="226" t="s">
        <v>181</v>
      </c>
      <c r="F12" s="370"/>
      <c r="G12" s="102"/>
      <c r="H12" s="102"/>
      <c r="I12" s="102"/>
      <c r="J12" s="102"/>
    </row>
    <row r="13" spans="2:10" ht="30">
      <c r="B13" s="370"/>
      <c r="C13" s="227" t="s">
        <v>190</v>
      </c>
      <c r="D13" s="227">
        <v>966135</v>
      </c>
      <c r="E13" s="226" t="s">
        <v>181</v>
      </c>
      <c r="F13" s="370"/>
      <c r="G13" s="102"/>
      <c r="H13" s="102"/>
      <c r="I13" s="102"/>
      <c r="J13" s="102"/>
    </row>
    <row r="14" spans="2:10" ht="30">
      <c r="B14" s="370"/>
      <c r="C14" s="228" t="s">
        <v>191</v>
      </c>
      <c r="D14" s="228">
        <v>969234</v>
      </c>
      <c r="E14" s="226" t="s">
        <v>181</v>
      </c>
      <c r="F14" s="370"/>
      <c r="G14" s="102"/>
      <c r="H14" s="102"/>
      <c r="I14" s="102"/>
      <c r="J14" s="102"/>
    </row>
    <row r="15" spans="2:10">
      <c r="B15" s="370"/>
      <c r="C15" s="228" t="s">
        <v>192</v>
      </c>
      <c r="D15" s="228">
        <v>968960</v>
      </c>
      <c r="E15" s="226" t="s">
        <v>181</v>
      </c>
      <c r="F15" s="370"/>
      <c r="G15" s="102"/>
      <c r="H15" s="102"/>
      <c r="I15" s="102"/>
      <c r="J15" s="102"/>
    </row>
    <row r="16" spans="2:10" ht="30">
      <c r="B16" s="370"/>
      <c r="C16" s="228" t="s">
        <v>193</v>
      </c>
      <c r="D16" s="228">
        <v>968156</v>
      </c>
      <c r="E16" s="226" t="s">
        <v>181</v>
      </c>
      <c r="F16" s="371"/>
      <c r="G16" s="102"/>
      <c r="H16" s="102"/>
      <c r="I16" s="102"/>
      <c r="J16" s="102"/>
    </row>
    <row r="17" spans="2:10">
      <c r="B17" s="370"/>
      <c r="C17" s="228" t="s">
        <v>194</v>
      </c>
      <c r="D17" s="228">
        <v>968808</v>
      </c>
      <c r="E17" s="226" t="s">
        <v>181</v>
      </c>
      <c r="F17" s="373">
        <v>200</v>
      </c>
      <c r="G17" s="245">
        <v>3.1850000000000001</v>
      </c>
      <c r="H17" s="102"/>
      <c r="I17" s="102"/>
      <c r="J17" s="102"/>
    </row>
    <row r="18" spans="2:10">
      <c r="B18" s="370"/>
      <c r="C18" s="228" t="s">
        <v>195</v>
      </c>
      <c r="D18" s="228">
        <v>967513</v>
      </c>
      <c r="E18" s="226" t="s">
        <v>181</v>
      </c>
      <c r="F18" s="370"/>
      <c r="G18" s="102"/>
      <c r="H18" s="102"/>
      <c r="I18" s="102"/>
      <c r="J18" s="102"/>
    </row>
    <row r="19" spans="2:10">
      <c r="B19" s="370"/>
      <c r="C19" s="228" t="s">
        <v>196</v>
      </c>
      <c r="D19" s="228">
        <v>968789</v>
      </c>
      <c r="E19" s="226" t="s">
        <v>181</v>
      </c>
      <c r="F19" s="370"/>
      <c r="G19" s="102"/>
      <c r="H19" s="102"/>
      <c r="I19" s="102"/>
      <c r="J19" s="102"/>
    </row>
    <row r="20" spans="2:10" ht="30">
      <c r="B20" s="370"/>
      <c r="C20" s="228" t="s">
        <v>197</v>
      </c>
      <c r="D20" s="228">
        <v>919387</v>
      </c>
      <c r="E20" s="226" t="s">
        <v>181</v>
      </c>
      <c r="F20" s="370"/>
      <c r="G20" s="102"/>
      <c r="H20" s="102"/>
      <c r="I20" s="102"/>
      <c r="J20" s="102"/>
    </row>
    <row r="21" spans="2:10">
      <c r="B21" s="370"/>
      <c r="C21" s="228" t="s">
        <v>198</v>
      </c>
      <c r="D21" s="228">
        <v>964115</v>
      </c>
      <c r="E21" s="226" t="s">
        <v>181</v>
      </c>
      <c r="F21" s="370"/>
      <c r="G21" s="102"/>
      <c r="H21" s="102"/>
      <c r="I21" s="102"/>
      <c r="J21" s="102"/>
    </row>
    <row r="22" spans="2:10">
      <c r="B22" s="370"/>
      <c r="C22" s="228" t="s">
        <v>199</v>
      </c>
      <c r="D22" s="228">
        <v>968831</v>
      </c>
      <c r="E22" s="226" t="s">
        <v>181</v>
      </c>
      <c r="F22" s="370"/>
      <c r="G22" s="102"/>
      <c r="H22" s="102"/>
      <c r="I22" s="102"/>
      <c r="J22" s="102"/>
    </row>
    <row r="23" spans="2:10">
      <c r="B23" s="370"/>
      <c r="C23" s="228" t="s">
        <v>200</v>
      </c>
      <c r="D23" s="228">
        <v>966479</v>
      </c>
      <c r="E23" s="226" t="s">
        <v>181</v>
      </c>
      <c r="F23" s="370"/>
      <c r="G23" s="102"/>
      <c r="H23" s="102"/>
      <c r="I23" s="102"/>
      <c r="J23" s="102"/>
    </row>
    <row r="24" spans="2:10">
      <c r="B24" s="370"/>
      <c r="C24" s="228" t="s">
        <v>201</v>
      </c>
      <c r="D24" s="228">
        <v>966548</v>
      </c>
      <c r="E24" s="226" t="s">
        <v>181</v>
      </c>
      <c r="F24" s="370"/>
      <c r="G24" s="102"/>
      <c r="H24" s="102"/>
      <c r="I24" s="102"/>
      <c r="J24" s="102"/>
    </row>
    <row r="25" spans="2:10">
      <c r="B25" s="371"/>
      <c r="C25" s="228" t="s">
        <v>202</v>
      </c>
      <c r="D25" s="228">
        <v>966516</v>
      </c>
      <c r="E25" s="226" t="s">
        <v>181</v>
      </c>
      <c r="F25" s="371"/>
      <c r="G25" s="102"/>
      <c r="H25" s="102"/>
      <c r="I25" s="102"/>
      <c r="J25" s="102"/>
    </row>
    <row r="26" spans="2:10">
      <c r="B26" s="373" t="s">
        <v>32</v>
      </c>
      <c r="C26" s="228" t="s">
        <v>203</v>
      </c>
      <c r="D26" s="228">
        <v>968796</v>
      </c>
      <c r="E26" s="226" t="s">
        <v>181</v>
      </c>
      <c r="F26" s="373">
        <v>400</v>
      </c>
      <c r="G26" s="102"/>
      <c r="H26" s="102"/>
      <c r="I26" s="102"/>
      <c r="J26" s="102"/>
    </row>
    <row r="27" spans="2:10" ht="30">
      <c r="B27" s="371"/>
      <c r="C27" s="228" t="s">
        <v>204</v>
      </c>
      <c r="D27" s="228">
        <v>967477</v>
      </c>
      <c r="E27" s="226" t="s">
        <v>181</v>
      </c>
      <c r="F27" s="371"/>
      <c r="G27" s="102"/>
      <c r="H27" s="102"/>
      <c r="I27" s="102"/>
      <c r="J27" s="102"/>
    </row>
    <row r="28" spans="2:10">
      <c r="B28" s="373" t="s">
        <v>29</v>
      </c>
      <c r="C28" s="228" t="s">
        <v>205</v>
      </c>
      <c r="D28" s="228">
        <v>28034</v>
      </c>
      <c r="E28" s="226" t="s">
        <v>181</v>
      </c>
      <c r="F28" s="373">
        <v>180</v>
      </c>
      <c r="G28" s="102"/>
      <c r="H28" s="102"/>
      <c r="I28" s="102"/>
      <c r="J28" s="102"/>
    </row>
    <row r="29" spans="2:10">
      <c r="B29" s="370"/>
      <c r="C29" s="228" t="s">
        <v>206</v>
      </c>
      <c r="D29" s="228">
        <v>901588</v>
      </c>
      <c r="E29" s="226" t="s">
        <v>181</v>
      </c>
      <c r="F29" s="370"/>
      <c r="G29" s="102"/>
      <c r="H29" s="102"/>
      <c r="I29" s="102"/>
      <c r="J29" s="102"/>
    </row>
    <row r="30" spans="2:10">
      <c r="B30" s="370"/>
      <c r="C30" s="228" t="s">
        <v>207</v>
      </c>
      <c r="D30" s="228">
        <v>960673</v>
      </c>
      <c r="E30" s="226" t="s">
        <v>181</v>
      </c>
      <c r="F30" s="370"/>
      <c r="G30" s="102"/>
      <c r="H30" s="102"/>
      <c r="I30" s="102"/>
      <c r="J30" s="102"/>
    </row>
    <row r="31" spans="2:10">
      <c r="B31" s="370"/>
      <c r="C31" s="228" t="s">
        <v>208</v>
      </c>
      <c r="D31" s="228">
        <v>923266</v>
      </c>
      <c r="E31" s="226" t="s">
        <v>181</v>
      </c>
      <c r="F31" s="370"/>
      <c r="G31" s="102"/>
      <c r="H31" s="102"/>
      <c r="I31" s="102"/>
      <c r="J31" s="102"/>
    </row>
    <row r="32" spans="2:10">
      <c r="B32" s="370"/>
      <c r="C32" s="228" t="s">
        <v>209</v>
      </c>
      <c r="D32" s="228">
        <v>957989</v>
      </c>
      <c r="E32" s="226" t="s">
        <v>181</v>
      </c>
      <c r="F32" s="370"/>
      <c r="G32" s="102"/>
      <c r="H32" s="102"/>
      <c r="I32" s="102"/>
      <c r="J32" s="102"/>
    </row>
    <row r="33" spans="2:10">
      <c r="B33" s="370"/>
      <c r="C33" s="228" t="s">
        <v>210</v>
      </c>
      <c r="D33" s="228">
        <v>966707</v>
      </c>
      <c r="E33" s="226" t="s">
        <v>181</v>
      </c>
      <c r="F33" s="370"/>
      <c r="G33" s="102"/>
      <c r="H33" s="102"/>
      <c r="I33" s="102"/>
      <c r="J33" s="102"/>
    </row>
    <row r="34" spans="2:10">
      <c r="B34" s="370"/>
      <c r="C34" s="228" t="s">
        <v>211</v>
      </c>
      <c r="D34" s="228">
        <v>953023</v>
      </c>
      <c r="E34" s="226" t="s">
        <v>181</v>
      </c>
      <c r="F34" s="370"/>
      <c r="G34" s="102"/>
      <c r="H34" s="102"/>
      <c r="I34" s="102"/>
      <c r="J34" s="102"/>
    </row>
    <row r="35" spans="2:10" ht="30">
      <c r="B35" s="370"/>
      <c r="C35" s="228" t="s">
        <v>212</v>
      </c>
      <c r="D35" s="228">
        <v>956427</v>
      </c>
      <c r="E35" s="226" t="s">
        <v>181</v>
      </c>
      <c r="F35" s="370"/>
      <c r="G35" s="102"/>
      <c r="H35" s="102"/>
      <c r="I35" s="102"/>
      <c r="J35" s="102"/>
    </row>
    <row r="36" spans="2:10" ht="30">
      <c r="B36" s="371"/>
      <c r="C36" s="228" t="s">
        <v>213</v>
      </c>
      <c r="D36" s="228">
        <v>950875</v>
      </c>
      <c r="E36" s="226" t="s">
        <v>181</v>
      </c>
      <c r="F36" s="371"/>
      <c r="G36" s="102"/>
      <c r="H36" s="102"/>
      <c r="I36" s="102"/>
      <c r="J36" s="102"/>
    </row>
  </sheetData>
  <mergeCells count="9">
    <mergeCell ref="B28:B36"/>
    <mergeCell ref="F28:F36"/>
    <mergeCell ref="B2:J2"/>
    <mergeCell ref="B3:J3"/>
    <mergeCell ref="B6:B25"/>
    <mergeCell ref="F6:F16"/>
    <mergeCell ref="F17:F25"/>
    <mergeCell ref="B26:B27"/>
    <mergeCell ref="F26:F27"/>
  </mergeCells>
  <phoneticPr fontId="3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Artesanal Anchoveta XV-IV</vt:lpstr>
      <vt:lpstr>Remanente Anchoveta</vt:lpstr>
      <vt:lpstr>Artesanal S.española XV-IV</vt:lpstr>
      <vt:lpstr>Remanente Sard. esp.</vt:lpstr>
      <vt:lpstr>Industrial</vt:lpstr>
      <vt:lpstr>Cesiones ind y colec</vt:lpstr>
      <vt:lpstr>Remanente Emb Anchoveta</vt:lpstr>
      <vt:lpstr>Remanente Emb S.española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nperez</cp:lastModifiedBy>
  <dcterms:created xsi:type="dcterms:W3CDTF">2019-10-16T16:01:09Z</dcterms:created>
  <dcterms:modified xsi:type="dcterms:W3CDTF">2021-09-14T19:57:00Z</dcterms:modified>
</cp:coreProperties>
</file>