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22\2.- Pelagicos\Anchoveta y Sardina 2022\"/>
    </mc:Choice>
  </mc:AlternateContent>
  <bookViews>
    <workbookView xWindow="-120" yWindow="-120" windowWidth="20730" windowHeight="11160" tabRatio="782"/>
  </bookViews>
  <sheets>
    <sheet name="Resumen" sheetId="1" r:id="rId1"/>
    <sheet name="Artesanal Anchoveta XV-IV" sheetId="2" r:id="rId2"/>
    <sheet name="Remanente Anchoveta" sheetId="9" r:id="rId3"/>
    <sheet name="Remanente Ces. Ind. Anchoveta " sheetId="13" r:id="rId4"/>
    <sheet name="Artesanal S.española XV-IV" sheetId="7" r:id="rId5"/>
    <sheet name="Industrial" sheetId="3" r:id="rId6"/>
    <sheet name="Cesiones ind y colec" sheetId="5" r:id="rId7"/>
    <sheet name="P. Investigación" sheetId="4" r:id="rId8"/>
    <sheet name="Consumo humano" sheetId="8" r:id="rId9"/>
    <sheet name="Publicacion web" sheetId="6" r:id="rId10"/>
  </sheets>
  <definedNames>
    <definedName name="_xlnm._FilterDatabase" localSheetId="6" hidden="1">'Cesiones ind y colec'!$A$4:$V$162</definedName>
    <definedName name="_xlnm._FilterDatabase" localSheetId="9" hidden="1">'Publicacion web'!$A$1:$Q$54</definedName>
    <definedName name="_xlnm._FilterDatabase" localSheetId="3" hidden="1">'Remanente Ces. Ind. Anchoveta '!$B$2:$I$72</definedName>
  </definedNames>
  <calcPr calcId="152511"/>
</workbook>
</file>

<file path=xl/calcChain.xml><?xml version="1.0" encoding="utf-8"?>
<calcChain xmlns="http://schemas.openxmlformats.org/spreadsheetml/2006/main">
  <c r="F15" i="3" l="1"/>
  <c r="S11" i="5"/>
  <c r="S8" i="5"/>
  <c r="T6" i="5" l="1"/>
  <c r="S6" i="5"/>
  <c r="O160" i="5"/>
  <c r="N160" i="5"/>
  <c r="F43" i="3"/>
  <c r="F28" i="3"/>
  <c r="N8" i="2"/>
  <c r="T11" i="5"/>
  <c r="S10" i="5"/>
  <c r="S9" i="5"/>
  <c r="T8" i="5"/>
  <c r="K155" i="5" l="1"/>
  <c r="J155" i="5"/>
  <c r="K148" i="5"/>
  <c r="J148" i="5"/>
  <c r="F11" i="3"/>
  <c r="K142" i="5"/>
  <c r="J142" i="5"/>
  <c r="K132" i="5"/>
  <c r="J132" i="5"/>
  <c r="F20" i="3"/>
  <c r="K125" i="5" l="1"/>
  <c r="J125" i="5"/>
  <c r="G16" i="1"/>
  <c r="G14" i="1"/>
  <c r="G12" i="1"/>
  <c r="G10" i="1"/>
  <c r="H16" i="1"/>
  <c r="T10" i="5"/>
  <c r="H14" i="1" s="1"/>
  <c r="T9" i="5"/>
  <c r="H12" i="1" s="1"/>
  <c r="V8" i="5"/>
  <c r="J10" i="1" s="1"/>
  <c r="V9" i="5" l="1"/>
  <c r="J12" i="1" s="1"/>
  <c r="V10" i="5"/>
  <c r="J14" i="1" s="1"/>
  <c r="V11" i="5"/>
  <c r="J16" i="1" s="1"/>
  <c r="H10" i="1"/>
  <c r="K122" i="5" l="1"/>
  <c r="J122" i="5"/>
  <c r="F12" i="3"/>
  <c r="K121" i="5"/>
  <c r="J121" i="5"/>
  <c r="J120" i="5"/>
  <c r="K120" i="5"/>
  <c r="K119" i="5"/>
  <c r="J119" i="5"/>
  <c r="K109" i="5"/>
  <c r="J109" i="5"/>
  <c r="U10" i="5" s="1"/>
  <c r="I14" i="1" s="1"/>
  <c r="J102" i="5"/>
  <c r="K102" i="5"/>
  <c r="K101" i="5"/>
  <c r="J101" i="5"/>
  <c r="K100" i="5"/>
  <c r="J100" i="5"/>
  <c r="K94" i="5" l="1"/>
  <c r="J94" i="5"/>
  <c r="K93" i="5"/>
  <c r="J93" i="5"/>
  <c r="K85" i="5"/>
  <c r="J85" i="5"/>
  <c r="F13" i="3"/>
  <c r="K68" i="5"/>
  <c r="J68" i="5"/>
  <c r="U11" i="5" s="1"/>
  <c r="H18" i="13"/>
  <c r="I16" i="1" l="1"/>
  <c r="K54" i="5"/>
  <c r="J54" i="5"/>
  <c r="K41" i="5"/>
  <c r="J41" i="5"/>
  <c r="U9" i="5" l="1"/>
  <c r="I12" i="1" s="1"/>
  <c r="T5" i="5"/>
  <c r="S5" i="5"/>
  <c r="K5" i="5"/>
  <c r="J5" i="5"/>
  <c r="I8" i="4"/>
  <c r="I9" i="4"/>
  <c r="I10" i="4"/>
  <c r="I11" i="4"/>
  <c r="I12" i="4"/>
  <c r="I13" i="4"/>
  <c r="I7" i="4"/>
  <c r="I6" i="4"/>
  <c r="U8" i="5" l="1"/>
  <c r="I10" i="1" s="1"/>
  <c r="O45" i="6"/>
  <c r="K45" i="6"/>
  <c r="I45" i="6"/>
  <c r="H45" i="6"/>
  <c r="E45" i="6"/>
  <c r="O12" i="2"/>
  <c r="Q12" i="2"/>
  <c r="H12" i="2"/>
  <c r="L12" i="2" s="1"/>
  <c r="M45" i="6" s="1"/>
  <c r="N12" i="2"/>
  <c r="I71" i="13"/>
  <c r="H71" i="13"/>
  <c r="I54" i="13"/>
  <c r="H54" i="13"/>
  <c r="I49" i="13"/>
  <c r="H49" i="13"/>
  <c r="I42" i="13"/>
  <c r="H42" i="13"/>
  <c r="I33" i="13"/>
  <c r="H33" i="13"/>
  <c r="I18" i="13"/>
  <c r="I3" i="13"/>
  <c r="H3" i="13"/>
  <c r="J45" i="6" l="1"/>
  <c r="P12" i="2"/>
  <c r="R12" i="2" s="1"/>
  <c r="K12" i="2"/>
  <c r="L45" i="6" s="1"/>
  <c r="K34" i="3"/>
  <c r="L34" i="3"/>
  <c r="M34" i="3" s="1"/>
  <c r="O34" i="3" s="1"/>
  <c r="N34" i="3"/>
  <c r="K35" i="3"/>
  <c r="L35" i="3"/>
  <c r="N35" i="3"/>
  <c r="N33" i="3"/>
  <c r="L33" i="3"/>
  <c r="K33" i="3"/>
  <c r="H9" i="2"/>
  <c r="L12" i="3"/>
  <c r="N12" i="3"/>
  <c r="L13" i="3"/>
  <c r="N13" i="3"/>
  <c r="L14" i="3"/>
  <c r="N14" i="3"/>
  <c r="L15" i="3"/>
  <c r="N15" i="3"/>
  <c r="N11" i="3"/>
  <c r="L11" i="3"/>
  <c r="E45" i="3"/>
  <c r="E44" i="3"/>
  <c r="E43" i="3"/>
  <c r="E42" i="3"/>
  <c r="E41" i="3"/>
  <c r="E40" i="3"/>
  <c r="E39" i="3"/>
  <c r="E38" i="3"/>
  <c r="E37" i="3"/>
  <c r="E31" i="3"/>
  <c r="E28" i="3"/>
  <c r="E22" i="3"/>
  <c r="E26" i="3"/>
  <c r="E17" i="3"/>
  <c r="E30" i="3"/>
  <c r="E24" i="3"/>
  <c r="E25" i="3"/>
  <c r="E19" i="3"/>
  <c r="E20" i="3"/>
  <c r="E27" i="3"/>
  <c r="E21" i="3"/>
  <c r="E23" i="3"/>
  <c r="E29" i="3"/>
  <c r="E18" i="3"/>
  <c r="E12" i="3"/>
  <c r="K12" i="3" s="1"/>
  <c r="E15" i="3"/>
  <c r="K15" i="3" s="1"/>
  <c r="E13" i="3"/>
  <c r="K13" i="3" s="1"/>
  <c r="E14" i="3"/>
  <c r="K14" i="3" s="1"/>
  <c r="M14" i="3" s="1"/>
  <c r="O14" i="3" s="1"/>
  <c r="E11" i="3"/>
  <c r="K11" i="3" s="1"/>
  <c r="B4" i="2"/>
  <c r="S12" i="2" l="1"/>
  <c r="M12" i="3"/>
  <c r="O12" i="3" s="1"/>
  <c r="M15" i="3"/>
  <c r="P15" i="3" s="1"/>
  <c r="M13" i="3"/>
  <c r="O13" i="3" s="1"/>
  <c r="M35" i="3"/>
  <c r="O35" i="3" s="1"/>
  <c r="P34" i="3"/>
  <c r="P35" i="3"/>
  <c r="P14" i="3"/>
  <c r="E16" i="3"/>
  <c r="E31" i="1" s="1"/>
  <c r="F35" i="1"/>
  <c r="O15" i="3" l="1"/>
  <c r="P12" i="3"/>
  <c r="P13" i="3"/>
  <c r="I22" i="6"/>
  <c r="O22" i="6"/>
  <c r="K22" i="6"/>
  <c r="E22" i="6"/>
  <c r="L31" i="3"/>
  <c r="N31" i="3"/>
  <c r="G31" i="3" l="1"/>
  <c r="J22" i="6" s="1"/>
  <c r="K31" i="3"/>
  <c r="M31" i="3" s="1"/>
  <c r="H22" i="6"/>
  <c r="J31" i="3" l="1"/>
  <c r="M22" i="6" s="1"/>
  <c r="I31" i="3"/>
  <c r="L22" i="6" s="1"/>
  <c r="O31" i="3"/>
  <c r="P31" i="3"/>
  <c r="P8" i="7" l="1"/>
  <c r="N8" i="7"/>
  <c r="M8" i="7"/>
  <c r="P7" i="7"/>
  <c r="N7" i="7"/>
  <c r="M7" i="7"/>
  <c r="E19" i="1" s="1"/>
  <c r="Q8" i="2"/>
  <c r="O8" i="2"/>
  <c r="Q7" i="2"/>
  <c r="O7" i="2"/>
  <c r="N7" i="2"/>
  <c r="P7" i="2" l="1"/>
  <c r="F36" i="1" l="1"/>
  <c r="G6" i="9" l="1"/>
  <c r="H6" i="9"/>
  <c r="G7" i="9"/>
  <c r="H7" i="9"/>
  <c r="B3" i="9" l="1"/>
  <c r="N40" i="6" l="1"/>
  <c r="E9" i="1" l="1"/>
  <c r="F9" i="1"/>
  <c r="H9" i="1"/>
  <c r="H39" i="6" l="1"/>
  <c r="I39" i="6"/>
  <c r="K39" i="6"/>
  <c r="G9" i="1"/>
  <c r="R7" i="2" l="1"/>
  <c r="I9" i="1" s="1"/>
  <c r="J39" i="6"/>
  <c r="S7" i="2"/>
  <c r="J9" i="1" s="1"/>
  <c r="C4" i="4" l="1"/>
  <c r="D4" i="8" l="1"/>
  <c r="G29" i="1"/>
  <c r="J29" i="1" s="1"/>
  <c r="G26" i="1"/>
  <c r="J26" i="1" s="1"/>
  <c r="I26" i="1" l="1"/>
  <c r="I29" i="1"/>
  <c r="O4" i="6"/>
  <c r="O5" i="6"/>
  <c r="K5" i="6"/>
  <c r="I5" i="6"/>
  <c r="K4" i="6"/>
  <c r="I4" i="6"/>
  <c r="H4" i="6"/>
  <c r="H5" i="6"/>
  <c r="O21" i="6"/>
  <c r="I21" i="6"/>
  <c r="K21" i="6"/>
  <c r="L30" i="3"/>
  <c r="N30" i="3"/>
  <c r="H21" i="6"/>
  <c r="G30" i="3" l="1"/>
  <c r="J21" i="6" s="1"/>
  <c r="G14" i="3"/>
  <c r="I14" i="3" s="1"/>
  <c r="E32" i="3"/>
  <c r="G13" i="3"/>
  <c r="I13" i="3" s="1"/>
  <c r="K30" i="3"/>
  <c r="M30" i="3" s="1"/>
  <c r="P30" i="3" s="1"/>
  <c r="J14" i="3" l="1"/>
  <c r="M5" i="6" s="1"/>
  <c r="J13" i="3"/>
  <c r="M4" i="6" s="1"/>
  <c r="L5" i="6"/>
  <c r="J4" i="6"/>
  <c r="J5" i="6"/>
  <c r="J30" i="3"/>
  <c r="M21" i="6" s="1"/>
  <c r="I30" i="3"/>
  <c r="L21" i="6" s="1"/>
  <c r="O30" i="3"/>
  <c r="L4" i="6"/>
  <c r="G36" i="1" l="1"/>
  <c r="E46" i="3"/>
  <c r="E36" i="3"/>
  <c r="H28" i="1"/>
  <c r="G30" i="1"/>
  <c r="G28" i="1"/>
  <c r="G27" i="1"/>
  <c r="F24" i="1"/>
  <c r="H24" i="1"/>
  <c r="F23" i="1"/>
  <c r="H23" i="1"/>
  <c r="E24" i="1"/>
  <c r="E23" i="1"/>
  <c r="F18" i="1"/>
  <c r="H18" i="1"/>
  <c r="F17" i="1"/>
  <c r="H17" i="1"/>
  <c r="E18" i="1"/>
  <c r="E17" i="1"/>
  <c r="N9" i="7"/>
  <c r="P9" i="7"/>
  <c r="M9" i="7"/>
  <c r="M10" i="7"/>
  <c r="N10" i="7"/>
  <c r="F21" i="1" s="1"/>
  <c r="P10" i="7"/>
  <c r="H21" i="1" s="1"/>
  <c r="M12" i="7"/>
  <c r="N12" i="7"/>
  <c r="P12" i="7"/>
  <c r="H12" i="7"/>
  <c r="K12" i="7" s="1"/>
  <c r="H9" i="7"/>
  <c r="G23" i="1" s="1"/>
  <c r="O13" i="2"/>
  <c r="Q13" i="2"/>
  <c r="N13" i="2"/>
  <c r="O9" i="2"/>
  <c r="Q9" i="2"/>
  <c r="N9" i="2"/>
  <c r="H13" i="2"/>
  <c r="P13" i="2" s="1"/>
  <c r="G17" i="1"/>
  <c r="H36" i="1"/>
  <c r="H35" i="1"/>
  <c r="E53" i="6"/>
  <c r="I53" i="6"/>
  <c r="K53" i="6"/>
  <c r="H53" i="6"/>
  <c r="I51" i="6"/>
  <c r="K51" i="6"/>
  <c r="E51" i="6"/>
  <c r="H51" i="6"/>
  <c r="I49" i="6"/>
  <c r="K49" i="6"/>
  <c r="H49" i="6"/>
  <c r="E49" i="6"/>
  <c r="E47" i="6"/>
  <c r="I47" i="6"/>
  <c r="K47" i="6"/>
  <c r="H47" i="6"/>
  <c r="P11" i="7"/>
  <c r="H22" i="1" s="1"/>
  <c r="N11" i="7"/>
  <c r="F22" i="1" s="1"/>
  <c r="M11" i="7"/>
  <c r="E22" i="1" s="1"/>
  <c r="H11" i="7"/>
  <c r="H10" i="7"/>
  <c r="J51" i="6" s="1"/>
  <c r="H20" i="1"/>
  <c r="F20" i="1"/>
  <c r="H8" i="7"/>
  <c r="J8" i="7" s="1"/>
  <c r="H19" i="1"/>
  <c r="F19" i="1"/>
  <c r="H7" i="7"/>
  <c r="J7" i="7" s="1"/>
  <c r="B4" i="7"/>
  <c r="K11" i="7" l="1"/>
  <c r="M53" i="6" s="1"/>
  <c r="E33" i="1"/>
  <c r="H27" i="6"/>
  <c r="O7" i="7"/>
  <c r="G19" i="1" s="1"/>
  <c r="I19" i="1" s="1"/>
  <c r="O8" i="7"/>
  <c r="G20" i="1" s="1"/>
  <c r="I20" i="1" s="1"/>
  <c r="I50" i="6"/>
  <c r="I54" i="6"/>
  <c r="G24" i="1"/>
  <c r="J24" i="1" s="1"/>
  <c r="P5" i="4"/>
  <c r="J10" i="7"/>
  <c r="L51" i="6" s="1"/>
  <c r="L49" i="6"/>
  <c r="J49" i="6"/>
  <c r="R13" i="2"/>
  <c r="L9" i="2"/>
  <c r="S13" i="2"/>
  <c r="O11" i="7"/>
  <c r="R11" i="7" s="1"/>
  <c r="M54" i="6" s="1"/>
  <c r="H48" i="6"/>
  <c r="H50" i="6"/>
  <c r="J53" i="6"/>
  <c r="H54" i="6"/>
  <c r="E20" i="1"/>
  <c r="L13" i="2"/>
  <c r="J9" i="7"/>
  <c r="K9" i="7"/>
  <c r="O9" i="7"/>
  <c r="Q9" i="7" s="1"/>
  <c r="G18" i="1"/>
  <c r="J18" i="1" s="1"/>
  <c r="K10" i="7"/>
  <c r="M51" i="6" s="1"/>
  <c r="J11" i="7"/>
  <c r="L53" i="6" s="1"/>
  <c r="L47" i="6"/>
  <c r="J47" i="6"/>
  <c r="K48" i="6"/>
  <c r="I48" i="6"/>
  <c r="I52" i="6"/>
  <c r="K9" i="2"/>
  <c r="K13" i="2"/>
  <c r="P9" i="2"/>
  <c r="R9" i="2" s="1"/>
  <c r="J12" i="7"/>
  <c r="O12" i="7"/>
  <c r="R12" i="7" s="1"/>
  <c r="O10" i="7"/>
  <c r="R10" i="7" s="1"/>
  <c r="M52" i="6" s="1"/>
  <c r="K54" i="6"/>
  <c r="I17" i="1"/>
  <c r="I23" i="1"/>
  <c r="J17" i="1"/>
  <c r="J23" i="1"/>
  <c r="I28" i="1"/>
  <c r="J28" i="1"/>
  <c r="H25" i="1"/>
  <c r="V6" i="5"/>
  <c r="J36" i="1" s="1"/>
  <c r="T7" i="5"/>
  <c r="U6" i="5"/>
  <c r="I36" i="1" s="1"/>
  <c r="K52" i="6"/>
  <c r="K50" i="6"/>
  <c r="H52" i="6"/>
  <c r="E21" i="1"/>
  <c r="K7" i="7"/>
  <c r="M47" i="6" s="1"/>
  <c r="K8" i="7"/>
  <c r="M49" i="6" s="1"/>
  <c r="I33" i="6"/>
  <c r="I11" i="6"/>
  <c r="B7" i="3"/>
  <c r="K45" i="3"/>
  <c r="G25" i="1"/>
  <c r="I44" i="6"/>
  <c r="K44" i="6"/>
  <c r="H44" i="6"/>
  <c r="H42" i="6"/>
  <c r="I42" i="6"/>
  <c r="K42" i="6"/>
  <c r="I40" i="6"/>
  <c r="K40" i="6"/>
  <c r="H40" i="6"/>
  <c r="I38" i="6"/>
  <c r="K38" i="6"/>
  <c r="H38" i="6"/>
  <c r="I28" i="6"/>
  <c r="K28" i="6"/>
  <c r="I29" i="6"/>
  <c r="K29" i="6"/>
  <c r="I30" i="6"/>
  <c r="K30" i="6"/>
  <c r="I31" i="6"/>
  <c r="K31" i="6"/>
  <c r="I32" i="6"/>
  <c r="K32" i="6"/>
  <c r="K33" i="6"/>
  <c r="I34" i="6"/>
  <c r="K34" i="6"/>
  <c r="I35" i="6"/>
  <c r="K35" i="6"/>
  <c r="I36" i="6"/>
  <c r="K36" i="6"/>
  <c r="H29" i="6"/>
  <c r="H30" i="6"/>
  <c r="H31" i="6"/>
  <c r="H32" i="6"/>
  <c r="H33" i="6"/>
  <c r="H34" i="6"/>
  <c r="H35" i="6"/>
  <c r="H36" i="6"/>
  <c r="H28" i="6"/>
  <c r="I26" i="6"/>
  <c r="K26" i="6"/>
  <c r="H26" i="6"/>
  <c r="I25" i="6"/>
  <c r="K25" i="6"/>
  <c r="H25" i="6"/>
  <c r="I24" i="6"/>
  <c r="K24" i="6"/>
  <c r="H24" i="6"/>
  <c r="I8" i="6"/>
  <c r="K8" i="6"/>
  <c r="I9" i="6"/>
  <c r="K9" i="6"/>
  <c r="I10" i="6"/>
  <c r="K10" i="6"/>
  <c r="K11" i="6"/>
  <c r="I12" i="6"/>
  <c r="K12" i="6"/>
  <c r="I13" i="6"/>
  <c r="K13" i="6"/>
  <c r="I14" i="6"/>
  <c r="K14" i="6"/>
  <c r="I15" i="6"/>
  <c r="K15" i="6"/>
  <c r="I16" i="6"/>
  <c r="K16" i="6"/>
  <c r="I17" i="6"/>
  <c r="K17" i="6"/>
  <c r="I18" i="6"/>
  <c r="K18" i="6"/>
  <c r="I19" i="6"/>
  <c r="K19" i="6"/>
  <c r="I20" i="6"/>
  <c r="K20" i="6"/>
  <c r="H9" i="6"/>
  <c r="H10" i="6"/>
  <c r="H11" i="6"/>
  <c r="H12" i="6"/>
  <c r="H13" i="6"/>
  <c r="H14" i="6"/>
  <c r="H15" i="6"/>
  <c r="H16" i="6"/>
  <c r="H17" i="6"/>
  <c r="H18" i="6"/>
  <c r="H19" i="6"/>
  <c r="H20" i="6"/>
  <c r="H8" i="6"/>
  <c r="I6" i="6"/>
  <c r="K6" i="6"/>
  <c r="H6" i="6"/>
  <c r="I3" i="6"/>
  <c r="K3" i="6"/>
  <c r="H3" i="6"/>
  <c r="I2" i="6"/>
  <c r="K2" i="6"/>
  <c r="H2" i="6"/>
  <c r="O3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6" i="6"/>
  <c r="O47" i="6"/>
  <c r="O48" i="6"/>
  <c r="O49" i="6"/>
  <c r="O50" i="6"/>
  <c r="O51" i="6"/>
  <c r="O52" i="6"/>
  <c r="O53" i="6"/>
  <c r="O54" i="6"/>
  <c r="O2" i="6"/>
  <c r="E44" i="6"/>
  <c r="E42" i="6"/>
  <c r="E40" i="6"/>
  <c r="E38" i="6"/>
  <c r="E29" i="6"/>
  <c r="E30" i="6"/>
  <c r="E31" i="6"/>
  <c r="E32" i="6"/>
  <c r="E33" i="6"/>
  <c r="E34" i="6"/>
  <c r="E35" i="6"/>
  <c r="E36" i="6"/>
  <c r="E28" i="6"/>
  <c r="E26" i="6"/>
  <c r="E25" i="6"/>
  <c r="E24" i="6"/>
  <c r="E18" i="6"/>
  <c r="E19" i="6"/>
  <c r="E20" i="6"/>
  <c r="E9" i="6"/>
  <c r="E10" i="6"/>
  <c r="E11" i="6"/>
  <c r="E12" i="6"/>
  <c r="E13" i="6"/>
  <c r="E14" i="6"/>
  <c r="E15" i="6"/>
  <c r="E16" i="6"/>
  <c r="E17" i="6"/>
  <c r="E8" i="6"/>
  <c r="E6" i="6"/>
  <c r="E3" i="6"/>
  <c r="E2" i="6"/>
  <c r="N39" i="3"/>
  <c r="N38" i="3"/>
  <c r="N37" i="3"/>
  <c r="N40" i="3"/>
  <c r="N41" i="3"/>
  <c r="N42" i="3"/>
  <c r="N43" i="3"/>
  <c r="N44" i="3"/>
  <c r="N45" i="3"/>
  <c r="L39" i="3"/>
  <c r="L40" i="3"/>
  <c r="L41" i="3"/>
  <c r="L42" i="3"/>
  <c r="L43" i="3"/>
  <c r="L44" i="3"/>
  <c r="L45" i="3"/>
  <c r="L38" i="3"/>
  <c r="L37" i="3"/>
  <c r="K38" i="3"/>
  <c r="K39" i="3"/>
  <c r="K40" i="3"/>
  <c r="K41" i="3"/>
  <c r="K42" i="3"/>
  <c r="K43" i="3"/>
  <c r="K44" i="3"/>
  <c r="K37" i="3"/>
  <c r="N17" i="3"/>
  <c r="K18" i="3"/>
  <c r="L18" i="3"/>
  <c r="N18" i="3"/>
  <c r="K19" i="3"/>
  <c r="L19" i="3"/>
  <c r="N19" i="3"/>
  <c r="K20" i="3"/>
  <c r="N20" i="3"/>
  <c r="K21" i="3"/>
  <c r="L21" i="3"/>
  <c r="N21" i="3"/>
  <c r="K22" i="3"/>
  <c r="L22" i="3"/>
  <c r="N22" i="3"/>
  <c r="K23" i="3"/>
  <c r="L23" i="3"/>
  <c r="N23" i="3"/>
  <c r="K24" i="3"/>
  <c r="L24" i="3"/>
  <c r="N24" i="3"/>
  <c r="K25" i="3"/>
  <c r="L25" i="3"/>
  <c r="N25" i="3"/>
  <c r="K26" i="3"/>
  <c r="L26" i="3"/>
  <c r="N26" i="3"/>
  <c r="K27" i="3"/>
  <c r="L27" i="3"/>
  <c r="N27" i="3"/>
  <c r="K28" i="3"/>
  <c r="L28" i="3"/>
  <c r="N28" i="3"/>
  <c r="K29" i="3"/>
  <c r="L29" i="3"/>
  <c r="N29" i="3"/>
  <c r="L17" i="3"/>
  <c r="K17" i="3"/>
  <c r="G38" i="3"/>
  <c r="J29" i="6" s="1"/>
  <c r="G39" i="3"/>
  <c r="I39" i="3" s="1"/>
  <c r="L30" i="6" s="1"/>
  <c r="G40" i="3"/>
  <c r="J31" i="6" s="1"/>
  <c r="G41" i="3"/>
  <c r="I41" i="3" s="1"/>
  <c r="L32" i="6" s="1"/>
  <c r="G42" i="3"/>
  <c r="J33" i="6" s="1"/>
  <c r="G43" i="3"/>
  <c r="I43" i="3" s="1"/>
  <c r="L34" i="6" s="1"/>
  <c r="G44" i="3"/>
  <c r="J35" i="6" s="1"/>
  <c r="G45" i="3"/>
  <c r="J45" i="3" s="1"/>
  <c r="M36" i="6" s="1"/>
  <c r="G37" i="3"/>
  <c r="I37" i="3" s="1"/>
  <c r="L28" i="6" s="1"/>
  <c r="G35" i="3"/>
  <c r="J35" i="3" s="1"/>
  <c r="M26" i="6" s="1"/>
  <c r="G34" i="3"/>
  <c r="J25" i="6" s="1"/>
  <c r="G33" i="3"/>
  <c r="J24" i="6" s="1"/>
  <c r="G18" i="3"/>
  <c r="I18" i="3" s="1"/>
  <c r="L9" i="6" s="1"/>
  <c r="G19" i="3"/>
  <c r="J19" i="3" s="1"/>
  <c r="M10" i="6" s="1"/>
  <c r="G21" i="3"/>
  <c r="I21" i="3" s="1"/>
  <c r="L12" i="6" s="1"/>
  <c r="G22" i="3"/>
  <c r="I22" i="3" s="1"/>
  <c r="L13" i="6" s="1"/>
  <c r="G23" i="3"/>
  <c r="J23" i="3" s="1"/>
  <c r="M14" i="6" s="1"/>
  <c r="G24" i="3"/>
  <c r="I24" i="3" s="1"/>
  <c r="L15" i="6" s="1"/>
  <c r="G25" i="3"/>
  <c r="I25" i="3" s="1"/>
  <c r="L16" i="6" s="1"/>
  <c r="G26" i="3"/>
  <c r="M17" i="6" s="1"/>
  <c r="G27" i="3"/>
  <c r="I27" i="3" s="1"/>
  <c r="L18" i="6" s="1"/>
  <c r="G28" i="3"/>
  <c r="I28" i="3" s="1"/>
  <c r="L19" i="6" s="1"/>
  <c r="G29" i="3"/>
  <c r="J29" i="3" s="1"/>
  <c r="M20" i="6" s="1"/>
  <c r="G17" i="3"/>
  <c r="I17" i="3" s="1"/>
  <c r="L8" i="6" s="1"/>
  <c r="G15" i="3"/>
  <c r="J15" i="3" s="1"/>
  <c r="M6" i="6" s="1"/>
  <c r="G12" i="3"/>
  <c r="I12" i="3" s="1"/>
  <c r="G11" i="3"/>
  <c r="J11" i="3" s="1"/>
  <c r="M2" i="6" s="1"/>
  <c r="Q10" i="2"/>
  <c r="K43" i="6" s="1"/>
  <c r="O10" i="2"/>
  <c r="F13" i="1" s="1"/>
  <c r="Q11" i="2"/>
  <c r="H15" i="1" s="1"/>
  <c r="O11" i="2"/>
  <c r="N11" i="2"/>
  <c r="E15" i="1" s="1"/>
  <c r="H46" i="6" s="1"/>
  <c r="N10" i="2"/>
  <c r="H43" i="6" s="1"/>
  <c r="H11" i="1"/>
  <c r="I41" i="6"/>
  <c r="H41" i="6"/>
  <c r="H11" i="2"/>
  <c r="J44" i="6" s="1"/>
  <c r="H10" i="2"/>
  <c r="K10" i="2" s="1"/>
  <c r="L42" i="6" s="1"/>
  <c r="H8" i="2"/>
  <c r="L8" i="2" s="1"/>
  <c r="M40" i="6" s="1"/>
  <c r="H7" i="2"/>
  <c r="K7" i="2" s="1"/>
  <c r="F15" i="1" l="1"/>
  <c r="I46" i="6" s="1"/>
  <c r="P11" i="2"/>
  <c r="G15" i="1" s="1"/>
  <c r="M41" i="3"/>
  <c r="O41" i="3" s="1"/>
  <c r="J40" i="3"/>
  <c r="M31" i="6" s="1"/>
  <c r="M44" i="3"/>
  <c r="O44" i="3" s="1"/>
  <c r="M33" i="3"/>
  <c r="O33" i="3" s="1"/>
  <c r="M43" i="3"/>
  <c r="P43" i="3" s="1"/>
  <c r="M39" i="3"/>
  <c r="O39" i="3" s="1"/>
  <c r="M40" i="3"/>
  <c r="P40" i="3" s="1"/>
  <c r="J52" i="6"/>
  <c r="J48" i="6"/>
  <c r="Q11" i="7"/>
  <c r="L54" i="6" s="1"/>
  <c r="Q7" i="7"/>
  <c r="L48" i="6" s="1"/>
  <c r="J19" i="1"/>
  <c r="J41" i="3"/>
  <c r="M32" i="6" s="1"/>
  <c r="J39" i="3"/>
  <c r="M30" i="6" s="1"/>
  <c r="J38" i="3"/>
  <c r="M29" i="6" s="1"/>
  <c r="R7" i="7"/>
  <c r="M48" i="6" s="1"/>
  <c r="J20" i="1"/>
  <c r="M27" i="3"/>
  <c r="P27" i="3" s="1"/>
  <c r="R8" i="7"/>
  <c r="M50" i="6" s="1"/>
  <c r="Q12" i="7"/>
  <c r="Q8" i="7"/>
  <c r="L50" i="6" s="1"/>
  <c r="J50" i="6"/>
  <c r="M23" i="3"/>
  <c r="P23" i="3" s="1"/>
  <c r="K16" i="3"/>
  <c r="H7" i="6" s="1"/>
  <c r="I24" i="1"/>
  <c r="Q10" i="7"/>
  <c r="L52" i="6" s="1"/>
  <c r="I18" i="1"/>
  <c r="J37" i="3"/>
  <c r="M28" i="6" s="1"/>
  <c r="J26" i="6"/>
  <c r="G21" i="1"/>
  <c r="I21" i="1" s="1"/>
  <c r="I33" i="3"/>
  <c r="J33" i="3"/>
  <c r="M24" i="6" s="1"/>
  <c r="K36" i="3"/>
  <c r="L36" i="3"/>
  <c r="F33" i="1" s="1"/>
  <c r="J32" i="6"/>
  <c r="M45" i="3"/>
  <c r="O45" i="3" s="1"/>
  <c r="S9" i="2"/>
  <c r="L7" i="2"/>
  <c r="M38" i="6" s="1"/>
  <c r="J43" i="3"/>
  <c r="M34" i="6" s="1"/>
  <c r="M28" i="3"/>
  <c r="M26" i="3"/>
  <c r="M21" i="3"/>
  <c r="M19" i="3"/>
  <c r="P19" i="3" s="1"/>
  <c r="N32" i="3"/>
  <c r="H32" i="1" s="1"/>
  <c r="N36" i="3"/>
  <c r="H33" i="1" s="1"/>
  <c r="L46" i="3"/>
  <c r="N46" i="3"/>
  <c r="H34" i="1" s="1"/>
  <c r="J3" i="6"/>
  <c r="J28" i="6"/>
  <c r="J38" i="6"/>
  <c r="F46" i="3"/>
  <c r="G22" i="1"/>
  <c r="J54" i="6"/>
  <c r="R9" i="7"/>
  <c r="M11" i="3"/>
  <c r="I25" i="1"/>
  <c r="J25" i="1"/>
  <c r="M38" i="3"/>
  <c r="O38" i="3" s="1"/>
  <c r="M22" i="3"/>
  <c r="P22" i="3" s="1"/>
  <c r="J16" i="6"/>
  <c r="K46" i="6"/>
  <c r="L16" i="3"/>
  <c r="F31" i="1" s="1"/>
  <c r="M15" i="6"/>
  <c r="M24" i="3"/>
  <c r="J15" i="6"/>
  <c r="K11" i="2"/>
  <c r="L44" i="6" s="1"/>
  <c r="P10" i="2"/>
  <c r="J43" i="6" s="1"/>
  <c r="F11" i="1"/>
  <c r="I43" i="6"/>
  <c r="L38" i="6"/>
  <c r="L10" i="2"/>
  <c r="M42" i="6" s="1"/>
  <c r="E13" i="1"/>
  <c r="J42" i="6"/>
  <c r="L11" i="2"/>
  <c r="M17" i="3"/>
  <c r="P17" i="3" s="1"/>
  <c r="J6" i="6"/>
  <c r="M42" i="3"/>
  <c r="O42" i="3" s="1"/>
  <c r="J42" i="3"/>
  <c r="M33" i="6" s="1"/>
  <c r="G20" i="3"/>
  <c r="I20" i="3" s="1"/>
  <c r="L11" i="6" s="1"/>
  <c r="L20" i="3"/>
  <c r="M20" i="3" s="1"/>
  <c r="P20" i="3" s="1"/>
  <c r="M29" i="3"/>
  <c r="J34" i="3"/>
  <c r="M25" i="6" s="1"/>
  <c r="I34" i="3"/>
  <c r="I35" i="3"/>
  <c r="J2" i="6"/>
  <c r="J14" i="6"/>
  <c r="J10" i="6"/>
  <c r="J20" i="6"/>
  <c r="I11" i="3"/>
  <c r="I38" i="3"/>
  <c r="L29" i="6" s="1"/>
  <c r="M25" i="3"/>
  <c r="P25" i="3" s="1"/>
  <c r="M18" i="3"/>
  <c r="P18" i="3" s="1"/>
  <c r="H13" i="1"/>
  <c r="K41" i="6"/>
  <c r="N16" i="3"/>
  <c r="L3" i="6"/>
  <c r="K46" i="3"/>
  <c r="H37" i="6" s="1"/>
  <c r="I45" i="3"/>
  <c r="L36" i="6" s="1"/>
  <c r="J36" i="6"/>
  <c r="J44" i="3"/>
  <c r="M35" i="6" s="1"/>
  <c r="I44" i="3"/>
  <c r="L35" i="6" s="1"/>
  <c r="J34" i="6"/>
  <c r="I42" i="3"/>
  <c r="L33" i="6" s="1"/>
  <c r="I40" i="3"/>
  <c r="L31" i="6" s="1"/>
  <c r="J30" i="6"/>
  <c r="M37" i="3"/>
  <c r="J19" i="6"/>
  <c r="J18" i="6"/>
  <c r="J17" i="6"/>
  <c r="J13" i="6"/>
  <c r="J21" i="3"/>
  <c r="M12" i="6" s="1"/>
  <c r="J12" i="6"/>
  <c r="J9" i="6"/>
  <c r="K32" i="3"/>
  <c r="J8" i="6"/>
  <c r="E11" i="1"/>
  <c r="J40" i="6"/>
  <c r="P8" i="2"/>
  <c r="J25" i="3"/>
  <c r="M16" i="6" s="1"/>
  <c r="J17" i="3"/>
  <c r="M8" i="6" s="1"/>
  <c r="J27" i="3"/>
  <c r="M18" i="6" s="1"/>
  <c r="J22" i="3"/>
  <c r="M13" i="6" s="1"/>
  <c r="I15" i="3"/>
  <c r="J28" i="3"/>
  <c r="M19" i="6" s="1"/>
  <c r="J18" i="3"/>
  <c r="M9" i="6" s="1"/>
  <c r="I29" i="3"/>
  <c r="L20" i="6" s="1"/>
  <c r="I26" i="3"/>
  <c r="L17" i="6" s="1"/>
  <c r="I23" i="3"/>
  <c r="L14" i="6" s="1"/>
  <c r="I19" i="3"/>
  <c r="L10" i="6" s="1"/>
  <c r="J12" i="3"/>
  <c r="M3" i="6" s="1"/>
  <c r="K8" i="2"/>
  <c r="R11" i="2" l="1"/>
  <c r="S11" i="2"/>
  <c r="P44" i="3"/>
  <c r="P41" i="3"/>
  <c r="P33" i="3"/>
  <c r="I37" i="6"/>
  <c r="F34" i="1"/>
  <c r="O43" i="3"/>
  <c r="P39" i="3"/>
  <c r="O40" i="3"/>
  <c r="K37" i="6"/>
  <c r="O23" i="3"/>
  <c r="K23" i="6"/>
  <c r="O26" i="3"/>
  <c r="P26" i="3"/>
  <c r="O24" i="3"/>
  <c r="P24" i="3"/>
  <c r="E34" i="1"/>
  <c r="O27" i="3"/>
  <c r="O28" i="3"/>
  <c r="P28" i="3"/>
  <c r="O29" i="3"/>
  <c r="P29" i="3"/>
  <c r="O21" i="3"/>
  <c r="P21" i="3"/>
  <c r="P11" i="3"/>
  <c r="I27" i="6"/>
  <c r="K27" i="6"/>
  <c r="O22" i="3"/>
  <c r="J21" i="1"/>
  <c r="M16" i="3"/>
  <c r="P16" i="3" s="1"/>
  <c r="P45" i="3"/>
  <c r="P42" i="3"/>
  <c r="M36" i="3"/>
  <c r="G33" i="1" s="1"/>
  <c r="I33" i="1" s="1"/>
  <c r="O19" i="3"/>
  <c r="L24" i="6"/>
  <c r="L39" i="6"/>
  <c r="J22" i="1"/>
  <c r="I22" i="1"/>
  <c r="G35" i="1"/>
  <c r="S7" i="5"/>
  <c r="V5" i="5"/>
  <c r="J35" i="1" s="1"/>
  <c r="U5" i="5"/>
  <c r="I35" i="1" s="1"/>
  <c r="P38" i="3"/>
  <c r="O11" i="3"/>
  <c r="H31" i="1"/>
  <c r="J20" i="3"/>
  <c r="M11" i="6" s="1"/>
  <c r="O25" i="3"/>
  <c r="J46" i="6"/>
  <c r="I15" i="1"/>
  <c r="L46" i="6" s="1"/>
  <c r="J15" i="1"/>
  <c r="M46" i="6" s="1"/>
  <c r="O17" i="3"/>
  <c r="J11" i="6"/>
  <c r="L32" i="3"/>
  <c r="F32" i="1" s="1"/>
  <c r="G13" i="1"/>
  <c r="I13" i="1" s="1"/>
  <c r="R10" i="2"/>
  <c r="S10" i="2"/>
  <c r="M44" i="6"/>
  <c r="O18" i="3"/>
  <c r="M32" i="3"/>
  <c r="O20" i="3"/>
  <c r="I7" i="6"/>
  <c r="L25" i="6"/>
  <c r="L2" i="6"/>
  <c r="L26" i="6"/>
  <c r="L6" i="6"/>
  <c r="K7" i="6"/>
  <c r="P37" i="3"/>
  <c r="M46" i="3"/>
  <c r="P46" i="3" s="1"/>
  <c r="O37" i="3"/>
  <c r="H23" i="6"/>
  <c r="E32" i="1"/>
  <c r="L40" i="6"/>
  <c r="S8" i="2"/>
  <c r="R8" i="2"/>
  <c r="J41" i="6"/>
  <c r="G11" i="1"/>
  <c r="O46" i="3" l="1"/>
  <c r="L37" i="6" s="1"/>
  <c r="P36" i="3"/>
  <c r="J7" i="6"/>
  <c r="M39" i="6"/>
  <c r="J27" i="6"/>
  <c r="E37" i="1"/>
  <c r="G31" i="1"/>
  <c r="J31" i="1" s="1"/>
  <c r="F37" i="1"/>
  <c r="U7" i="5"/>
  <c r="V7" i="5"/>
  <c r="J33" i="1"/>
  <c r="J23" i="6"/>
  <c r="P32" i="3"/>
  <c r="M23" i="6" s="1"/>
  <c r="I11" i="1"/>
  <c r="J11" i="1"/>
  <c r="J13" i="1"/>
  <c r="O32" i="3"/>
  <c r="L23" i="6" s="1"/>
  <c r="L43" i="6"/>
  <c r="M43" i="6"/>
  <c r="O16" i="3"/>
  <c r="L7" i="6" s="1"/>
  <c r="I23" i="6"/>
  <c r="G32" i="1"/>
  <c r="M7" i="6"/>
  <c r="O36" i="3"/>
  <c r="L27" i="6" s="1"/>
  <c r="M37" i="6"/>
  <c r="J37" i="6"/>
  <c r="G34" i="1"/>
  <c r="L41" i="6"/>
  <c r="M41" i="6"/>
  <c r="I31" i="1" l="1"/>
  <c r="I34" i="1"/>
  <c r="J34" i="1"/>
  <c r="J32" i="1"/>
  <c r="I32" i="1"/>
  <c r="M27" i="6"/>
</calcChain>
</file>

<file path=xl/comments1.xml><?xml version="1.0" encoding="utf-8"?>
<comments xmlns="http://schemas.openxmlformats.org/spreadsheetml/2006/main">
  <authors>
    <author>CARLOS FELIPE VALDIVIA PINO</author>
    <author>nperez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3356-21
Res. 1058-22 Modf Res 3356-21</t>
        </r>
      </text>
    </comment>
    <comment ref="M7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78-22 Cierre cuota
Res 88-22 Apertura cuota</t>
        </r>
      </text>
    </comment>
    <comment ref="M8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64-22 Cierre cuota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3263-21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3448-21</t>
        </r>
      </text>
    </comment>
    <comment ref="M12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118-22 Cierre cuota.</t>
        </r>
      </text>
    </comment>
  </commentList>
</comments>
</file>

<file path=xl/comments2.xml><?xml version="1.0" encoding="utf-8"?>
<comments xmlns="http://schemas.openxmlformats.org/spreadsheetml/2006/main">
  <authors>
    <author>CARLOS FELIPE VALDIVIA PINO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3356-21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3263-21</t>
        </r>
      </text>
    </comment>
  </commentList>
</comments>
</file>

<file path=xl/comments3.xml><?xml version="1.0" encoding="utf-8"?>
<comments xmlns="http://schemas.openxmlformats.org/spreadsheetml/2006/main">
  <authors>
    <author>CARLOS FELIPE VALDIVIA PINO</author>
    <author>nperez</author>
    <author>SBENALCAZAR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 LTP Clase A
Res. 3415-21 LTP Clase B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955-22 Cede -1734,166 ton hacia Emb XV.
Res 1004-22 Cede -3799,269 ton hacia Emb XV.</t>
        </r>
      </text>
    </comment>
    <comment ref="F12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876-22 Cede -1000 ton hacia Emb XV.
Res 877-22 Cede -1000 ton hacia Emb XV.
Res 878-22 Cede -10000 ton hacia Emb XV-I.
Res 892-22 Cede -8500 ton hacia Emb XV-I.
Res 893-22 Cede -2000 ton hacia Emb XV.
Res 929-22 Cede -5000 ton hacia Emb XV.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819-22 Cede -19477,960 ton hacia Emb XV-I.</t>
        </r>
      </text>
    </comment>
    <comment ref="F1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576-22 Cesión de -90000 ton a favor de emb XV-I
Res 577-22 Cesión de -20000 ton a favor de emb II
Res 620-22 Cesión de -20000 ton a favor de emb II
Res 1186-22 Modf Res 620-22 Cesión de -65000 ton.
Res 842-22 Cede -2000 ton hacia Emb I.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Dto. 228-21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 LTP Clase A
Res. 3415-21 LTP Clase B</t>
        </r>
      </text>
    </comment>
    <comment ref="F20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879-22 Cede -8688,277 ton hacia Emb III.
Res 989-22 Cede -1500 ton hacia Emb IV.</t>
        </r>
      </text>
    </comment>
    <comment ref="F28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817-22 Cede -9000 ton hacia Emb IV.
Res 869-22 Cede -500 ton hacia Emb IV.
Res 990-22 Cede -500 ton hacia Emb IV.
Res 1005-22 Cede -470 ton hacia Emb IV.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Dto. 229-21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Dto. 228-21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</t>
        </r>
      </text>
    </comment>
    <comment ref="F43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1108-22 Cede -60 ton hacia Emb IV.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Dto. 229-21</t>
        </r>
      </text>
    </comment>
  </commentList>
</comments>
</file>

<file path=xl/comments4.xml><?xml version="1.0" encoding="utf-8"?>
<comments xmlns="http://schemas.openxmlformats.org/spreadsheetml/2006/main">
  <authors>
    <author>nperez</author>
  </authors>
  <commentList>
    <comment ref="D52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933-22 Modf Res 577-22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933-22 Modf Res 577-22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933-22 Modf Res 577-22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933-22 Modf Res 577-22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1186-22 Modf Res 620-22.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1186-22 Modf Res 620-22.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1186-22 Modf Res 620-22.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1186-22 Modf Res 620-22.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1186-22 Modf Res 620-22.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1186-22 Modf Res 620-22.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1186-22 Modf Res 620-22.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1186-22 Modf Res 620-22.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1186-22 Modf Res 620-22.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1186-22 Modf Res 620-22.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1186-22 Modf Res 620-22.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1186-22 Modf Res 620-22.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1186-22 Modf Res 620-22.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1186-22 Modf Res 620-22.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1186-22 Modf Res 620-22.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954-22 Modf Res 819-22.</t>
        </r>
      </text>
    </comment>
    <comment ref="F92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954-22 Modf Res 819-22.</t>
        </r>
      </text>
    </comment>
  </commentList>
</comments>
</file>

<file path=xl/sharedStrings.xml><?xml version="1.0" encoding="utf-8"?>
<sst xmlns="http://schemas.openxmlformats.org/spreadsheetml/2006/main" count="1423" uniqueCount="311">
  <si>
    <t>Información preliminar</t>
  </si>
  <si>
    <t>Fracción</t>
  </si>
  <si>
    <t>Unidad Pesquería</t>
  </si>
  <si>
    <t>Cuota Asignada</t>
  </si>
  <si>
    <t>Movimientos</t>
  </si>
  <si>
    <t>Cuota Efectiva</t>
  </si>
  <si>
    <t>Captura</t>
  </si>
  <si>
    <t>Saldo</t>
  </si>
  <si>
    <t>Consumo</t>
  </si>
  <si>
    <t>XV - I</t>
  </si>
  <si>
    <t>II</t>
  </si>
  <si>
    <t>III</t>
  </si>
  <si>
    <t>IV</t>
  </si>
  <si>
    <t>FA XV - II</t>
  </si>
  <si>
    <t>FA III - IV</t>
  </si>
  <si>
    <t>XV - II</t>
  </si>
  <si>
    <t>III - IV</t>
  </si>
  <si>
    <t>Unidad de pesquería</t>
  </si>
  <si>
    <t>Anchoveta XV - II</t>
  </si>
  <si>
    <t>Sardina española XV - II</t>
  </si>
  <si>
    <t>Período</t>
  </si>
  <si>
    <t>Anchoveta III - IV</t>
  </si>
  <si>
    <t>Región</t>
  </si>
  <si>
    <t xml:space="preserve"> Arica y Parinacota - Tarapacá</t>
  </si>
  <si>
    <t xml:space="preserve"> Antofagasta</t>
  </si>
  <si>
    <t xml:space="preserve"> Atacama</t>
  </si>
  <si>
    <t>Asignatario</t>
  </si>
  <si>
    <t>Coquimbo</t>
  </si>
  <si>
    <t>CERCOPESCA</t>
  </si>
  <si>
    <t>Sardina española III - IV</t>
  </si>
  <si>
    <t>Atacama</t>
  </si>
  <si>
    <t>Cuota asignada</t>
  </si>
  <si>
    <t>Cuota efectiva</t>
  </si>
  <si>
    <t>% Consumo</t>
  </si>
  <si>
    <t>Cierre</t>
  </si>
  <si>
    <t>Periodo</t>
  </si>
  <si>
    <t>% Consumido</t>
  </si>
  <si>
    <t>ARICA SEAFOOD PRODUCER S.A.</t>
  </si>
  <si>
    <t>CAMANCHACA S.A</t>
  </si>
  <si>
    <t>CORPESCA S.A</t>
  </si>
  <si>
    <t xml:space="preserve">ALIMENTOS MARINOS S.A.         </t>
  </si>
  <si>
    <t xml:space="preserve">BAHIA CALDERA S.A. PESQ.          </t>
  </si>
  <si>
    <t xml:space="preserve">BLUMAR S.A.                                              </t>
  </si>
  <si>
    <t xml:space="preserve">CAMANCHACA S.A. CIA. PESQ    </t>
  </si>
  <si>
    <t>PESQUERA LITORAL SpA</t>
  </si>
  <si>
    <t xml:space="preserve">ORIZON S.A                                                   </t>
  </si>
  <si>
    <t xml:space="preserve">CAMANCHACA PESCA SUR S.A.  </t>
  </si>
  <si>
    <t xml:space="preserve">LANDES S.A. SOC. PESQ.                           </t>
  </si>
  <si>
    <t>FOODCORP CHILE S.A.</t>
  </si>
  <si>
    <t>ATILIO REYES BARRERA</t>
  </si>
  <si>
    <t>ABASTECIMIENTO DEL PACIFICO S.A.</t>
  </si>
  <si>
    <t>ERIC ARACENA REYNUABA</t>
  </si>
  <si>
    <t>GIULLIANO REYNUABA SALAS</t>
  </si>
  <si>
    <t>Ene - Dic</t>
  </si>
  <si>
    <t xml:space="preserve">ARICA SEAFOOD PRODUCER S.A.  </t>
  </si>
  <si>
    <t xml:space="preserve">CAMANCHACA S.A. CIA. PESQ      </t>
  </si>
  <si>
    <t xml:space="preserve">CORPESCA S.A.                             </t>
  </si>
  <si>
    <t xml:space="preserve">ALIMENTOS MARINOS S.A.          </t>
  </si>
  <si>
    <t>Ene-Dic</t>
  </si>
  <si>
    <t>BLUMAR S.A.</t>
  </si>
  <si>
    <t>CAMANCHACA S.A. CIA. PESQ.</t>
  </si>
  <si>
    <t>ORIZON S.A.</t>
  </si>
  <si>
    <t>CAMANCHACA PESCA SUR S.A.</t>
  </si>
  <si>
    <t>LANDES S.A. SOC.PESQ.</t>
  </si>
  <si>
    <t>Titular de cuota LTP</t>
  </si>
  <si>
    <t>Traspaso, Cesión, arriendos, etc</t>
  </si>
  <si>
    <t>Captura (t)</t>
  </si>
  <si>
    <t>Saldo (t)</t>
  </si>
  <si>
    <t>RESUMEN ANUAL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</si>
  <si>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</si>
  <si>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</si>
  <si>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</si>
  <si>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</si>
  <si>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</si>
  <si>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</si>
  <si>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</si>
  <si>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</si>
  <si>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</si>
  <si>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</si>
  <si>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</si>
  <si>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</si>
  <si>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saldo_porcentaje</t>
  </si>
  <si>
    <t>cierre</t>
  </si>
  <si>
    <t>Preliminar</t>
  </si>
  <si>
    <t>año</t>
  </si>
  <si>
    <t>comentario</t>
  </si>
  <si>
    <t>ANCHOVETA</t>
  </si>
  <si>
    <t>XV-II</t>
  </si>
  <si>
    <t>TITULAR LTP</t>
  </si>
  <si>
    <t>ENERO</t>
  </si>
  <si>
    <t>JUNIO</t>
  </si>
  <si>
    <t>DICIEMBRE</t>
  </si>
  <si>
    <t>III-IV</t>
  </si>
  <si>
    <t>TOTAL ASIGNATARIO LTP</t>
  </si>
  <si>
    <t>SARDINA ESPAÑOLA</t>
  </si>
  <si>
    <t>XV-I</t>
  </si>
  <si>
    <t>MACROZONA</t>
  </si>
  <si>
    <t>MACROZONA XV - I</t>
  </si>
  <si>
    <t>REGIÓN II</t>
  </si>
  <si>
    <t>REGIÓN III</t>
  </si>
  <si>
    <t>REGIÓN IV</t>
  </si>
  <si>
    <t>REGION</t>
  </si>
  <si>
    <t>ORGANIZACIÓN</t>
  </si>
  <si>
    <t>TOTAL ASIGNATARIO MACROZONA</t>
  </si>
  <si>
    <t>TOTAL ASIGNATARIO REGION</t>
  </si>
  <si>
    <t>INDUSTRIAL</t>
  </si>
  <si>
    <t xml:space="preserve">Anchoveta </t>
  </si>
  <si>
    <t>Anchoveta</t>
  </si>
  <si>
    <t>Sardina española</t>
  </si>
  <si>
    <t>Recurso</t>
  </si>
  <si>
    <t>Investigación</t>
  </si>
  <si>
    <t>Artesanal</t>
  </si>
  <si>
    <t>Imprevisto</t>
  </si>
  <si>
    <t>Anchoveta y Sardina española</t>
  </si>
  <si>
    <t xml:space="preserve">Sardina española </t>
  </si>
  <si>
    <t>Tipo</t>
  </si>
  <si>
    <t>Fecha</t>
  </si>
  <si>
    <t>N° Resolución</t>
  </si>
  <si>
    <t>Embarcación</t>
  </si>
  <si>
    <t>RPA</t>
  </si>
  <si>
    <t>CUOTA</t>
  </si>
  <si>
    <t>CAPTURA</t>
  </si>
  <si>
    <t>SALDO</t>
  </si>
  <si>
    <t>% CONSUMO</t>
  </si>
  <si>
    <t>PROCESOS TECNOLOGICOS DEL BIO BIO SpA</t>
  </si>
  <si>
    <t>OPERACIÓN</t>
  </si>
  <si>
    <t>CUOTA (TONELADAS)</t>
  </si>
  <si>
    <t>XV - IV</t>
  </si>
  <si>
    <t>S. española</t>
  </si>
  <si>
    <t>TOTAL</t>
  </si>
  <si>
    <t>Fraccionamiento</t>
  </si>
  <si>
    <t>Fauna acompañante</t>
  </si>
  <si>
    <t>Saldo (ton)</t>
  </si>
  <si>
    <t>Captura (ton)</t>
  </si>
  <si>
    <t>Total P. investigación</t>
  </si>
  <si>
    <t>DEL NORTE SPA. SIND. PESQ.</t>
  </si>
  <si>
    <t>ESPACIO PESQUERO SPA.</t>
  </si>
  <si>
    <t>Consumo Humano</t>
  </si>
  <si>
    <t xml:space="preserve">Adjudicatario </t>
  </si>
  <si>
    <t>Toneladas Asignadas</t>
  </si>
  <si>
    <t xml:space="preserve">Toneladas Capturadas </t>
  </si>
  <si>
    <t xml:space="preserve">Saldo por especie </t>
  </si>
  <si>
    <t>Resolución</t>
  </si>
  <si>
    <t>Cuota</t>
  </si>
  <si>
    <t>captura</t>
  </si>
  <si>
    <t>Garota IV</t>
  </si>
  <si>
    <t>Doña Bernarda</t>
  </si>
  <si>
    <t>Antonia Belen</t>
  </si>
  <si>
    <t>Sebastian II</t>
  </si>
  <si>
    <t>Pancho Malo</t>
  </si>
  <si>
    <t>El Bellaco I</t>
  </si>
  <si>
    <t>El Lolito I</t>
  </si>
  <si>
    <t>Centauro</t>
  </si>
  <si>
    <t>Kiwi</t>
  </si>
  <si>
    <t>El Reno</t>
  </si>
  <si>
    <t>El Bellaco</t>
  </si>
  <si>
    <t xml:space="preserve">Región </t>
  </si>
  <si>
    <t>Cuota Remanente 2020 (T)</t>
  </si>
  <si>
    <t>Captura (T)</t>
  </si>
  <si>
    <t>Saldo (T)</t>
  </si>
  <si>
    <t xml:space="preserve">% Consumido </t>
  </si>
  <si>
    <t>Atenea II</t>
  </si>
  <si>
    <t>Delfin 2000</t>
  </si>
  <si>
    <t>Niebla</t>
  </si>
  <si>
    <t>Garota</t>
  </si>
  <si>
    <t>Garota II</t>
  </si>
  <si>
    <t>Garota V</t>
  </si>
  <si>
    <t>Doña Olga I</t>
  </si>
  <si>
    <t>Don Victorino</t>
  </si>
  <si>
    <t>Maria Soledad II</t>
  </si>
  <si>
    <t>Don Benito II</t>
  </si>
  <si>
    <t>Lonquimay 2</t>
  </si>
  <si>
    <t>Guillermo I</t>
  </si>
  <si>
    <t>El Cid</t>
  </si>
  <si>
    <t>Kali</t>
  </si>
  <si>
    <t>Candelaria II</t>
  </si>
  <si>
    <t>Chubasco I</t>
  </si>
  <si>
    <t>Xolot</t>
  </si>
  <si>
    <t>Don Marcial</t>
  </si>
  <si>
    <t>Don Jose Miguel</t>
  </si>
  <si>
    <t>Fortuna IV</t>
  </si>
  <si>
    <t>Sofia Magdalena</t>
  </si>
  <si>
    <t>Fortuna V</t>
  </si>
  <si>
    <t>Don Perucho II</t>
  </si>
  <si>
    <t>Santa Norma</t>
  </si>
  <si>
    <t>Garota III</t>
  </si>
  <si>
    <t>Maria Pabla</t>
  </si>
  <si>
    <t>Jepe I</t>
  </si>
  <si>
    <t>Doña Adriana</t>
  </si>
  <si>
    <t>Región de Atacama</t>
  </si>
  <si>
    <t>Cargos por excesos</t>
  </si>
  <si>
    <t>Maimau</t>
  </si>
  <si>
    <t>Mar Primero</t>
  </si>
  <si>
    <t>JORGE ORTÚZAR GELTEN</t>
  </si>
  <si>
    <t>CONTROL CUOTA ANCHOVETA  XV - IV AÑO 2022</t>
  </si>
  <si>
    <t>RESUMEN CONSUMO ANUAL ANCHOVETA Y SARDINA ESPAÑOLA XV-IV AÑO 2022. Dato en toneladas</t>
  </si>
  <si>
    <t>CONTROL CUOTA SARDINA ESPAÑOLA ARTESANAL XV - IV AÑO 2022</t>
  </si>
  <si>
    <t>CONTROL DE CUOTA REMANENTE ANCHOVETA ARTESANAL 2022</t>
  </si>
  <si>
    <t>CONTROL CUOTA ANCHOVETA Y SARDINA ESPAÑOLA INDUSTRIAL XV - IV AÑO 2022</t>
  </si>
  <si>
    <t>ANCHOVETA 2022</t>
  </si>
  <si>
    <t>SARDINA ESPAÑOLA 2022</t>
  </si>
  <si>
    <t>CONTROL DE CUOTAS PESCA DE INVESTIGACIÓN AÑO 2022</t>
  </si>
  <si>
    <t>CONTROL DE CUOTAS CONSUMO HUMANO AÑO 2022</t>
  </si>
  <si>
    <t>ASIGNATARIO</t>
  </si>
  <si>
    <t>PERIODO</t>
  </si>
  <si>
    <t>05/02/2022 - 06/05/2022</t>
  </si>
  <si>
    <t>CERCOPESCA Rol 4276</t>
  </si>
  <si>
    <t>CUOTA RESIDUAL</t>
  </si>
  <si>
    <t>Don Pancracio</t>
  </si>
  <si>
    <t>Guajache II</t>
  </si>
  <si>
    <t>Gringo Pablo II</t>
  </si>
  <si>
    <t>Doña Sabina</t>
  </si>
  <si>
    <t>Arica y Parinacota</t>
  </si>
  <si>
    <t>Tarapaca</t>
  </si>
  <si>
    <t>Antofagasta</t>
  </si>
  <si>
    <t>Pehuenche</t>
  </si>
  <si>
    <t>Atacama y Coquimbo</t>
  </si>
  <si>
    <t>Colectiva</t>
  </si>
  <si>
    <t>Arkhos IV</t>
  </si>
  <si>
    <t>Abel</t>
  </si>
  <si>
    <t>Coyi I</t>
  </si>
  <si>
    <t>Coyi II</t>
  </si>
  <si>
    <t>Santa Margarita I</t>
  </si>
  <si>
    <t>Karen Pamela</t>
  </si>
  <si>
    <t>Lobo de Afuera IV</t>
  </si>
  <si>
    <t>Lobo de Afuera V</t>
  </si>
  <si>
    <t>Don Jose I</t>
  </si>
  <si>
    <t>Arkhos III</t>
  </si>
  <si>
    <t>Punta Verde</t>
  </si>
  <si>
    <t>Doña Florina</t>
  </si>
  <si>
    <t>Don German CSA</t>
  </si>
  <si>
    <t>Charly</t>
  </si>
  <si>
    <t>Tuareg I</t>
  </si>
  <si>
    <t>Amadeus</t>
  </si>
  <si>
    <t>Amadeus II</t>
  </si>
  <si>
    <t>Cesar Miguel</t>
  </si>
  <si>
    <t>Humboldt II</t>
  </si>
  <si>
    <t>Don Lucho</t>
  </si>
  <si>
    <t>Shalom II</t>
  </si>
  <si>
    <t>Petrohue III</t>
  </si>
  <si>
    <t>Marcelo Rodolfo</t>
  </si>
  <si>
    <t>Kaweskar</t>
  </si>
  <si>
    <t xml:space="preserve">Petrohue II </t>
  </si>
  <si>
    <t>Rina F Y M</t>
  </si>
  <si>
    <t>Kimba I</t>
  </si>
  <si>
    <t>Daniel</t>
  </si>
  <si>
    <t>Loreto V</t>
  </si>
  <si>
    <t>Petrohue I</t>
  </si>
  <si>
    <t>Pelicano</t>
  </si>
  <si>
    <t>Chango I</t>
  </si>
  <si>
    <t>Ike I</t>
  </si>
  <si>
    <t>Don Juaquin III</t>
  </si>
  <si>
    <t>Giovanna Priscilla IV</t>
  </si>
  <si>
    <t>Genesis C</t>
  </si>
  <si>
    <t>Maria Elena</t>
  </si>
  <si>
    <t>SGTO Moran</t>
  </si>
  <si>
    <t>Javiera Selmira</t>
  </si>
  <si>
    <t>La Angelita</t>
  </si>
  <si>
    <t>Moises</t>
  </si>
  <si>
    <t xml:space="preserve">El Tesoro </t>
  </si>
  <si>
    <t>Socoroma</t>
  </si>
  <si>
    <t>Socoroma I</t>
  </si>
  <si>
    <t>Don Miguel</t>
  </si>
  <si>
    <t xml:space="preserve">Santa Marta </t>
  </si>
  <si>
    <t>Trinquete</t>
  </si>
  <si>
    <t>Garota I</t>
  </si>
  <si>
    <t>Don Nino I</t>
  </si>
  <si>
    <t>Don Andres II</t>
  </si>
  <si>
    <t>Mary Paz II</t>
  </si>
  <si>
    <t>Aldebaran II</t>
  </si>
  <si>
    <t>Don Rufino II</t>
  </si>
  <si>
    <t>Doña Mercedes</t>
  </si>
  <si>
    <t>Doña Edi</t>
  </si>
  <si>
    <t>Josefa II</t>
  </si>
  <si>
    <t>Don Eleuterio</t>
  </si>
  <si>
    <t>Atenea I</t>
  </si>
  <si>
    <t>Trauwun I</t>
  </si>
  <si>
    <t>Niña Ximena</t>
  </si>
  <si>
    <t>Valentina</t>
  </si>
  <si>
    <t>Josue</t>
  </si>
  <si>
    <t>Isidora I</t>
  </si>
  <si>
    <t>Gianpiero I</t>
  </si>
  <si>
    <t>Aries I</t>
  </si>
  <si>
    <t>Renata</t>
  </si>
  <si>
    <t>Individual</t>
  </si>
  <si>
    <t>I</t>
  </si>
  <si>
    <t>Benjamin A</t>
  </si>
  <si>
    <t>Don Milo</t>
  </si>
  <si>
    <t>XV</t>
  </si>
  <si>
    <t>Abraham</t>
  </si>
  <si>
    <t>Don Sebastian</t>
  </si>
  <si>
    <t>Sea Quest</t>
  </si>
  <si>
    <t>Maimau I</t>
  </si>
  <si>
    <t>Carolina I</t>
  </si>
  <si>
    <t>Fernanda I</t>
  </si>
  <si>
    <t>Don Luis</t>
  </si>
  <si>
    <t>Julieta Ignacia</t>
  </si>
  <si>
    <t>Anchoveta III</t>
  </si>
  <si>
    <t>Anchoveta XV-I</t>
  </si>
  <si>
    <t>Anchoveta II</t>
  </si>
  <si>
    <t>Anchoveta IV</t>
  </si>
  <si>
    <t>Cesiones Ind y Colec XV-I</t>
  </si>
  <si>
    <t>Cesiones Ind y Colec II</t>
  </si>
  <si>
    <t>Cesiones Ind y Colec III</t>
  </si>
  <si>
    <t>Cesiones Ind y Colec IV</t>
  </si>
  <si>
    <t>Cesiones</t>
  </si>
  <si>
    <t>Petrohue II</t>
  </si>
  <si>
    <t>Elva S</t>
  </si>
  <si>
    <t>Cuota Remanente 2021 (T)</t>
  </si>
  <si>
    <t>TOTAL CESIONES 2022</t>
  </si>
  <si>
    <t>Doña Katy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</si>
</sst>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[$-F800]dddd\,\ mmmm\ dd\,\ yyyy"/>
    <numFmt numFmtId="168" formatCode="yyyy/mm/dd;@"/>
    <numFmt numFmtId="169" formatCode="#\ ##0.000"/>
    <numFmt numFmtId="170" formatCode="#\ ##0.00"/>
    <numFmt numFmtId="171" formatCode="0.000%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9"/>
        </stop>
        <stop position="0.5">
          <color theme="9" tint="0.40000610370189521"/>
        </stop>
        <stop position="1">
          <color theme="9"/>
        </stop>
      </gradientFill>
    </fill>
    <fill>
      <patternFill patternType="solid">
        <fgColor theme="8"/>
        <bgColor indexed="64"/>
      </patternFill>
    </fill>
    <fill>
      <gradientFill degree="90">
        <stop position="0">
          <color theme="9" tint="0.59999389629810485"/>
        </stop>
        <stop position="0.5">
          <color theme="9"/>
        </stop>
        <stop position="1">
          <color theme="9" tint="0.59999389629810485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5" tint="0.80001220740379042"/>
        </stop>
        <stop position="0.5">
          <color theme="5" tint="0.40000610370189521"/>
        </stop>
        <stop position="1">
          <color theme="5" tint="0.80001220740379042"/>
        </stop>
      </gradient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39">
    <xf numFmtId="0" fontId="0" fillId="0" borderId="0"/>
    <xf numFmtId="9" fontId="1" fillId="0" borderId="0" applyFont="0" applyFill="0" applyBorder="0" applyAlignment="0" applyProtection="0"/>
    <xf numFmtId="9" fontId="1" fillId="31" borderId="0" applyFont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23" borderId="23" applyNumberFormat="0" applyAlignment="0" applyProtection="0"/>
    <xf numFmtId="0" fontId="13" fillId="23" borderId="23" applyNumberFormat="0" applyAlignment="0" applyProtection="0"/>
    <xf numFmtId="0" fontId="13" fillId="23" borderId="23" applyNumberFormat="0" applyAlignment="0" applyProtection="0"/>
    <xf numFmtId="0" fontId="13" fillId="23" borderId="23" applyNumberFormat="0" applyAlignment="0" applyProtection="0"/>
    <xf numFmtId="0" fontId="13" fillId="23" borderId="23" applyNumberFormat="0" applyAlignment="0" applyProtection="0"/>
    <xf numFmtId="0" fontId="14" fillId="24" borderId="24" applyNumberFormat="0" applyAlignment="0" applyProtection="0"/>
    <xf numFmtId="0" fontId="14" fillId="24" borderId="24" applyNumberFormat="0" applyAlignment="0" applyProtection="0"/>
    <xf numFmtId="0" fontId="14" fillId="24" borderId="24" applyNumberFormat="0" applyAlignment="0" applyProtection="0"/>
    <xf numFmtId="0" fontId="14" fillId="24" borderId="24" applyNumberFormat="0" applyAlignment="0" applyProtection="0"/>
    <xf numFmtId="0" fontId="14" fillId="24" borderId="24" applyNumberFormat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7" fillId="14" borderId="23" applyNumberFormat="0" applyAlignment="0" applyProtection="0"/>
    <xf numFmtId="0" fontId="17" fillId="14" borderId="23" applyNumberFormat="0" applyAlignment="0" applyProtection="0"/>
    <xf numFmtId="0" fontId="17" fillId="14" borderId="23" applyNumberFormat="0" applyAlignment="0" applyProtection="0"/>
    <xf numFmtId="0" fontId="17" fillId="14" borderId="23" applyNumberFormat="0" applyAlignment="0" applyProtection="0"/>
    <xf numFmtId="0" fontId="17" fillId="14" borderId="23" applyNumberFormat="0" applyAlignment="0" applyProtection="0"/>
    <xf numFmtId="0" fontId="5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0" borderId="21" applyNumberFormat="0" applyFont="0" applyAlignment="0" applyProtection="0"/>
    <xf numFmtId="0" fontId="4" fillId="30" borderId="21" applyNumberFormat="0" applyFont="0" applyAlignment="0" applyProtection="0"/>
    <xf numFmtId="0" fontId="4" fillId="30" borderId="21" applyNumberFormat="0" applyFont="0" applyAlignment="0" applyProtection="0"/>
    <xf numFmtId="0" fontId="4" fillId="30" borderId="21" applyNumberFormat="0" applyFont="0" applyAlignment="0" applyProtection="0"/>
    <xf numFmtId="0" fontId="4" fillId="30" borderId="2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23" borderId="26" applyNumberFormat="0" applyAlignment="0" applyProtection="0"/>
    <xf numFmtId="0" fontId="20" fillId="23" borderId="26" applyNumberFormat="0" applyAlignment="0" applyProtection="0"/>
    <xf numFmtId="0" fontId="20" fillId="23" borderId="26" applyNumberFormat="0" applyAlignment="0" applyProtection="0"/>
    <xf numFmtId="0" fontId="20" fillId="23" borderId="26" applyNumberFormat="0" applyAlignment="0" applyProtection="0"/>
    <xf numFmtId="0" fontId="20" fillId="23" borderId="2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4" fillId="0" borderId="0"/>
    <xf numFmtId="0" fontId="20" fillId="23" borderId="26" applyNumberFormat="0" applyAlignment="0" applyProtection="0"/>
    <xf numFmtId="0" fontId="20" fillId="23" borderId="26" applyNumberFormat="0" applyAlignment="0" applyProtection="0"/>
    <xf numFmtId="0" fontId="20" fillId="23" borderId="26" applyNumberFormat="0" applyAlignment="0" applyProtection="0"/>
    <xf numFmtId="0" fontId="20" fillId="23" borderId="26" applyNumberFormat="0" applyAlignment="0" applyProtection="0"/>
    <xf numFmtId="0" fontId="20" fillId="23" borderId="26" applyNumberFormat="0" applyAlignment="0" applyProtection="0"/>
    <xf numFmtId="0" fontId="4" fillId="30" borderId="21" applyNumberFormat="0" applyFont="0" applyAlignment="0" applyProtection="0"/>
    <xf numFmtId="0" fontId="4" fillId="30" borderId="21" applyNumberFormat="0" applyFont="0" applyAlignment="0" applyProtection="0"/>
    <xf numFmtId="0" fontId="4" fillId="30" borderId="21" applyNumberFormat="0" applyFont="0" applyAlignment="0" applyProtection="0"/>
    <xf numFmtId="0" fontId="4" fillId="30" borderId="21" applyNumberFormat="0" applyFont="0" applyAlignment="0" applyProtection="0"/>
    <xf numFmtId="0" fontId="4" fillId="30" borderId="21" applyNumberFormat="0" applyFont="0" applyAlignment="0" applyProtection="0"/>
    <xf numFmtId="0" fontId="17" fillId="14" borderId="23" applyNumberFormat="0" applyAlignment="0" applyProtection="0"/>
    <xf numFmtId="0" fontId="17" fillId="14" borderId="23" applyNumberFormat="0" applyAlignment="0" applyProtection="0"/>
    <xf numFmtId="0" fontId="17" fillId="14" borderId="23" applyNumberFormat="0" applyAlignment="0" applyProtection="0"/>
    <xf numFmtId="0" fontId="17" fillId="14" borderId="23" applyNumberFormat="0" applyAlignment="0" applyProtection="0"/>
    <xf numFmtId="0" fontId="17" fillId="14" borderId="23" applyNumberFormat="0" applyAlignment="0" applyProtection="0"/>
    <xf numFmtId="0" fontId="13" fillId="23" borderId="23" applyNumberFormat="0" applyAlignment="0" applyProtection="0"/>
    <xf numFmtId="0" fontId="13" fillId="23" borderId="23" applyNumberFormat="0" applyAlignment="0" applyProtection="0"/>
    <xf numFmtId="0" fontId="13" fillId="23" borderId="23" applyNumberFormat="0" applyAlignment="0" applyProtection="0"/>
    <xf numFmtId="0" fontId="13" fillId="23" borderId="23" applyNumberFormat="0" applyAlignment="0" applyProtection="0"/>
    <xf numFmtId="0" fontId="13" fillId="23" borderId="23" applyNumberFormat="0" applyAlignment="0" applyProtection="0"/>
    <xf numFmtId="0" fontId="13" fillId="23" borderId="23" applyNumberFormat="0" applyAlignment="0" applyProtection="0"/>
    <xf numFmtId="0" fontId="13" fillId="23" borderId="23" applyNumberFormat="0" applyAlignment="0" applyProtection="0"/>
    <xf numFmtId="0" fontId="13" fillId="23" borderId="23" applyNumberFormat="0" applyAlignment="0" applyProtection="0"/>
    <xf numFmtId="0" fontId="13" fillId="23" borderId="23" applyNumberFormat="0" applyAlignment="0" applyProtection="0"/>
    <xf numFmtId="0" fontId="13" fillId="23" borderId="23" applyNumberFormat="0" applyAlignment="0" applyProtection="0"/>
    <xf numFmtId="0" fontId="17" fillId="14" borderId="23" applyNumberFormat="0" applyAlignment="0" applyProtection="0"/>
    <xf numFmtId="0" fontId="17" fillId="14" borderId="23" applyNumberFormat="0" applyAlignment="0" applyProtection="0"/>
    <xf numFmtId="0" fontId="17" fillId="14" borderId="23" applyNumberFormat="0" applyAlignment="0" applyProtection="0"/>
    <xf numFmtId="0" fontId="17" fillId="14" borderId="23" applyNumberFormat="0" applyAlignment="0" applyProtection="0"/>
    <xf numFmtId="0" fontId="17" fillId="14" borderId="23" applyNumberFormat="0" applyAlignment="0" applyProtection="0"/>
    <xf numFmtId="0" fontId="4" fillId="30" borderId="21" applyNumberFormat="0" applyFont="0" applyAlignment="0" applyProtection="0"/>
    <xf numFmtId="0" fontId="4" fillId="30" borderId="21" applyNumberFormat="0" applyFont="0" applyAlignment="0" applyProtection="0"/>
    <xf numFmtId="0" fontId="4" fillId="30" borderId="21" applyNumberFormat="0" applyFont="0" applyAlignment="0" applyProtection="0"/>
    <xf numFmtId="0" fontId="4" fillId="30" borderId="21" applyNumberFormat="0" applyFont="0" applyAlignment="0" applyProtection="0"/>
    <xf numFmtId="0" fontId="4" fillId="30" borderId="21" applyNumberFormat="0" applyFont="0" applyAlignment="0" applyProtection="0"/>
    <xf numFmtId="0" fontId="20" fillId="23" borderId="26" applyNumberFormat="0" applyAlignment="0" applyProtection="0"/>
    <xf numFmtId="0" fontId="20" fillId="23" borderId="26" applyNumberFormat="0" applyAlignment="0" applyProtection="0"/>
    <xf numFmtId="0" fontId="20" fillId="23" borderId="26" applyNumberFormat="0" applyAlignment="0" applyProtection="0"/>
    <xf numFmtId="0" fontId="20" fillId="23" borderId="26" applyNumberFormat="0" applyAlignment="0" applyProtection="0"/>
    <xf numFmtId="0" fontId="20" fillId="23" borderId="26" applyNumberFormat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8" fillId="0" borderId="0" applyFont="0" applyFill="0" applyBorder="0" applyAlignment="0" applyProtection="0"/>
  </cellStyleXfs>
  <cellXfs count="340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32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0" fillId="0" borderId="0" xfId="0"/>
    <xf numFmtId="9" fontId="0" fillId="0" borderId="0" xfId="1" applyFont="1"/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left" vertical="center" wrapText="1"/>
    </xf>
    <xf numFmtId="0" fontId="32" fillId="34" borderId="5" xfId="0" applyFont="1" applyFill="1" applyBorder="1" applyAlignment="1">
      <alignment horizontal="left" vertical="center" wrapText="1"/>
    </xf>
    <xf numFmtId="0" fontId="32" fillId="34" borderId="1" xfId="0" applyFont="1" applyFill="1" applyBorder="1" applyAlignment="1">
      <alignment horizontal="left" vertical="center" wrapText="1"/>
    </xf>
    <xf numFmtId="0" fontId="32" fillId="34" borderId="8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/>
    </xf>
    <xf numFmtId="169" fontId="0" fillId="2" borderId="5" xfId="0" applyNumberFormat="1" applyFont="1" applyFill="1" applyBorder="1" applyAlignment="1">
      <alignment horizontal="right" vertical="center"/>
    </xf>
    <xf numFmtId="169" fontId="0" fillId="2" borderId="1" xfId="0" applyNumberFormat="1" applyFont="1" applyFill="1" applyBorder="1" applyAlignment="1">
      <alignment horizontal="right" vertical="center"/>
    </xf>
    <xf numFmtId="169" fontId="0" fillId="2" borderId="8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14" fontId="0" fillId="0" borderId="0" xfId="0" applyNumberFormat="1"/>
    <xf numFmtId="0" fontId="30" fillId="32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 wrapText="1"/>
    </xf>
    <xf numFmtId="0" fontId="0" fillId="0" borderId="0" xfId="0"/>
    <xf numFmtId="0" fontId="29" fillId="4" borderId="1" xfId="0" applyFont="1" applyFill="1" applyBorder="1" applyAlignment="1">
      <alignment horizontal="center" vertical="center"/>
    </xf>
    <xf numFmtId="0" fontId="29" fillId="4" borderId="1" xfId="0" applyNumberFormat="1" applyFont="1" applyFill="1" applyBorder="1" applyAlignment="1">
      <alignment horizontal="center" vertical="center"/>
    </xf>
    <xf numFmtId="9" fontId="29" fillId="4" borderId="1" xfId="1" applyFont="1" applyFill="1" applyBorder="1" applyAlignment="1">
      <alignment horizontal="center" vertical="center"/>
    </xf>
    <xf numFmtId="168" fontId="29" fillId="4" borderId="1" xfId="0" applyNumberFormat="1" applyFont="1" applyFill="1" applyBorder="1" applyAlignment="1">
      <alignment horizontal="center" vertical="center"/>
    </xf>
    <xf numFmtId="0" fontId="31" fillId="3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170" fontId="0" fillId="0" borderId="1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9" fontId="0" fillId="0" borderId="1" xfId="1" applyFont="1" applyBorder="1" applyAlignment="1">
      <alignment horizontal="center" vertical="center"/>
    </xf>
    <xf numFmtId="170" fontId="0" fillId="0" borderId="1" xfId="0" applyNumberFormat="1" applyFill="1" applyBorder="1" applyAlignment="1">
      <alignment horizontal="center" vertic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9" fontId="0" fillId="4" borderId="1" xfId="0" applyNumberFormat="1" applyFill="1" applyBorder="1" applyAlignment="1">
      <alignment horizontal="center" vertical="center"/>
    </xf>
    <xf numFmtId="169" fontId="0" fillId="3" borderId="1" xfId="0" applyNumberFormat="1" applyFill="1" applyBorder="1" applyAlignment="1">
      <alignment horizontal="center" vertical="center"/>
    </xf>
    <xf numFmtId="169" fontId="0" fillId="4" borderId="1" xfId="0" applyNumberFormat="1" applyFill="1" applyBorder="1" applyAlignment="1">
      <alignment horizontal="right" vertical="center"/>
    </xf>
    <xf numFmtId="169" fontId="2" fillId="4" borderId="1" xfId="0" applyNumberFormat="1" applyFont="1" applyFill="1" applyBorder="1" applyAlignment="1">
      <alignment horizontal="center" vertical="center"/>
    </xf>
    <xf numFmtId="0" fontId="32" fillId="34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9" fontId="0" fillId="3" borderId="4" xfId="0" applyNumberFormat="1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32" borderId="4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4" fontId="29" fillId="4" borderId="1" xfId="1" applyNumberFormat="1" applyFont="1" applyFill="1" applyBorder="1" applyAlignment="1">
      <alignment horizontal="center" vertical="center"/>
    </xf>
    <xf numFmtId="14" fontId="0" fillId="0" borderId="0" xfId="1" applyNumberFormat="1" applyFont="1" applyAlignment="1">
      <alignment horizontal="center"/>
    </xf>
    <xf numFmtId="9" fontId="0" fillId="0" borderId="1" xfId="1" applyFont="1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0" fontId="2" fillId="39" borderId="5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2" fillId="37" borderId="2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71" fontId="0" fillId="3" borderId="1" xfId="1" applyNumberFormat="1" applyFont="1" applyFill="1" applyBorder="1" applyAlignment="1">
      <alignment horizontal="center" vertical="center"/>
    </xf>
    <xf numFmtId="170" fontId="0" fillId="0" borderId="0" xfId="0" applyNumberFormat="1"/>
    <xf numFmtId="171" fontId="0" fillId="4" borderId="1" xfId="1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/>
    <xf numFmtId="0" fontId="2" fillId="36" borderId="3" xfId="0" applyFont="1" applyFill="1" applyBorder="1" applyAlignment="1">
      <alignment horizontal="center" vertical="center"/>
    </xf>
    <xf numFmtId="0" fontId="2" fillId="39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 wrapText="1"/>
    </xf>
    <xf numFmtId="0" fontId="0" fillId="37" borderId="4" xfId="0" applyFont="1" applyFill="1" applyBorder="1" applyAlignment="1">
      <alignment horizontal="left"/>
    </xf>
    <xf numFmtId="169" fontId="0" fillId="37" borderId="4" xfId="0" applyNumberFormat="1" applyFont="1" applyFill="1" applyBorder="1" applyAlignment="1">
      <alignment horizontal="right" vertical="center"/>
    </xf>
    <xf numFmtId="0" fontId="0" fillId="37" borderId="1" xfId="0" applyFont="1" applyFill="1" applyBorder="1" applyAlignment="1">
      <alignment horizontal="left"/>
    </xf>
    <xf numFmtId="169" fontId="0" fillId="37" borderId="1" xfId="0" applyNumberFormat="1" applyFont="1" applyFill="1" applyBorder="1" applyAlignment="1">
      <alignment horizontal="right" vertical="center"/>
    </xf>
    <xf numFmtId="0" fontId="0" fillId="37" borderId="5" xfId="0" applyFont="1" applyFill="1" applyBorder="1" applyAlignment="1">
      <alignment horizontal="left"/>
    </xf>
    <xf numFmtId="169" fontId="0" fillId="37" borderId="5" xfId="0" applyNumberFormat="1" applyFont="1" applyFill="1" applyBorder="1" applyAlignment="1">
      <alignment horizontal="right" vertical="center"/>
    </xf>
    <xf numFmtId="169" fontId="0" fillId="37" borderId="1" xfId="0" applyNumberFormat="1" applyFill="1" applyBorder="1" applyAlignment="1">
      <alignment horizontal="right" vertical="center"/>
    </xf>
    <xf numFmtId="0" fontId="0" fillId="37" borderId="2" xfId="0" applyFont="1" applyFill="1" applyBorder="1" applyAlignment="1">
      <alignment horizontal="left"/>
    </xf>
    <xf numFmtId="169" fontId="0" fillId="37" borderId="2" xfId="0" applyNumberFormat="1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41" borderId="1" xfId="0" applyFont="1" applyFill="1" applyBorder="1" applyAlignment="1">
      <alignment horizontal="center" vertical="center"/>
    </xf>
    <xf numFmtId="171" fontId="0" fillId="0" borderId="0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9" fontId="0" fillId="4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2" borderId="1" xfId="0" applyFont="1" applyFill="1" applyBorder="1" applyAlignment="1">
      <alignment horizontal="center" vertical="center"/>
    </xf>
    <xf numFmtId="0" fontId="0" fillId="43" borderId="1" xfId="0" applyFill="1" applyBorder="1" applyAlignment="1">
      <alignment horizontal="center" vertical="center"/>
    </xf>
    <xf numFmtId="0" fontId="2" fillId="42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0" fillId="43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2" borderId="43" xfId="0" applyFill="1" applyBorder="1" applyAlignment="1">
      <alignment horizontal="center" vertical="center" wrapText="1"/>
    </xf>
    <xf numFmtId="0" fontId="30" fillId="32" borderId="43" xfId="0" applyFont="1" applyFill="1" applyBorder="1" applyAlignment="1">
      <alignment horizontal="center" vertical="center"/>
    </xf>
    <xf numFmtId="0" fontId="30" fillId="32" borderId="43" xfId="0" applyFont="1" applyFill="1" applyBorder="1" applyAlignment="1">
      <alignment horizontal="center" vertical="center" wrapText="1"/>
    </xf>
    <xf numFmtId="169" fontId="0" fillId="3" borderId="43" xfId="0" applyNumberFormat="1" applyFill="1" applyBorder="1" applyAlignment="1">
      <alignment horizontal="center" vertical="center"/>
    </xf>
    <xf numFmtId="9" fontId="0" fillId="3" borderId="43" xfId="1" applyFont="1" applyFill="1" applyBorder="1" applyAlignment="1">
      <alignment horizontal="center" vertical="center"/>
    </xf>
    <xf numFmtId="169" fontId="0" fillId="3" borderId="42" xfId="0" applyNumberFormat="1" applyFill="1" applyBorder="1" applyAlignment="1">
      <alignment horizontal="center" vertical="center"/>
    </xf>
    <xf numFmtId="9" fontId="0" fillId="3" borderId="42" xfId="1" applyFont="1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169" fontId="0" fillId="37" borderId="43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32" fillId="34" borderId="5" xfId="0" applyFont="1" applyFill="1" applyBorder="1" applyAlignment="1">
      <alignment horizontal="left" vertical="center" wrapText="1"/>
    </xf>
    <xf numFmtId="0" fontId="32" fillId="34" borderId="1" xfId="0" applyFont="1" applyFill="1" applyBorder="1" applyAlignment="1">
      <alignment horizontal="left" vertical="center" wrapText="1"/>
    </xf>
    <xf numFmtId="0" fontId="2" fillId="42" borderId="1" xfId="0" applyFont="1" applyFill="1" applyBorder="1" applyAlignment="1">
      <alignment horizontal="center" vertical="center"/>
    </xf>
    <xf numFmtId="0" fontId="30" fillId="37" borderId="4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0" fontId="30" fillId="37" borderId="5" xfId="0" applyFont="1" applyFill="1" applyBorder="1" applyAlignment="1">
      <alignment horizontal="left" vertical="center"/>
    </xf>
    <xf numFmtId="0" fontId="30" fillId="37" borderId="1" xfId="0" applyFont="1" applyFill="1" applyBorder="1" applyAlignment="1">
      <alignment horizontal="left" vertical="center" wrapText="1"/>
    </xf>
    <xf numFmtId="0" fontId="30" fillId="37" borderId="1" xfId="0" applyFont="1" applyFill="1" applyBorder="1" applyAlignment="1">
      <alignment horizontal="left" vertical="center"/>
    </xf>
    <xf numFmtId="0" fontId="30" fillId="37" borderId="2" xfId="0" applyFont="1" applyFill="1" applyBorder="1" applyAlignment="1">
      <alignment horizontal="left" vertical="center" wrapText="1"/>
    </xf>
    <xf numFmtId="0" fontId="30" fillId="37" borderId="43" xfId="0" applyFont="1" applyFill="1" applyBorder="1" applyAlignment="1">
      <alignment horizontal="left" vertical="center" wrapText="1"/>
    </xf>
    <xf numFmtId="0" fontId="0" fillId="0" borderId="0" xfId="0" applyFill="1"/>
    <xf numFmtId="9" fontId="0" fillId="0" borderId="0" xfId="1" applyFont="1" applyFill="1"/>
    <xf numFmtId="14" fontId="0" fillId="0" borderId="0" xfId="1" applyNumberFormat="1" applyFont="1" applyFill="1" applyAlignment="1">
      <alignment horizontal="center"/>
    </xf>
    <xf numFmtId="14" fontId="0" fillId="0" borderId="0" xfId="0" applyNumberFormat="1" applyFill="1"/>
    <xf numFmtId="0" fontId="2" fillId="0" borderId="0" xfId="0" applyFont="1"/>
    <xf numFmtId="9" fontId="2" fillId="0" borderId="0" xfId="1" applyFont="1"/>
    <xf numFmtId="14" fontId="2" fillId="0" borderId="0" xfId="1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Fill="1"/>
    <xf numFmtId="9" fontId="2" fillId="0" borderId="0" xfId="1" applyFont="1" applyFill="1"/>
    <xf numFmtId="14" fontId="2" fillId="0" borderId="0" xfId="1" applyNumberFormat="1" applyFont="1" applyFill="1" applyAlignment="1">
      <alignment horizontal="center"/>
    </xf>
    <xf numFmtId="14" fontId="2" fillId="0" borderId="0" xfId="0" applyNumberFormat="1" applyFont="1" applyFill="1"/>
    <xf numFmtId="2" fontId="2" fillId="0" borderId="0" xfId="0" applyNumberFormat="1" applyFont="1" applyFill="1"/>
    <xf numFmtId="1" fontId="2" fillId="0" borderId="0" xfId="0" applyNumberFormat="1" applyFont="1" applyFill="1"/>
    <xf numFmtId="169" fontId="0" fillId="4" borderId="42" xfId="0" applyNumberFormat="1" applyFill="1" applyBorder="1" applyAlignment="1">
      <alignment horizontal="right" vertical="center"/>
    </xf>
    <xf numFmtId="169" fontId="0" fillId="4" borderId="42" xfId="0" applyNumberFormat="1" applyFill="1" applyBorder="1" applyAlignment="1">
      <alignment horizontal="center" vertical="center"/>
    </xf>
    <xf numFmtId="169" fontId="2" fillId="4" borderId="42" xfId="0" applyNumberFormat="1" applyFont="1" applyFill="1" applyBorder="1" applyAlignment="1">
      <alignment horizontal="center" vertical="center"/>
    </xf>
    <xf numFmtId="166" fontId="0" fillId="0" borderId="42" xfId="0" applyNumberFormat="1" applyFill="1" applyBorder="1" applyAlignment="1">
      <alignment horizontal="center" vertical="center" wrapText="1"/>
    </xf>
    <xf numFmtId="0" fontId="0" fillId="5" borderId="42" xfId="0" applyFont="1" applyFill="1" applyBorder="1" applyAlignment="1">
      <alignment horizontal="center" vertical="center"/>
    </xf>
    <xf numFmtId="0" fontId="0" fillId="0" borderId="42" xfId="0" applyBorder="1"/>
    <xf numFmtId="0" fontId="2" fillId="44" borderId="42" xfId="0" applyFont="1" applyFill="1" applyBorder="1" applyAlignment="1">
      <alignment horizontal="center" vertical="center" wrapText="1"/>
    </xf>
    <xf numFmtId="0" fontId="2" fillId="44" borderId="1" xfId="0" applyFont="1" applyFill="1" applyBorder="1" applyAlignment="1">
      <alignment horizontal="center" vertical="center"/>
    </xf>
    <xf numFmtId="0" fontId="30" fillId="32" borderId="42" xfId="0" applyFont="1" applyFill="1" applyBorder="1" applyAlignment="1">
      <alignment horizontal="center"/>
    </xf>
    <xf numFmtId="171" fontId="0" fillId="4" borderId="42" xfId="1" applyNumberFormat="1" applyFont="1" applyFill="1" applyBorder="1" applyAlignment="1">
      <alignment horizontal="center" vertical="center"/>
    </xf>
    <xf numFmtId="14" fontId="2" fillId="4" borderId="42" xfId="0" applyNumberFormat="1" applyFont="1" applyFill="1" applyBorder="1" applyAlignment="1">
      <alignment horizontal="center" vertical="center"/>
    </xf>
    <xf numFmtId="14" fontId="0" fillId="0" borderId="42" xfId="0" applyNumberFormat="1" applyFont="1" applyFill="1" applyBorder="1" applyAlignment="1">
      <alignment horizontal="center" vertical="center"/>
    </xf>
    <xf numFmtId="9" fontId="0" fillId="0" borderId="42" xfId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9" fontId="0" fillId="0" borderId="42" xfId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4" borderId="42" xfId="0" applyFill="1" applyBorder="1" applyAlignment="1">
      <alignment horizontal="center"/>
    </xf>
    <xf numFmtId="170" fontId="0" fillId="0" borderId="42" xfId="0" applyNumberFormat="1" applyFill="1" applyBorder="1" applyAlignment="1">
      <alignment horizontal="center" vertical="center"/>
    </xf>
    <xf numFmtId="169" fontId="0" fillId="0" borderId="42" xfId="0" applyNumberFormat="1" applyBorder="1" applyAlignment="1">
      <alignment horizontal="center" vertical="center"/>
    </xf>
    <xf numFmtId="170" fontId="0" fillId="0" borderId="42" xfId="0" applyNumberForma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 wrapText="1"/>
    </xf>
    <xf numFmtId="0" fontId="30" fillId="32" borderId="44" xfId="0" applyFont="1" applyFill="1" applyBorder="1" applyAlignment="1">
      <alignment horizontal="center" vertical="center" wrapText="1"/>
    </xf>
    <xf numFmtId="169" fontId="0" fillId="3" borderId="53" xfId="0" applyNumberFormat="1" applyFill="1" applyBorder="1" applyAlignment="1">
      <alignment horizontal="center" vertical="center"/>
    </xf>
    <xf numFmtId="9" fontId="0" fillId="3" borderId="53" xfId="1" applyFont="1" applyFill="1" applyBorder="1" applyAlignment="1">
      <alignment horizontal="center" vertical="center"/>
    </xf>
    <xf numFmtId="14" fontId="38" fillId="4" borderId="1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/>
    <xf numFmtId="2" fontId="0" fillId="0" borderId="9" xfId="1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" xfId="0" applyNumberFormat="1" applyFont="1" applyFill="1" applyBorder="1"/>
    <xf numFmtId="2" fontId="2" fillId="0" borderId="1" xfId="0" applyNumberFormat="1" applyFont="1" applyFill="1" applyBorder="1"/>
    <xf numFmtId="2" fontId="0" fillId="0" borderId="6" xfId="1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0" borderId="3" xfId="0" applyNumberFormat="1" applyFont="1" applyFill="1" applyBorder="1"/>
    <xf numFmtId="2" fontId="0" fillId="0" borderId="3" xfId="1" applyNumberFormat="1" applyFont="1" applyFill="1" applyBorder="1" applyAlignment="1">
      <alignment horizontal="center"/>
    </xf>
    <xf numFmtId="2" fontId="0" fillId="0" borderId="3" xfId="0" applyNumberFormat="1" applyFill="1" applyBorder="1"/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Border="1"/>
    <xf numFmtId="2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/>
    <xf numFmtId="2" fontId="0" fillId="0" borderId="14" xfId="1" applyNumberFormat="1" applyFont="1" applyFill="1" applyBorder="1" applyAlignment="1">
      <alignment horizontal="center"/>
    </xf>
    <xf numFmtId="2" fontId="0" fillId="0" borderId="13" xfId="0" applyNumberFormat="1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6" xfId="1" applyNumberFormat="1" applyFont="1" applyFill="1" applyBorder="1" applyAlignment="1">
      <alignment horizontal="center"/>
    </xf>
    <xf numFmtId="2" fontId="0" fillId="0" borderId="22" xfId="0" applyNumberFormat="1" applyBorder="1" applyAlignment="1">
      <alignment vertical="center"/>
    </xf>
    <xf numFmtId="2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/>
    <xf numFmtId="2" fontId="0" fillId="0" borderId="43" xfId="0" applyNumberFormat="1" applyFont="1" applyFill="1" applyBorder="1" applyAlignment="1">
      <alignment horizontal="center" vertical="center"/>
    </xf>
    <xf numFmtId="2" fontId="0" fillId="0" borderId="43" xfId="0" applyNumberFormat="1" applyFont="1" applyFill="1" applyBorder="1"/>
    <xf numFmtId="2" fontId="0" fillId="0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1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11" xfId="1" applyNumberFormat="1" applyFont="1" applyBorder="1" applyAlignment="1">
      <alignment horizontal="center"/>
    </xf>
    <xf numFmtId="2" fontId="0" fillId="0" borderId="1" xfId="0" applyNumberFormat="1" applyFont="1" applyBorder="1"/>
    <xf numFmtId="2" fontId="2" fillId="0" borderId="1" xfId="0" applyNumberFormat="1" applyFont="1" applyBorder="1"/>
    <xf numFmtId="2" fontId="0" fillId="0" borderId="6" xfId="1" applyNumberFormat="1" applyFont="1" applyBorder="1" applyAlignment="1">
      <alignment horizontal="center"/>
    </xf>
    <xf numFmtId="2" fontId="0" fillId="0" borderId="3" xfId="0" applyNumberFormat="1" applyFont="1" applyBorder="1"/>
    <xf numFmtId="2" fontId="0" fillId="0" borderId="3" xfId="0" applyNumberFormat="1" applyFill="1" applyBorder="1" applyAlignment="1">
      <alignment horizontal="center" vertical="center"/>
    </xf>
    <xf numFmtId="2" fontId="0" fillId="0" borderId="14" xfId="1" applyNumberFormat="1" applyFont="1" applyBorder="1" applyAlignment="1">
      <alignment horizontal="center"/>
    </xf>
    <xf numFmtId="2" fontId="0" fillId="0" borderId="13" xfId="0" applyNumberFormat="1" applyBorder="1"/>
    <xf numFmtId="2" fontId="0" fillId="0" borderId="5" xfId="0" applyNumberFormat="1" applyBorder="1"/>
    <xf numFmtId="2" fontId="0" fillId="0" borderId="16" xfId="1" applyNumberFormat="1" applyFont="1" applyBorder="1" applyAlignment="1">
      <alignment horizontal="center"/>
    </xf>
    <xf numFmtId="2" fontId="0" fillId="0" borderId="22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2" fontId="0" fillId="0" borderId="8" xfId="0" applyNumberFormat="1" applyFont="1" applyBorder="1"/>
    <xf numFmtId="2" fontId="0" fillId="0" borderId="17" xfId="1" applyNumberFormat="1" applyFont="1" applyBorder="1" applyAlignment="1">
      <alignment horizontal="center"/>
    </xf>
    <xf numFmtId="2" fontId="0" fillId="0" borderId="10" xfId="0" applyNumberFormat="1" applyBorder="1"/>
    <xf numFmtId="2" fontId="0" fillId="0" borderId="8" xfId="0" applyNumberFormat="1" applyBorder="1"/>
    <xf numFmtId="2" fontId="0" fillId="0" borderId="8" xfId="0" applyNumberFormat="1" applyBorder="1" applyAlignment="1">
      <alignment horizontal="center" vertical="center"/>
    </xf>
    <xf numFmtId="2" fontId="0" fillId="0" borderId="0" xfId="0" applyNumberFormat="1"/>
    <xf numFmtId="2" fontId="0" fillId="0" borderId="0" xfId="1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10" fontId="0" fillId="0" borderId="16" xfId="1" applyNumberFormat="1" applyFont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10" fontId="0" fillId="0" borderId="32" xfId="1" applyNumberFormat="1" applyFont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/>
    </xf>
    <xf numFmtId="10" fontId="0" fillId="0" borderId="14" xfId="1" applyNumberFormat="1" applyFont="1" applyBorder="1" applyAlignment="1">
      <alignment horizontal="center" vertical="center"/>
    </xf>
    <xf numFmtId="10" fontId="0" fillId="0" borderId="14" xfId="1" applyNumberFormat="1" applyFont="1" applyBorder="1" applyAlignment="1">
      <alignment horizontal="center"/>
    </xf>
    <xf numFmtId="10" fontId="0" fillId="0" borderId="16" xfId="1" applyNumberFormat="1" applyFont="1" applyBorder="1" applyAlignment="1">
      <alignment horizontal="center"/>
    </xf>
    <xf numFmtId="10" fontId="0" fillId="0" borderId="17" xfId="1" applyNumberFormat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30" fillId="8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1" fillId="8" borderId="42" xfId="0" applyFont="1" applyFill="1" applyBorder="1" applyAlignment="1">
      <alignment horizontal="center" vertical="center" wrapText="1"/>
    </xf>
    <xf numFmtId="0" fontId="31" fillId="32" borderId="2" xfId="0" applyFont="1" applyFill="1" applyBorder="1" applyAlignment="1">
      <alignment horizontal="center" vertical="center" wrapText="1"/>
    </xf>
    <xf numFmtId="0" fontId="31" fillId="32" borderId="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2" fillId="8" borderId="36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8" borderId="39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horizontal="center" vertical="center"/>
    </xf>
    <xf numFmtId="0" fontId="0" fillId="32" borderId="4" xfId="0" applyFill="1" applyBorder="1" applyAlignment="1">
      <alignment horizontal="center" vertical="center"/>
    </xf>
    <xf numFmtId="0" fontId="2" fillId="42" borderId="1" xfId="0" applyFont="1" applyFill="1" applyBorder="1" applyAlignment="1">
      <alignment horizontal="center" vertical="center"/>
    </xf>
    <xf numFmtId="14" fontId="2" fillId="42" borderId="1" xfId="0" applyNumberFormat="1" applyFont="1" applyFill="1" applyBorder="1" applyAlignment="1">
      <alignment horizontal="center" vertical="center"/>
    </xf>
    <xf numFmtId="9" fontId="0" fillId="0" borderId="44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" xfId="0" applyBorder="1"/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Border="1"/>
    <xf numFmtId="0" fontId="2" fillId="8" borderId="1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 vertical="center"/>
    </xf>
    <xf numFmtId="0" fontId="2" fillId="37" borderId="33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 vertical="center" textRotation="90"/>
    </xf>
    <xf numFmtId="0" fontId="27" fillId="7" borderId="22" xfId="0" applyFont="1" applyFill="1" applyBorder="1" applyAlignment="1">
      <alignment horizontal="center" vertical="center" textRotation="90"/>
    </xf>
    <xf numFmtId="0" fontId="27" fillId="7" borderId="10" xfId="0" applyFont="1" applyFill="1" applyBorder="1" applyAlignment="1">
      <alignment horizontal="center" vertical="center" textRotation="90"/>
    </xf>
    <xf numFmtId="0" fontId="3" fillId="40" borderId="13" xfId="0" applyFont="1" applyFill="1" applyBorder="1" applyAlignment="1">
      <alignment horizontal="center" vertical="center" textRotation="90" wrapText="1"/>
    </xf>
    <xf numFmtId="0" fontId="3" fillId="40" borderId="22" xfId="0" applyFont="1" applyFill="1" applyBorder="1" applyAlignment="1">
      <alignment horizontal="center" vertical="center" textRotation="90" wrapText="1"/>
    </xf>
    <xf numFmtId="0" fontId="3" fillId="40" borderId="38" xfId="0" applyFont="1" applyFill="1" applyBorder="1" applyAlignment="1">
      <alignment horizontal="center" vertical="center" textRotation="90" wrapText="1"/>
    </xf>
    <xf numFmtId="0" fontId="27" fillId="7" borderId="13" xfId="0" applyFont="1" applyFill="1" applyBorder="1" applyAlignment="1">
      <alignment horizontal="center" vertical="center" textRotation="90" wrapText="1"/>
    </xf>
    <xf numFmtId="0" fontId="27" fillId="7" borderId="22" xfId="0" applyFont="1" applyFill="1" applyBorder="1" applyAlignment="1">
      <alignment horizontal="center" vertical="center" textRotation="90" wrapText="1"/>
    </xf>
    <xf numFmtId="0" fontId="3" fillId="40" borderId="31" xfId="0" applyFont="1" applyFill="1" applyBorder="1" applyAlignment="1">
      <alignment horizontal="center" vertical="center" textRotation="90" wrapText="1"/>
    </xf>
    <xf numFmtId="0" fontId="0" fillId="0" borderId="50" xfId="0" applyFont="1" applyFill="1" applyBorder="1" applyAlignment="1">
      <alignment horizontal="center" vertical="center"/>
    </xf>
    <xf numFmtId="9" fontId="0" fillId="0" borderId="50" xfId="1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9" fontId="0" fillId="0" borderId="47" xfId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9" fontId="0" fillId="0" borderId="52" xfId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9" fontId="0" fillId="0" borderId="49" xfId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9" fontId="0" fillId="0" borderId="48" xfId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9" fontId="0" fillId="0" borderId="45" xfId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9" fontId="0" fillId="0" borderId="46" xfId="1" applyFon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</cellXfs>
  <cellStyles count="339">
    <cellStyle name="20% - Énfasis1 2" xfId="18"/>
    <cellStyle name="20% - Énfasis1 2 2" xfId="19"/>
    <cellStyle name="20% - Énfasis1 2 3" xfId="20"/>
    <cellStyle name="20% - Énfasis1 3" xfId="21"/>
    <cellStyle name="20% - Énfasis1 4" xfId="17"/>
    <cellStyle name="20% - Énfasis2 2" xfId="23"/>
    <cellStyle name="20% - Énfasis2 2 2" xfId="24"/>
    <cellStyle name="20% - Énfasis2 2 3" xfId="25"/>
    <cellStyle name="20% - Énfasis2 3" xfId="26"/>
    <cellStyle name="20% - Énfasis2 4" xfId="22"/>
    <cellStyle name="20% - Énfasis3 2" xfId="28"/>
    <cellStyle name="20% - Énfasis3 2 2" xfId="29"/>
    <cellStyle name="20% - Énfasis3 2 3" xfId="30"/>
    <cellStyle name="20% - Énfasis3 3" xfId="31"/>
    <cellStyle name="20% - Énfasis3 4" xfId="27"/>
    <cellStyle name="20% - Énfasis4 2" xfId="33"/>
    <cellStyle name="20% - Énfasis4 2 2" xfId="34"/>
    <cellStyle name="20% - Énfasis4 2 3" xfId="35"/>
    <cellStyle name="20% - Énfasis4 3" xfId="36"/>
    <cellStyle name="20% - Énfasis4 4" xfId="32"/>
    <cellStyle name="20% - Énfasis5 2" xfId="38"/>
    <cellStyle name="20% - Énfasis5 2 2" xfId="39"/>
    <cellStyle name="20% - Énfasis5 2 3" xfId="40"/>
    <cellStyle name="20% - Énfasis5 3" xfId="41"/>
    <cellStyle name="20% - Énfasis5 4" xfId="37"/>
    <cellStyle name="20% - Énfasis6 2" xfId="43"/>
    <cellStyle name="20% - Énfasis6 2 2" xfId="44"/>
    <cellStyle name="20% - Énfasis6 2 3" xfId="45"/>
    <cellStyle name="20% - Énfasis6 3" xfId="46"/>
    <cellStyle name="20% - Énfasis6 4" xfId="42"/>
    <cellStyle name="40% - Énfasis1 2" xfId="48"/>
    <cellStyle name="40% - Énfasis1 2 2" xfId="49"/>
    <cellStyle name="40% - Énfasis1 2 3" xfId="50"/>
    <cellStyle name="40% - Énfasis1 3" xfId="51"/>
    <cellStyle name="40% - Énfasis1 4" xfId="47"/>
    <cellStyle name="40% - Énfasis2 2" xfId="53"/>
    <cellStyle name="40% - Énfasis2 2 2" xfId="54"/>
    <cellStyle name="40% - Énfasis2 2 3" xfId="55"/>
    <cellStyle name="40% - Énfasis2 3" xfId="56"/>
    <cellStyle name="40% - Énfasis2 4" xfId="52"/>
    <cellStyle name="40% - Énfasis3 2" xfId="58"/>
    <cellStyle name="40% - Énfasis3 2 2" xfId="59"/>
    <cellStyle name="40% - Énfasis3 2 3" xfId="60"/>
    <cellStyle name="40% - Énfasis3 3" xfId="61"/>
    <cellStyle name="40% - Énfasis3 4" xfId="57"/>
    <cellStyle name="40% - Énfasis4 2" xfId="63"/>
    <cellStyle name="40% - Énfasis4 2 2" xfId="64"/>
    <cellStyle name="40% - Énfasis4 2 3" xfId="65"/>
    <cellStyle name="40% - Énfasis4 3" xfId="66"/>
    <cellStyle name="40% - Énfasis4 4" xfId="62"/>
    <cellStyle name="40% - Énfasis5 2" xfId="68"/>
    <cellStyle name="40% - Énfasis5 2 2" xfId="69"/>
    <cellStyle name="40% - Énfasis5 2 3" xfId="70"/>
    <cellStyle name="40% - Énfasis5 3" xfId="71"/>
    <cellStyle name="40% - Énfasis5 4" xfId="67"/>
    <cellStyle name="40% - Énfasis6 2" xfId="73"/>
    <cellStyle name="40% - Énfasis6 2 2" xfId="74"/>
    <cellStyle name="40% - Énfasis6 2 3" xfId="75"/>
    <cellStyle name="40% - Énfasis6 3" xfId="76"/>
    <cellStyle name="40% - Énfasis6 4" xfId="72"/>
    <cellStyle name="60% - Énfasis1 2" xfId="78"/>
    <cellStyle name="60% - Énfasis1 2 2" xfId="79"/>
    <cellStyle name="60% - Énfasis1 2 3" xfId="80"/>
    <cellStyle name="60% - Énfasis1 3" xfId="81"/>
    <cellStyle name="60% - Énfasis1 4" xfId="77"/>
    <cellStyle name="60% - Énfasis2 2" xfId="83"/>
    <cellStyle name="60% - Énfasis2 2 2" xfId="84"/>
    <cellStyle name="60% - Énfasis2 2 3" xfId="85"/>
    <cellStyle name="60% - Énfasis2 3" xfId="86"/>
    <cellStyle name="60% - Énfasis2 4" xfId="82"/>
    <cellStyle name="60% - Énfasis3 2" xfId="88"/>
    <cellStyle name="60% - Énfasis3 2 2" xfId="89"/>
    <cellStyle name="60% - Énfasis3 2 3" xfId="90"/>
    <cellStyle name="60% - Énfasis3 3" xfId="91"/>
    <cellStyle name="60% - Énfasis3 4" xfId="87"/>
    <cellStyle name="60% - Énfasis4 2" xfId="93"/>
    <cellStyle name="60% - Énfasis4 2 2" xfId="94"/>
    <cellStyle name="60% - Énfasis4 2 3" xfId="95"/>
    <cellStyle name="60% - Énfasis4 3" xfId="96"/>
    <cellStyle name="60% - Énfasis4 4" xfId="92"/>
    <cellStyle name="60% - Énfasis5 2" xfId="98"/>
    <cellStyle name="60% - Énfasis5 2 2" xfId="99"/>
    <cellStyle name="60% - Énfasis5 2 3" xfId="100"/>
    <cellStyle name="60% - Énfasis5 3" xfId="101"/>
    <cellStyle name="60% - Énfasis5 4" xfId="97"/>
    <cellStyle name="60% - Énfasis6 2" xfId="103"/>
    <cellStyle name="60% - Énfasis6 2 2" xfId="104"/>
    <cellStyle name="60% - Énfasis6 2 3" xfId="105"/>
    <cellStyle name="60% - Énfasis6 3" xfId="106"/>
    <cellStyle name="60% - Énfasis6 4" xfId="102"/>
    <cellStyle name="Buena 2" xfId="108"/>
    <cellStyle name="Buena 2 2" xfId="109"/>
    <cellStyle name="Buena 2 3" xfId="110"/>
    <cellStyle name="Buena 3" xfId="111"/>
    <cellStyle name="Buena 4" xfId="107"/>
    <cellStyle name="Cálculo 2" xfId="113"/>
    <cellStyle name="Cálculo 2 2" xfId="114"/>
    <cellStyle name="Cálculo 2 2 2" xfId="284"/>
    <cellStyle name="Cálculo 2 2 3" xfId="287"/>
    <cellStyle name="Cálculo 2 3" xfId="115"/>
    <cellStyle name="Cálculo 2 3 2" xfId="285"/>
    <cellStyle name="Cálculo 2 3 3" xfId="289"/>
    <cellStyle name="Cálculo 2 4" xfId="283"/>
    <cellStyle name="Cálculo 2 5" xfId="290"/>
    <cellStyle name="Cálculo 3" xfId="116"/>
    <cellStyle name="Cálculo 3 2" xfId="286"/>
    <cellStyle name="Cálculo 3 3" xfId="288"/>
    <cellStyle name="Cálculo 4" xfId="112"/>
    <cellStyle name="Cálculo 4 2" xfId="282"/>
    <cellStyle name="Cálculo 4 3" xfId="291"/>
    <cellStyle name="Celda de comprobación 2" xfId="118"/>
    <cellStyle name="Celda de comprobación 2 2" xfId="119"/>
    <cellStyle name="Celda de comprobación 2 3" xfId="120"/>
    <cellStyle name="Celda de comprobación 3" xfId="121"/>
    <cellStyle name="Celda de comprobación 4" xfId="117"/>
    <cellStyle name="Celda vinculada 2" xfId="123"/>
    <cellStyle name="Celda vinculada 2 2" xfId="124"/>
    <cellStyle name="Celda vinculada 2 3" xfId="125"/>
    <cellStyle name="Celda vinculada 3" xfId="126"/>
    <cellStyle name="Celda vinculada 4" xfId="122"/>
    <cellStyle name="Encabezado 4 2" xfId="128"/>
    <cellStyle name="Encabezado 4 2 2" xfId="129"/>
    <cellStyle name="Encabezado 4 2 3" xfId="130"/>
    <cellStyle name="Encabezado 4 3" xfId="131"/>
    <cellStyle name="Encabezado 4 4" xfId="127"/>
    <cellStyle name="Énfasis1 2" xfId="133"/>
    <cellStyle name="Énfasis1 2 2" xfId="134"/>
    <cellStyle name="Énfasis1 2 3" xfId="135"/>
    <cellStyle name="Énfasis1 3" xfId="136"/>
    <cellStyle name="Énfasis1 4" xfId="132"/>
    <cellStyle name="Énfasis2 2" xfId="138"/>
    <cellStyle name="Énfasis2 2 2" xfId="139"/>
    <cellStyle name="Énfasis2 2 3" xfId="140"/>
    <cellStyle name="Énfasis2 3" xfId="141"/>
    <cellStyle name="Énfasis2 4" xfId="137"/>
    <cellStyle name="Énfasis3 2" xfId="143"/>
    <cellStyle name="Énfasis3 2 2" xfId="144"/>
    <cellStyle name="Énfasis3 2 3" xfId="145"/>
    <cellStyle name="Énfasis3 3" xfId="146"/>
    <cellStyle name="Énfasis3 4" xfId="142"/>
    <cellStyle name="Énfasis4 2" xfId="148"/>
    <cellStyle name="Énfasis4 2 2" xfId="149"/>
    <cellStyle name="Énfasis4 2 3" xfId="150"/>
    <cellStyle name="Énfasis4 3" xfId="151"/>
    <cellStyle name="Énfasis4 4" xfId="147"/>
    <cellStyle name="Énfasis5 2" xfId="153"/>
    <cellStyle name="Énfasis5 2 2" xfId="154"/>
    <cellStyle name="Énfasis5 2 3" xfId="155"/>
    <cellStyle name="Énfasis5 3" xfId="156"/>
    <cellStyle name="Énfasis5 4" xfId="152"/>
    <cellStyle name="Énfasis6 2" xfId="158"/>
    <cellStyle name="Énfasis6 2 2" xfId="159"/>
    <cellStyle name="Énfasis6 2 3" xfId="160"/>
    <cellStyle name="Énfasis6 3" xfId="161"/>
    <cellStyle name="Énfasis6 4" xfId="157"/>
    <cellStyle name="Entrada 2" xfId="163"/>
    <cellStyle name="Entrada 2 2" xfId="164"/>
    <cellStyle name="Entrada 2 2 2" xfId="294"/>
    <cellStyle name="Entrada 2 2 3" xfId="277"/>
    <cellStyle name="Entrada 2 3" xfId="165"/>
    <cellStyle name="Entrada 2 3 2" xfId="295"/>
    <cellStyle name="Entrada 2 3 3" xfId="279"/>
    <cellStyle name="Entrada 2 4" xfId="293"/>
    <cellStyle name="Entrada 2 5" xfId="280"/>
    <cellStyle name="Entrada 3" xfId="166"/>
    <cellStyle name="Entrada 3 2" xfId="296"/>
    <cellStyle name="Entrada 3 3" xfId="278"/>
    <cellStyle name="Entrada 4" xfId="162"/>
    <cellStyle name="Entrada 4 2" xfId="292"/>
    <cellStyle name="Entrada 4 3" xfId="281"/>
    <cellStyle name="Excel Built-in Normal" xfId="167"/>
    <cellStyle name="Incorrecto 2" xfId="169"/>
    <cellStyle name="Incorrecto 2 2" xfId="170"/>
    <cellStyle name="Incorrecto 2 3" xfId="171"/>
    <cellStyle name="Incorrecto 3" xfId="172"/>
    <cellStyle name="Incorrecto 4" xfId="168"/>
    <cellStyle name="Millares 2" xfId="174"/>
    <cellStyle name="Millares 2 2" xfId="175"/>
    <cellStyle name="Millares 2 3" xfId="176"/>
    <cellStyle name="Millares 3" xfId="173"/>
    <cellStyle name="Moneda 2" xfId="177"/>
    <cellStyle name="Neutral 2" xfId="179"/>
    <cellStyle name="Neutral 2 2" xfId="180"/>
    <cellStyle name="Neutral 2 3" xfId="181"/>
    <cellStyle name="Neutral 3" xfId="182"/>
    <cellStyle name="Neutral 4" xfId="178"/>
    <cellStyle name="Normal" xfId="0" builtinId="0"/>
    <cellStyle name="Normal 11" xfId="183"/>
    <cellStyle name="Normal 11 2" xfId="184"/>
    <cellStyle name="Normal 11 3" xfId="185"/>
    <cellStyle name="Normal 12" xfId="186"/>
    <cellStyle name="Normal 12 2" xfId="187"/>
    <cellStyle name="Normal 12 3" xfId="188"/>
    <cellStyle name="Normal 13" xfId="318"/>
    <cellStyle name="Normal 14" xfId="319"/>
    <cellStyle name="Normal 15" xfId="320"/>
    <cellStyle name="Normal 16" xfId="189"/>
    <cellStyle name="Normal 18" xfId="190"/>
    <cellStyle name="Normal 18 2" xfId="191"/>
    <cellStyle name="Normal 19" xfId="192"/>
    <cellStyle name="Normal 2" xfId="7"/>
    <cellStyle name="Normal 2 2" xfId="12"/>
    <cellStyle name="Normal 2 2 2" xfId="194"/>
    <cellStyle name="Normal 2 3" xfId="195"/>
    <cellStyle name="Normal 2 3 2" xfId="196"/>
    <cellStyle name="Normal 2 4" xfId="197"/>
    <cellStyle name="Normal 2 5" xfId="193"/>
    <cellStyle name="Normal 2 6" xfId="11"/>
    <cellStyle name="Normal 20" xfId="198"/>
    <cellStyle name="Normal 20 2" xfId="199"/>
    <cellStyle name="Normal 21" xfId="200"/>
    <cellStyle name="Normal 22" xfId="321"/>
    <cellStyle name="Normal 23" xfId="322"/>
    <cellStyle name="Normal 24" xfId="201"/>
    <cellStyle name="Normal 25" xfId="323"/>
    <cellStyle name="Normal 26" xfId="324"/>
    <cellStyle name="Normal 27" xfId="325"/>
    <cellStyle name="Normal 28" xfId="326"/>
    <cellStyle name="Normal 29" xfId="327"/>
    <cellStyle name="Normal 3" xfId="3"/>
    <cellStyle name="Normal 3 2" xfId="202"/>
    <cellStyle name="Normal 3 3" xfId="266"/>
    <cellStyle name="Normal 3 4" xfId="13"/>
    <cellStyle name="Normal 30" xfId="328"/>
    <cellStyle name="Normal 31" xfId="329"/>
    <cellStyle name="Normal 32" xfId="330"/>
    <cellStyle name="Normal 33" xfId="331"/>
    <cellStyle name="Normal 34" xfId="332"/>
    <cellStyle name="Normal 35" xfId="333"/>
    <cellStyle name="Normal 36" xfId="334"/>
    <cellStyle name="Normal 37" xfId="335"/>
    <cellStyle name="Normal 38" xfId="336"/>
    <cellStyle name="Normal 4" xfId="4"/>
    <cellStyle name="Normal 4 2" xfId="204"/>
    <cellStyle name="Normal 4 3" xfId="203"/>
    <cellStyle name="Normal 40" xfId="337"/>
    <cellStyle name="Normal 5" xfId="9"/>
    <cellStyle name="Normal 5 2" xfId="206"/>
    <cellStyle name="Normal 5 3" xfId="205"/>
    <cellStyle name="Normal 6" xfId="207"/>
    <cellStyle name="Normal 6 2" xfId="208"/>
    <cellStyle name="Normal 7" xfId="5"/>
    <cellStyle name="Normal 7 2" xfId="210"/>
    <cellStyle name="Normal 7 3" xfId="209"/>
    <cellStyle name="Normal 8" xfId="16"/>
    <cellStyle name="Notas 2" xfId="212"/>
    <cellStyle name="Notas 2 2" xfId="213"/>
    <cellStyle name="Notas 2 2 2" xfId="299"/>
    <cellStyle name="Notas 2 2 3" xfId="274"/>
    <cellStyle name="Notas 2 3" xfId="214"/>
    <cellStyle name="Notas 2 3 2" xfId="300"/>
    <cellStyle name="Notas 2 3 3" xfId="272"/>
    <cellStyle name="Notas 2 4" xfId="298"/>
    <cellStyle name="Notas 2 5" xfId="275"/>
    <cellStyle name="Notas 3" xfId="215"/>
    <cellStyle name="Notas 3 2" xfId="301"/>
    <cellStyle name="Notas 3 3" xfId="273"/>
    <cellStyle name="Notas 4" xfId="211"/>
    <cellStyle name="Notas 4 2" xfId="297"/>
    <cellStyle name="Notas 4 3" xfId="276"/>
    <cellStyle name="Porcentaje" xfId="1" builtinId="5"/>
    <cellStyle name="Porcentaje 2" xfId="14"/>
    <cellStyle name="Porcentaje 3" xfId="15"/>
    <cellStyle name="Porcentual 10" xfId="2"/>
    <cellStyle name="Porcentual 14" xfId="6"/>
    <cellStyle name="Porcentual 2" xfId="8"/>
    <cellStyle name="Porcentual 2 2" xfId="217"/>
    <cellStyle name="Porcentual 2 3" xfId="218"/>
    <cellStyle name="Porcentual 2 4" xfId="338"/>
    <cellStyle name="Porcentual 3" xfId="10"/>
    <cellStyle name="Porcentual 3 2" xfId="219"/>
    <cellStyle name="Porcentual 4" xfId="220"/>
    <cellStyle name="Porcentual 5" xfId="221"/>
    <cellStyle name="Porcentual 6" xfId="222"/>
    <cellStyle name="Porcentual 7" xfId="223"/>
    <cellStyle name="Porcentual 7 2" xfId="224"/>
    <cellStyle name="Porcentual 7 3" xfId="225"/>
    <cellStyle name="Porcentual 8" xfId="216"/>
    <cellStyle name="Porcentual 9" xfId="317"/>
    <cellStyle name="Salida 2" xfId="227"/>
    <cellStyle name="Salida 2 2" xfId="228"/>
    <cellStyle name="Salida 2 2 2" xfId="304"/>
    <cellStyle name="Salida 2 2 3" xfId="267"/>
    <cellStyle name="Salida 2 3" xfId="229"/>
    <cellStyle name="Salida 2 3 2" xfId="305"/>
    <cellStyle name="Salida 2 3 3" xfId="269"/>
    <cellStyle name="Salida 2 4" xfId="303"/>
    <cellStyle name="Salida 2 5" xfId="270"/>
    <cellStyle name="Salida 3" xfId="230"/>
    <cellStyle name="Salida 3 2" xfId="306"/>
    <cellStyle name="Salida 3 3" xfId="268"/>
    <cellStyle name="Salida 4" xfId="226"/>
    <cellStyle name="Salida 4 2" xfId="302"/>
    <cellStyle name="Salida 4 3" xfId="271"/>
    <cellStyle name="Texto de advertencia 2" xfId="232"/>
    <cellStyle name="Texto de advertencia 2 2" xfId="233"/>
    <cellStyle name="Texto de advertencia 2 3" xfId="234"/>
    <cellStyle name="Texto de advertencia 3" xfId="235"/>
    <cellStyle name="Texto de advertencia 4" xfId="231"/>
    <cellStyle name="Texto explicativo 2" xfId="237"/>
    <cellStyle name="Texto explicativo 2 2" xfId="238"/>
    <cellStyle name="Texto explicativo 2 3" xfId="239"/>
    <cellStyle name="Texto explicativo 3" xfId="240"/>
    <cellStyle name="Texto explicativo 4" xfId="236"/>
    <cellStyle name="Título 1 2" xfId="243"/>
    <cellStyle name="Título 1 2 2" xfId="244"/>
    <cellStyle name="Título 1 2 3" xfId="245"/>
    <cellStyle name="Título 1 3" xfId="246"/>
    <cellStyle name="Título 1 4" xfId="242"/>
    <cellStyle name="Título 2 2" xfId="248"/>
    <cellStyle name="Título 2 2 2" xfId="249"/>
    <cellStyle name="Título 2 2 3" xfId="250"/>
    <cellStyle name="Título 2 3" xfId="251"/>
    <cellStyle name="Título 2 4" xfId="247"/>
    <cellStyle name="Título 3 2" xfId="253"/>
    <cellStyle name="Título 3 2 2" xfId="254"/>
    <cellStyle name="Título 3 2 3" xfId="255"/>
    <cellStyle name="Título 3 3" xfId="256"/>
    <cellStyle name="Título 3 4" xfId="252"/>
    <cellStyle name="Título 4" xfId="257"/>
    <cellStyle name="Título 4 2" xfId="258"/>
    <cellStyle name="Título 4 3" xfId="259"/>
    <cellStyle name="Título 5" xfId="260"/>
    <cellStyle name="Título 6" xfId="241"/>
    <cellStyle name="Total 2" xfId="262"/>
    <cellStyle name="Total 2 2" xfId="263"/>
    <cellStyle name="Total 2 2 2" xfId="309"/>
    <cellStyle name="Total 2 2 3" xfId="314"/>
    <cellStyle name="Total 2 3" xfId="264"/>
    <cellStyle name="Total 2 3 2" xfId="310"/>
    <cellStyle name="Total 2 3 3" xfId="315"/>
    <cellStyle name="Total 2 4" xfId="308"/>
    <cellStyle name="Total 2 5" xfId="313"/>
    <cellStyle name="Total 3" xfId="265"/>
    <cellStyle name="Total 3 2" xfId="311"/>
    <cellStyle name="Total 3 3" xfId="316"/>
    <cellStyle name="Total 4" xfId="261"/>
    <cellStyle name="Total 4 2" xfId="307"/>
    <cellStyle name="Total 4 3" xfId="312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J37"/>
  <sheetViews>
    <sheetView tabSelected="1" workbookViewId="0">
      <selection activeCell="C5" sqref="C5:J5"/>
    </sheetView>
  </sheetViews>
  <sheetFormatPr baseColWidth="10" defaultRowHeight="15"/>
  <cols>
    <col min="2" max="2" width="18.85546875" bestFit="1" customWidth="1"/>
    <col min="3" max="3" width="29.5703125" customWidth="1"/>
    <col min="4" max="4" width="23" customWidth="1"/>
    <col min="5" max="5" width="14.5703125" bestFit="1" customWidth="1"/>
    <col min="6" max="6" width="12.85546875" bestFit="1" customWidth="1"/>
    <col min="7" max="7" width="13.28515625" customWidth="1"/>
    <col min="9" max="9" width="11.85546875" bestFit="1" customWidth="1"/>
  </cols>
  <sheetData>
    <row r="2" spans="2:10">
      <c r="B2" s="266" t="s">
        <v>195</v>
      </c>
      <c r="C2" s="266"/>
      <c r="D2" s="266"/>
      <c r="E2" s="266"/>
      <c r="F2" s="266"/>
      <c r="G2" s="266"/>
      <c r="H2" s="266"/>
      <c r="I2" s="266"/>
      <c r="J2" s="266"/>
    </row>
    <row r="3" spans="2:10">
      <c r="B3" s="266"/>
      <c r="C3" s="266"/>
      <c r="D3" s="266"/>
      <c r="E3" s="266"/>
      <c r="F3" s="266"/>
      <c r="G3" s="266"/>
      <c r="H3" s="266"/>
      <c r="I3" s="266"/>
      <c r="J3" s="266"/>
    </row>
    <row r="4" spans="2:10">
      <c r="C4" s="268">
        <v>44725</v>
      </c>
      <c r="D4" s="268"/>
      <c r="E4" s="268"/>
      <c r="F4" s="268"/>
      <c r="G4" s="268"/>
      <c r="H4" s="268"/>
      <c r="I4" s="268"/>
      <c r="J4" s="268"/>
    </row>
    <row r="5" spans="2:10">
      <c r="C5" s="269" t="s">
        <v>0</v>
      </c>
      <c r="D5" s="269"/>
      <c r="E5" s="269"/>
      <c r="F5" s="269"/>
      <c r="G5" s="269"/>
      <c r="H5" s="269"/>
      <c r="I5" s="269"/>
      <c r="J5" s="269"/>
    </row>
    <row r="8" spans="2:10">
      <c r="B8" s="9" t="s">
        <v>1</v>
      </c>
      <c r="C8" s="9" t="s">
        <v>109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</row>
    <row r="9" spans="2:10" ht="15" customHeight="1">
      <c r="B9" s="270" t="s">
        <v>111</v>
      </c>
      <c r="C9" s="267" t="s">
        <v>107</v>
      </c>
      <c r="D9" s="10" t="s">
        <v>9</v>
      </c>
      <c r="E9" s="50">
        <f>'Artesanal Anchoveta XV-IV'!N7</f>
        <v>103965</v>
      </c>
      <c r="F9" s="75">
        <f>'Artesanal Anchoveta XV-IV'!O7</f>
        <v>0</v>
      </c>
      <c r="G9" s="47">
        <f>'Artesanal Anchoveta XV-IV'!P7</f>
        <v>103965</v>
      </c>
      <c r="H9" s="47">
        <f>'Artesanal Anchoveta XV-IV'!Q7</f>
        <v>100418.3</v>
      </c>
      <c r="I9" s="47">
        <f>'Artesanal Anchoveta XV-IV'!R7</f>
        <v>3546.6999999999971</v>
      </c>
      <c r="J9" s="49">
        <f>'Artesanal Anchoveta XV-IV'!S7</f>
        <v>0.96588563458856347</v>
      </c>
    </row>
    <row r="10" spans="2:10" s="45" customFormat="1" ht="15" customHeight="1">
      <c r="B10" s="271"/>
      <c r="C10" s="273"/>
      <c r="D10" s="189" t="s">
        <v>301</v>
      </c>
      <c r="E10" s="190" t="s">
        <v>69</v>
      </c>
      <c r="F10" s="191" t="s">
        <v>69</v>
      </c>
      <c r="G10" s="192">
        <f>'Cesiones ind y colec'!S8</f>
        <v>144511.39499999999</v>
      </c>
      <c r="H10" s="192">
        <f>'Cesiones ind y colec'!T8</f>
        <v>33103.03</v>
      </c>
      <c r="I10" s="192">
        <f>'Cesiones ind y colec'!U8</f>
        <v>111408.36499999999</v>
      </c>
      <c r="J10" s="187">
        <f>'Cesiones ind y colec'!V8</f>
        <v>0.22906864887713527</v>
      </c>
    </row>
    <row r="11" spans="2:10">
      <c r="B11" s="270"/>
      <c r="C11" s="267"/>
      <c r="D11" s="10" t="s">
        <v>10</v>
      </c>
      <c r="E11" s="50">
        <f>+'Artesanal Anchoveta XV-IV'!N8</f>
        <v>39604</v>
      </c>
      <c r="F11" s="75">
        <f>+'Artesanal Anchoveta XV-IV'!O8</f>
        <v>0</v>
      </c>
      <c r="G11" s="47">
        <f>+'Artesanal Anchoveta XV-IV'!P8</f>
        <v>39604</v>
      </c>
      <c r="H11" s="47">
        <f>+'Artesanal Anchoveta XV-IV'!Q8</f>
        <v>35603.285000000003</v>
      </c>
      <c r="I11" s="47">
        <f t="shared" ref="I11:I24" si="0">+G11-H11</f>
        <v>4000.7149999999965</v>
      </c>
      <c r="J11" s="49">
        <f t="shared" ref="J11:J24" si="1">+H11/G11</f>
        <v>0.89898204726795283</v>
      </c>
    </row>
    <row r="12" spans="2:10" s="45" customFormat="1">
      <c r="B12" s="271"/>
      <c r="C12" s="273"/>
      <c r="D12" s="189" t="s">
        <v>302</v>
      </c>
      <c r="E12" s="190" t="s">
        <v>69</v>
      </c>
      <c r="F12" s="191" t="s">
        <v>69</v>
      </c>
      <c r="G12" s="192">
        <f>'Cesiones ind y colec'!S9</f>
        <v>85000</v>
      </c>
      <c r="H12" s="192">
        <f>'Cesiones ind y colec'!T9</f>
        <v>25842.613000000005</v>
      </c>
      <c r="I12" s="192">
        <f>'Cesiones ind y colec'!U9</f>
        <v>59157.387000000002</v>
      </c>
      <c r="J12" s="187">
        <f>'Cesiones ind y colec'!V9</f>
        <v>0.30403074117647066</v>
      </c>
    </row>
    <row r="13" spans="2:10" s="1" customFormat="1">
      <c r="B13" s="270"/>
      <c r="C13" s="267"/>
      <c r="D13" s="10" t="s">
        <v>11</v>
      </c>
      <c r="E13" s="50">
        <f>+'Artesanal Anchoveta XV-IV'!N10</f>
        <v>17571</v>
      </c>
      <c r="F13" s="75">
        <f>+'Artesanal Anchoveta XV-IV'!O10</f>
        <v>0</v>
      </c>
      <c r="G13" s="47">
        <f>+'Artesanal Anchoveta XV-IV'!P10</f>
        <v>17571</v>
      </c>
      <c r="H13" s="47">
        <f>+'Artesanal Anchoveta XV-IV'!Q10</f>
        <v>11423</v>
      </c>
      <c r="I13" s="47">
        <f t="shared" si="0"/>
        <v>6148</v>
      </c>
      <c r="J13" s="49">
        <f t="shared" si="1"/>
        <v>0.65010528712082405</v>
      </c>
    </row>
    <row r="14" spans="2:10" s="45" customFormat="1">
      <c r="B14" s="271"/>
      <c r="C14" s="273"/>
      <c r="D14" s="189" t="s">
        <v>303</v>
      </c>
      <c r="E14" s="190" t="s">
        <v>69</v>
      </c>
      <c r="F14" s="191" t="s">
        <v>69</v>
      </c>
      <c r="G14" s="192">
        <f>'Cesiones ind y colec'!S10</f>
        <v>8688.277</v>
      </c>
      <c r="H14" s="192">
        <f>'Cesiones ind y colec'!T10</f>
        <v>5347.07</v>
      </c>
      <c r="I14" s="192">
        <f>'Cesiones ind y colec'!U10</f>
        <v>3341.2070000000003</v>
      </c>
      <c r="J14" s="187">
        <f>'Cesiones ind y colec'!V10</f>
        <v>0.6154350281419434</v>
      </c>
    </row>
    <row r="15" spans="2:10" ht="15" customHeight="1">
      <c r="B15" s="270"/>
      <c r="C15" s="267"/>
      <c r="D15" s="10" t="s">
        <v>12</v>
      </c>
      <c r="E15" s="50">
        <f>'Artesanal Anchoveta XV-IV'!N11+'Artesanal Anchoveta XV-IV'!N12</f>
        <v>7531</v>
      </c>
      <c r="F15" s="75">
        <f>+'Artesanal Anchoveta XV-IV'!O11+'Artesanal Anchoveta XV-IV'!O12</f>
        <v>0</v>
      </c>
      <c r="G15" s="47">
        <f>+'Artesanal Anchoveta XV-IV'!P11+'Artesanal Anchoveta XV-IV'!P12</f>
        <v>7531</v>
      </c>
      <c r="H15" s="47">
        <f>+'Artesanal Anchoveta XV-IV'!Q11+'Artesanal Anchoveta XV-IV'!Q12</f>
        <v>6675.1660000000002</v>
      </c>
      <c r="I15" s="47">
        <f t="shared" si="0"/>
        <v>855.83399999999983</v>
      </c>
      <c r="J15" s="49">
        <f t="shared" si="1"/>
        <v>0.88635851812508304</v>
      </c>
    </row>
    <row r="16" spans="2:10" s="45" customFormat="1" ht="15" customHeight="1">
      <c r="B16" s="271"/>
      <c r="C16" s="273"/>
      <c r="D16" s="189" t="s">
        <v>304</v>
      </c>
      <c r="E16" s="190" t="s">
        <v>69</v>
      </c>
      <c r="F16" s="191" t="s">
        <v>69</v>
      </c>
      <c r="G16" s="192">
        <f>'Cesiones ind y colec'!S11</f>
        <v>11970</v>
      </c>
      <c r="H16" s="192">
        <f>'Cesiones ind y colec'!T11</f>
        <v>4984.7709999999997</v>
      </c>
      <c r="I16" s="192">
        <f>'Cesiones ind y colec'!U11</f>
        <v>6985.2289999999994</v>
      </c>
      <c r="J16" s="187">
        <f>'Cesiones ind y colec'!V11</f>
        <v>0.41643868003341683</v>
      </c>
    </row>
    <row r="17" spans="2:10">
      <c r="B17" s="270"/>
      <c r="C17" s="267"/>
      <c r="D17" s="10" t="s">
        <v>13</v>
      </c>
      <c r="E17" s="50">
        <f>+'Artesanal Anchoveta XV-IV'!F9</f>
        <v>1000</v>
      </c>
      <c r="F17" s="50">
        <f>+'Artesanal Anchoveta XV-IV'!G9</f>
        <v>0</v>
      </c>
      <c r="G17" s="50">
        <f>+'Artesanal Anchoveta XV-IV'!H9</f>
        <v>1000</v>
      </c>
      <c r="H17" s="50">
        <f>+'Artesanal Anchoveta XV-IV'!I9</f>
        <v>0</v>
      </c>
      <c r="I17" s="47">
        <f t="shared" si="0"/>
        <v>1000</v>
      </c>
      <c r="J17" s="49">
        <f t="shared" si="1"/>
        <v>0</v>
      </c>
    </row>
    <row r="18" spans="2:10">
      <c r="B18" s="270"/>
      <c r="C18" s="267"/>
      <c r="D18" s="10" t="s">
        <v>14</v>
      </c>
      <c r="E18" s="50">
        <f>+'Artesanal Anchoveta XV-IV'!F13</f>
        <v>500</v>
      </c>
      <c r="F18" s="50">
        <f>+'Artesanal Anchoveta XV-IV'!G13</f>
        <v>0</v>
      </c>
      <c r="G18" s="50">
        <f>+'Artesanal Anchoveta XV-IV'!H13</f>
        <v>500</v>
      </c>
      <c r="H18" s="50">
        <f>+'Artesanal Anchoveta XV-IV'!I13</f>
        <v>0</v>
      </c>
      <c r="I18" s="47">
        <f t="shared" si="0"/>
        <v>500</v>
      </c>
      <c r="J18" s="49">
        <f t="shared" si="1"/>
        <v>0</v>
      </c>
    </row>
    <row r="19" spans="2:10" ht="15" customHeight="1">
      <c r="B19" s="270"/>
      <c r="C19" s="267" t="s">
        <v>108</v>
      </c>
      <c r="D19" s="10" t="s">
        <v>9</v>
      </c>
      <c r="E19" s="50">
        <f>+'Artesanal S.española XV-IV'!M7</f>
        <v>630</v>
      </c>
      <c r="F19" s="76">
        <f>+'Artesanal S.española XV-IV'!N7</f>
        <v>0</v>
      </c>
      <c r="G19" s="50">
        <f>+'Artesanal S.española XV-IV'!O7</f>
        <v>630</v>
      </c>
      <c r="H19" s="50">
        <f>+'Artesanal S.española XV-IV'!P7</f>
        <v>0</v>
      </c>
      <c r="I19" s="50">
        <f t="shared" si="0"/>
        <v>630</v>
      </c>
      <c r="J19" s="74">
        <f t="shared" si="1"/>
        <v>0</v>
      </c>
    </row>
    <row r="20" spans="2:10">
      <c r="B20" s="270"/>
      <c r="C20" s="267"/>
      <c r="D20" s="10" t="s">
        <v>10</v>
      </c>
      <c r="E20" s="50">
        <f>+'Artesanal S.española XV-IV'!M8</f>
        <v>2385</v>
      </c>
      <c r="F20" s="76">
        <f>+'Artesanal S.española XV-IV'!N8</f>
        <v>0</v>
      </c>
      <c r="G20" s="50">
        <f>+'Artesanal S.española XV-IV'!O8</f>
        <v>2385</v>
      </c>
      <c r="H20" s="50">
        <f>+'Artesanal S.española XV-IV'!P8</f>
        <v>386.464</v>
      </c>
      <c r="I20" s="50">
        <f t="shared" si="0"/>
        <v>1998.5360000000001</v>
      </c>
      <c r="J20" s="74">
        <f t="shared" si="1"/>
        <v>0.16203941299790356</v>
      </c>
    </row>
    <row r="21" spans="2:10">
      <c r="B21" s="270"/>
      <c r="C21" s="267"/>
      <c r="D21" s="10" t="s">
        <v>11</v>
      </c>
      <c r="E21" s="50">
        <f>+'Artesanal S.española XV-IV'!M10</f>
        <v>650</v>
      </c>
      <c r="F21" s="76">
        <f>+'Artesanal S.española XV-IV'!N10</f>
        <v>0</v>
      </c>
      <c r="G21" s="50">
        <f>+'Artesanal S.española XV-IV'!O10</f>
        <v>650</v>
      </c>
      <c r="H21" s="50">
        <f>+'Artesanal S.española XV-IV'!P10</f>
        <v>23.321999999999999</v>
      </c>
      <c r="I21" s="50">
        <f t="shared" si="0"/>
        <v>626.678</v>
      </c>
      <c r="J21" s="74">
        <f t="shared" si="1"/>
        <v>3.5880000000000002E-2</v>
      </c>
    </row>
    <row r="22" spans="2:10">
      <c r="B22" s="270"/>
      <c r="C22" s="267"/>
      <c r="D22" s="10" t="s">
        <v>12</v>
      </c>
      <c r="E22" s="50">
        <f>+'Artesanal S.española XV-IV'!M11</f>
        <v>650</v>
      </c>
      <c r="F22" s="76">
        <f>+'Artesanal S.española XV-IV'!N11</f>
        <v>0</v>
      </c>
      <c r="G22" s="50">
        <f>+'Artesanal S.española XV-IV'!O11</f>
        <v>650</v>
      </c>
      <c r="H22" s="50">
        <f>+'Artesanal S.española XV-IV'!P11</f>
        <v>46.037999999999997</v>
      </c>
      <c r="I22" s="50">
        <f t="shared" si="0"/>
        <v>603.96199999999999</v>
      </c>
      <c r="J22" s="74">
        <f t="shared" si="1"/>
        <v>7.08276923076923E-2</v>
      </c>
    </row>
    <row r="23" spans="2:10">
      <c r="B23" s="270"/>
      <c r="C23" s="267"/>
      <c r="D23" s="10" t="s">
        <v>13</v>
      </c>
      <c r="E23" s="50">
        <f>+'Artesanal S.española XV-IV'!F9</f>
        <v>500</v>
      </c>
      <c r="F23" s="50">
        <f>+'Artesanal S.española XV-IV'!G9</f>
        <v>0</v>
      </c>
      <c r="G23" s="50">
        <f>+'Artesanal S.española XV-IV'!H9</f>
        <v>500</v>
      </c>
      <c r="H23" s="50">
        <f>+'Artesanal S.española XV-IV'!I9</f>
        <v>0</v>
      </c>
      <c r="I23" s="47">
        <f t="shared" si="0"/>
        <v>500</v>
      </c>
      <c r="J23" s="49">
        <f t="shared" si="1"/>
        <v>0</v>
      </c>
    </row>
    <row r="24" spans="2:10">
      <c r="B24" s="270"/>
      <c r="C24" s="267"/>
      <c r="D24" s="10" t="s">
        <v>14</v>
      </c>
      <c r="E24" s="50">
        <f>+'Artesanal S.española XV-IV'!F12</f>
        <v>200</v>
      </c>
      <c r="F24" s="50">
        <f>+'Artesanal S.española XV-IV'!G12</f>
        <v>0</v>
      </c>
      <c r="G24" s="50">
        <f>+'Artesanal S.española XV-IV'!H12</f>
        <v>200</v>
      </c>
      <c r="H24" s="50">
        <f>+'Artesanal S.española XV-IV'!I12</f>
        <v>5.16</v>
      </c>
      <c r="I24" s="47">
        <f t="shared" si="0"/>
        <v>194.84</v>
      </c>
      <c r="J24" s="49">
        <f t="shared" si="1"/>
        <v>2.58E-2</v>
      </c>
    </row>
    <row r="25" spans="2:10" s="1" customFormat="1" ht="28.5" customHeight="1">
      <c r="B25" s="9" t="s">
        <v>110</v>
      </c>
      <c r="C25" s="274" t="s">
        <v>113</v>
      </c>
      <c r="D25" s="272" t="s">
        <v>15</v>
      </c>
      <c r="E25" s="50">
        <v>137</v>
      </c>
      <c r="F25" s="75">
        <v>0</v>
      </c>
      <c r="G25" s="47">
        <f t="shared" ref="G25:G30" si="2">+E25+F25</f>
        <v>137</v>
      </c>
      <c r="H25" s="47">
        <f>+'P. Investigación'!H9+'P. Investigación'!H26+'P. Investigación'!H33</f>
        <v>0</v>
      </c>
      <c r="I25" s="47">
        <f>+G25-H25</f>
        <v>137</v>
      </c>
      <c r="J25" s="49">
        <f>+H25/G25</f>
        <v>0</v>
      </c>
    </row>
    <row r="26" spans="2:10" s="45" customFormat="1" ht="18.75" customHeight="1">
      <c r="B26" s="111" t="s">
        <v>137</v>
      </c>
      <c r="C26" s="275"/>
      <c r="D26" s="272"/>
      <c r="E26" s="50">
        <v>3005</v>
      </c>
      <c r="F26" s="75">
        <v>0</v>
      </c>
      <c r="G26" s="47">
        <f>+E26+F26</f>
        <v>3005</v>
      </c>
      <c r="H26" s="47"/>
      <c r="I26" s="47">
        <f>+G26-H26</f>
        <v>3005</v>
      </c>
      <c r="J26" s="49">
        <f>+H26/G26</f>
        <v>0</v>
      </c>
    </row>
    <row r="27" spans="2:10" s="1" customFormat="1">
      <c r="B27" s="9" t="s">
        <v>112</v>
      </c>
      <c r="C27" s="44" t="s">
        <v>107</v>
      </c>
      <c r="D27" s="272"/>
      <c r="E27" s="50">
        <v>7513</v>
      </c>
      <c r="F27" s="75">
        <v>0</v>
      </c>
      <c r="G27" s="50">
        <f>+E27+F27</f>
        <v>7513</v>
      </c>
      <c r="H27" s="47">
        <v>0</v>
      </c>
      <c r="I27" s="47">
        <v>0</v>
      </c>
      <c r="J27" s="49">
        <v>0</v>
      </c>
    </row>
    <row r="28" spans="2:10" s="1" customFormat="1">
      <c r="B28" s="9" t="s">
        <v>110</v>
      </c>
      <c r="C28" s="44" t="s">
        <v>106</v>
      </c>
      <c r="D28" s="272" t="s">
        <v>16</v>
      </c>
      <c r="E28" s="50">
        <v>83</v>
      </c>
      <c r="F28" s="75">
        <v>0</v>
      </c>
      <c r="G28" s="47">
        <f t="shared" si="2"/>
        <v>83</v>
      </c>
      <c r="H28" s="47">
        <f>+'P. Investigación'!H19+'P. Investigación'!H42</f>
        <v>0</v>
      </c>
      <c r="I28" s="47">
        <f>+G28-H28</f>
        <v>83</v>
      </c>
      <c r="J28" s="49">
        <f>+H28/G28</f>
        <v>0</v>
      </c>
    </row>
    <row r="29" spans="2:10" s="45" customFormat="1">
      <c r="B29" s="111" t="s">
        <v>137</v>
      </c>
      <c r="C29" s="44" t="s">
        <v>107</v>
      </c>
      <c r="D29" s="272"/>
      <c r="E29" s="50">
        <v>0</v>
      </c>
      <c r="F29" s="75"/>
      <c r="G29" s="47">
        <f t="shared" si="2"/>
        <v>0</v>
      </c>
      <c r="H29" s="47"/>
      <c r="I29" s="47">
        <f>+G29-H29</f>
        <v>0</v>
      </c>
      <c r="J29" s="49" t="e">
        <f>+H29/G29</f>
        <v>#DIV/0!</v>
      </c>
    </row>
    <row r="30" spans="2:10" s="1" customFormat="1">
      <c r="B30" s="9" t="s">
        <v>110</v>
      </c>
      <c r="C30" s="44" t="s">
        <v>108</v>
      </c>
      <c r="D30" s="272"/>
      <c r="E30" s="50">
        <v>0</v>
      </c>
      <c r="F30" s="75">
        <v>0</v>
      </c>
      <c r="G30" s="47">
        <f t="shared" si="2"/>
        <v>0</v>
      </c>
      <c r="H30" s="47">
        <v>0</v>
      </c>
      <c r="I30" s="47">
        <v>0</v>
      </c>
      <c r="J30" s="49">
        <v>0</v>
      </c>
    </row>
    <row r="31" spans="2:10">
      <c r="B31" s="270" t="s">
        <v>105</v>
      </c>
      <c r="C31" s="267" t="s">
        <v>106</v>
      </c>
      <c r="D31" s="13" t="s">
        <v>15</v>
      </c>
      <c r="E31" s="50">
        <f>Industrial!E16</f>
        <v>628320.88500000001</v>
      </c>
      <c r="F31" s="75">
        <f>+Industrial!L16</f>
        <v>-229511.39499999999</v>
      </c>
      <c r="G31" s="47">
        <f>+Industrial!M16</f>
        <v>398809.49</v>
      </c>
      <c r="H31" s="47">
        <f>+Industrial!N16</f>
        <v>28053.523999999998</v>
      </c>
      <c r="I31" s="47">
        <f>+G31-H31</f>
        <v>370755.96600000001</v>
      </c>
      <c r="J31" s="49">
        <f>+H31/G31</f>
        <v>7.0343170620137452E-2</v>
      </c>
    </row>
    <row r="32" spans="2:10">
      <c r="B32" s="270"/>
      <c r="C32" s="267"/>
      <c r="D32" s="13" t="s">
        <v>16</v>
      </c>
      <c r="E32" s="50">
        <f>+Industrial!K32</f>
        <v>25602.004000000001</v>
      </c>
      <c r="F32" s="75">
        <f>+Industrial!L32</f>
        <v>-20658.277000000002</v>
      </c>
      <c r="G32" s="47">
        <f>+Industrial!M32</f>
        <v>4943.726999999998</v>
      </c>
      <c r="H32" s="47">
        <f>+Industrial!N32</f>
        <v>0</v>
      </c>
      <c r="I32" s="47">
        <f>+G32-H32</f>
        <v>4943.726999999998</v>
      </c>
      <c r="J32" s="49">
        <f>+H32/G32</f>
        <v>0</v>
      </c>
    </row>
    <row r="33" spans="2:10">
      <c r="B33" s="270"/>
      <c r="C33" s="267" t="s">
        <v>114</v>
      </c>
      <c r="D33" s="13" t="s">
        <v>15</v>
      </c>
      <c r="E33" s="50">
        <f>Industrial!E36</f>
        <v>1485</v>
      </c>
      <c r="F33" s="75">
        <f>+Industrial!L36</f>
        <v>0</v>
      </c>
      <c r="G33" s="47">
        <f>+Industrial!M36</f>
        <v>1485</v>
      </c>
      <c r="H33" s="47">
        <f>+Industrial!N36</f>
        <v>0</v>
      </c>
      <c r="I33" s="47">
        <f>+G33-H33</f>
        <v>1485</v>
      </c>
      <c r="J33" s="49">
        <f>+H33/G33</f>
        <v>0</v>
      </c>
    </row>
    <row r="34" spans="2:10">
      <c r="B34" s="270"/>
      <c r="C34" s="267"/>
      <c r="D34" s="13" t="s">
        <v>16</v>
      </c>
      <c r="E34" s="50">
        <f>+Industrial!K46</f>
        <v>1500.0000000000002</v>
      </c>
      <c r="F34" s="75">
        <f>+Industrial!L46</f>
        <v>-60</v>
      </c>
      <c r="G34" s="47">
        <f>+Industrial!M46</f>
        <v>1440.0000000000002</v>
      </c>
      <c r="H34" s="47">
        <f>+Industrial!N46</f>
        <v>0</v>
      </c>
      <c r="I34" s="47">
        <f>+G34-H34</f>
        <v>1440.0000000000002</v>
      </c>
      <c r="J34" s="49">
        <f>+H34/G34</f>
        <v>0</v>
      </c>
    </row>
    <row r="35" spans="2:10" s="45" customFormat="1">
      <c r="B35" s="263" t="s">
        <v>305</v>
      </c>
      <c r="C35" s="79" t="s">
        <v>107</v>
      </c>
      <c r="D35" s="264" t="s">
        <v>127</v>
      </c>
      <c r="E35" s="50">
        <v>0</v>
      </c>
      <c r="F35" s="75">
        <f>+'Cesiones ind y colec'!S5</f>
        <v>250169.67199999999</v>
      </c>
      <c r="G35" s="47">
        <f>+'Cesiones ind y colec'!S5</f>
        <v>250169.67199999999</v>
      </c>
      <c r="H35" s="47">
        <f>+'Cesiones ind y colec'!T5</f>
        <v>69277.483999999953</v>
      </c>
      <c r="I35" s="47">
        <f>+'Cesiones ind y colec'!U5</f>
        <v>180892.18800000002</v>
      </c>
      <c r="J35" s="49">
        <f>+'Cesiones ind y colec'!V5</f>
        <v>0.27692199236684434</v>
      </c>
    </row>
    <row r="36" spans="2:10" s="45" customFormat="1">
      <c r="B36" s="263"/>
      <c r="C36" s="79" t="s">
        <v>108</v>
      </c>
      <c r="D36" s="265"/>
      <c r="E36" s="50">
        <v>0</v>
      </c>
      <c r="F36" s="75">
        <f>+'Cesiones ind y colec'!S6</f>
        <v>60</v>
      </c>
      <c r="G36" s="47">
        <f>+'Cesiones ind y colec'!S6</f>
        <v>60</v>
      </c>
      <c r="H36" s="47">
        <f>+'Cesiones ind y colec'!T6</f>
        <v>0</v>
      </c>
      <c r="I36" s="47">
        <f>+'Cesiones ind y colec'!U6</f>
        <v>60</v>
      </c>
      <c r="J36" s="49">
        <f>+'Cesiones ind y colec'!V6</f>
        <v>0</v>
      </c>
    </row>
    <row r="37" spans="2:10">
      <c r="E37" s="51">
        <f>SUM(E9:E36)</f>
        <v>842831.88899999997</v>
      </c>
      <c r="F37" s="48">
        <f>SUM(F9:F36)</f>
        <v>0</v>
      </c>
      <c r="G37" s="85"/>
    </row>
  </sheetData>
  <mergeCells count="14">
    <mergeCell ref="B35:B36"/>
    <mergeCell ref="D35:D36"/>
    <mergeCell ref="B2:J3"/>
    <mergeCell ref="C33:C34"/>
    <mergeCell ref="C4:J4"/>
    <mergeCell ref="C5:J5"/>
    <mergeCell ref="B31:B34"/>
    <mergeCell ref="B9:B24"/>
    <mergeCell ref="D25:D27"/>
    <mergeCell ref="D28:D30"/>
    <mergeCell ref="C9:C18"/>
    <mergeCell ref="C19:C24"/>
    <mergeCell ref="C31:C32"/>
    <mergeCell ref="C25:C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57"/>
  <sheetViews>
    <sheetView zoomScale="90" zoomScaleNormal="90" workbookViewId="0">
      <selection activeCell="Q40" sqref="Q40"/>
    </sheetView>
  </sheetViews>
  <sheetFormatPr baseColWidth="10" defaultRowHeight="15"/>
  <cols>
    <col min="1" max="2" width="12.42578125" bestFit="1" customWidth="1"/>
    <col min="4" max="4" width="17.85546875" bestFit="1" customWidth="1"/>
    <col min="5" max="5" width="29.5703125" bestFit="1" customWidth="1"/>
    <col min="14" max="14" width="11.42578125" style="36"/>
  </cols>
  <sheetData>
    <row r="1" spans="1:17">
      <c r="A1" s="40" t="s">
        <v>70</v>
      </c>
      <c r="B1" s="40" t="s">
        <v>71</v>
      </c>
      <c r="C1" s="40" t="s">
        <v>72</v>
      </c>
      <c r="D1" s="40" t="s">
        <v>73</v>
      </c>
      <c r="E1" s="38" t="s">
        <v>74</v>
      </c>
      <c r="F1" s="40" t="s">
        <v>75</v>
      </c>
      <c r="G1" s="40" t="s">
        <v>76</v>
      </c>
      <c r="H1" s="40" t="s">
        <v>77</v>
      </c>
      <c r="I1" s="40" t="s">
        <v>78</v>
      </c>
      <c r="J1" s="40" t="s">
        <v>79</v>
      </c>
      <c r="K1" s="40" t="s">
        <v>144</v>
      </c>
      <c r="L1" s="41" t="s">
        <v>80</v>
      </c>
      <c r="M1" s="42" t="s">
        <v>81</v>
      </c>
      <c r="N1" s="72" t="s">
        <v>82</v>
      </c>
      <c r="O1" s="43" t="s">
        <v>83</v>
      </c>
      <c r="P1" s="2" t="s">
        <v>84</v>
      </c>
      <c r="Q1" s="2" t="s">
        <v>85</v>
      </c>
    </row>
    <row r="2" spans="1:17">
      <c r="A2" s="159" t="s">
        <v>86</v>
      </c>
      <c r="B2" s="159" t="s">
        <v>86</v>
      </c>
      <c r="C2" s="159" t="s">
        <v>87</v>
      </c>
      <c r="D2" s="159" t="s">
        <v>88</v>
      </c>
      <c r="E2" s="159" t="str">
        <f>+Industrial!C11</f>
        <v>ARICA SEAFOOD PRODUCER S.A.</v>
      </c>
      <c r="F2" s="159" t="s">
        <v>89</v>
      </c>
      <c r="G2" s="159" t="s">
        <v>91</v>
      </c>
      <c r="H2" s="159">
        <f>+Industrial!E11</f>
        <v>5533.4349999999995</v>
      </c>
      <c r="I2" s="45">
        <f>+Industrial!F11</f>
        <v>-5533.4349999999995</v>
      </c>
      <c r="J2" s="45">
        <f>+Industrial!G11</f>
        <v>0</v>
      </c>
      <c r="K2" s="45">
        <f>+Industrial!H11</f>
        <v>0</v>
      </c>
      <c r="L2" s="45">
        <f>+Industrial!I11</f>
        <v>0</v>
      </c>
      <c r="M2" s="19" t="e">
        <f>+Industrial!J11</f>
        <v>#DIV/0!</v>
      </c>
      <c r="N2" s="73" t="s">
        <v>69</v>
      </c>
      <c r="O2" s="36">
        <f>+Resumen!C$4</f>
        <v>44725</v>
      </c>
      <c r="P2">
        <v>2022</v>
      </c>
    </row>
    <row r="3" spans="1:17">
      <c r="A3" s="159" t="s">
        <v>86</v>
      </c>
      <c r="B3" s="159" t="s">
        <v>86</v>
      </c>
      <c r="C3" s="159" t="s">
        <v>87</v>
      </c>
      <c r="D3" s="159" t="s">
        <v>88</v>
      </c>
      <c r="E3" s="159" t="str">
        <f>+Industrial!C12</f>
        <v>CAMANCHACA S.A</v>
      </c>
      <c r="F3" s="159" t="s">
        <v>89</v>
      </c>
      <c r="G3" s="159" t="s">
        <v>91</v>
      </c>
      <c r="H3" s="159">
        <f>+Industrial!E12</f>
        <v>151911.61900000015</v>
      </c>
      <c r="I3" s="45">
        <f>+Industrial!F12</f>
        <v>-27500</v>
      </c>
      <c r="J3" s="45">
        <f>+Industrial!G12</f>
        <v>124411.61900000015</v>
      </c>
      <c r="K3" s="45">
        <f>+Industrial!H12</f>
        <v>3743.817</v>
      </c>
      <c r="L3" s="45">
        <f>+Industrial!I12</f>
        <v>120667.80200000016</v>
      </c>
      <c r="M3" s="19">
        <f>+Industrial!J12</f>
        <v>3.0092181342001468E-2</v>
      </c>
      <c r="N3" s="73" t="s">
        <v>69</v>
      </c>
      <c r="O3" s="36">
        <f>+Resumen!C$4</f>
        <v>44725</v>
      </c>
      <c r="P3" s="45">
        <v>2022</v>
      </c>
    </row>
    <row r="4" spans="1:17" s="45" customFormat="1">
      <c r="A4" s="159" t="s">
        <v>86</v>
      </c>
      <c r="B4" s="159" t="s">
        <v>86</v>
      </c>
      <c r="C4" s="159" t="s">
        <v>87</v>
      </c>
      <c r="D4" s="159" t="s">
        <v>88</v>
      </c>
      <c r="E4" s="159" t="s">
        <v>135</v>
      </c>
      <c r="F4" s="159" t="s">
        <v>89</v>
      </c>
      <c r="G4" s="159" t="s">
        <v>91</v>
      </c>
      <c r="H4" s="159">
        <f>+Industrial!E13</f>
        <v>19477.96</v>
      </c>
      <c r="I4" s="45">
        <f>+Industrial!F13</f>
        <v>-19477.96</v>
      </c>
      <c r="J4" s="45">
        <f>+Industrial!G13</f>
        <v>0</v>
      </c>
      <c r="K4" s="45">
        <f>+Industrial!H13</f>
        <v>0</v>
      </c>
      <c r="L4" s="45">
        <f>+Industrial!I13</f>
        <v>0</v>
      </c>
      <c r="M4" s="19" t="e">
        <f>+Industrial!J13</f>
        <v>#DIV/0!</v>
      </c>
      <c r="N4" s="73" t="s">
        <v>69</v>
      </c>
      <c r="O4" s="36">
        <f>+Resumen!C$4</f>
        <v>44725</v>
      </c>
      <c r="P4" s="45">
        <v>2022</v>
      </c>
    </row>
    <row r="5" spans="1:17" s="45" customFormat="1">
      <c r="A5" s="159" t="s">
        <v>86</v>
      </c>
      <c r="B5" s="159" t="s">
        <v>86</v>
      </c>
      <c r="C5" s="159" t="s">
        <v>87</v>
      </c>
      <c r="D5" s="159" t="s">
        <v>88</v>
      </c>
      <c r="E5" s="159" t="s">
        <v>136</v>
      </c>
      <c r="F5" s="159" t="s">
        <v>89</v>
      </c>
      <c r="G5" s="159" t="s">
        <v>91</v>
      </c>
      <c r="H5" s="159">
        <f>+Industrial!E14</f>
        <v>3455.7660000000001</v>
      </c>
      <c r="I5" s="45">
        <f>+Industrial!F14</f>
        <v>0</v>
      </c>
      <c r="J5" s="45">
        <f>+Industrial!G14</f>
        <v>3455.7660000000001</v>
      </c>
      <c r="K5" s="45">
        <f>+Industrial!H14</f>
        <v>0</v>
      </c>
      <c r="L5" s="45">
        <f>+Industrial!I14</f>
        <v>3455.7660000000001</v>
      </c>
      <c r="M5" s="19">
        <f>+Industrial!J14</f>
        <v>0</v>
      </c>
      <c r="N5" s="73" t="s">
        <v>69</v>
      </c>
      <c r="O5" s="36">
        <f>+Resumen!C$4</f>
        <v>44725</v>
      </c>
      <c r="P5" s="45">
        <v>2022</v>
      </c>
    </row>
    <row r="6" spans="1:17">
      <c r="A6" s="159" t="s">
        <v>86</v>
      </c>
      <c r="B6" s="159" t="s">
        <v>86</v>
      </c>
      <c r="C6" s="159" t="s">
        <v>87</v>
      </c>
      <c r="D6" s="159" t="s">
        <v>88</v>
      </c>
      <c r="E6" s="159" t="str">
        <f>+Industrial!C15</f>
        <v>CORPESCA S.A</v>
      </c>
      <c r="F6" s="159" t="s">
        <v>89</v>
      </c>
      <c r="G6" s="159" t="s">
        <v>91</v>
      </c>
      <c r="H6" s="159">
        <f>+Industrial!E15</f>
        <v>447942.10499999986</v>
      </c>
      <c r="I6" s="45">
        <f>+Industrial!F15</f>
        <v>-177000</v>
      </c>
      <c r="J6" s="45">
        <f>+Industrial!G15</f>
        <v>270942.10499999986</v>
      </c>
      <c r="K6" s="45">
        <f>+Industrial!H15</f>
        <v>24309.706999999999</v>
      </c>
      <c r="L6" s="45">
        <f>+Industrial!I15</f>
        <v>246632.39799999987</v>
      </c>
      <c r="M6" s="19">
        <f>+Industrial!J15</f>
        <v>8.9722883787294747E-2</v>
      </c>
      <c r="N6" s="73" t="s">
        <v>69</v>
      </c>
      <c r="O6" s="36">
        <f>+Resumen!C$4</f>
        <v>44725</v>
      </c>
      <c r="P6" s="45">
        <v>2022</v>
      </c>
    </row>
    <row r="7" spans="1:17" s="163" customFormat="1">
      <c r="A7" s="167" t="s">
        <v>86</v>
      </c>
      <c r="B7" s="167" t="s">
        <v>86</v>
      </c>
      <c r="C7" s="167" t="s">
        <v>87</v>
      </c>
      <c r="D7" s="167" t="s">
        <v>88</v>
      </c>
      <c r="E7" s="167" t="s">
        <v>93</v>
      </c>
      <c r="F7" s="167" t="s">
        <v>89</v>
      </c>
      <c r="G7" s="167" t="s">
        <v>91</v>
      </c>
      <c r="H7" s="171">
        <f>+Industrial!K16</f>
        <v>628320.88500000001</v>
      </c>
      <c r="I7" s="163">
        <f>+Industrial!L16</f>
        <v>-229511.39499999999</v>
      </c>
      <c r="J7" s="163">
        <f>+Industrial!M16</f>
        <v>398809.49</v>
      </c>
      <c r="K7" s="163">
        <f>+Industrial!N16</f>
        <v>28053.523999999998</v>
      </c>
      <c r="L7" s="163">
        <f>+Industrial!O16</f>
        <v>370755.96600000001</v>
      </c>
      <c r="M7" s="164">
        <f>+Industrial!P16</f>
        <v>7.0343170620137452E-2</v>
      </c>
      <c r="N7" s="165" t="s">
        <v>69</v>
      </c>
      <c r="O7" s="166">
        <f>+Resumen!C$4</f>
        <v>44725</v>
      </c>
      <c r="P7" s="45">
        <v>2022</v>
      </c>
    </row>
    <row r="8" spans="1:17">
      <c r="A8" s="159" t="s">
        <v>86</v>
      </c>
      <c r="B8" s="159" t="s">
        <v>86</v>
      </c>
      <c r="C8" s="159" t="s">
        <v>92</v>
      </c>
      <c r="D8" s="159" t="s">
        <v>88</v>
      </c>
      <c r="E8" s="159" t="str">
        <f>+Industrial!C17</f>
        <v>ABASTECIMIENTO DEL PACIFICO S.A.</v>
      </c>
      <c r="F8" s="159" t="s">
        <v>89</v>
      </c>
      <c r="G8" s="159" t="s">
        <v>91</v>
      </c>
      <c r="H8" s="159">
        <f>+Industrial!E17</f>
        <v>268.82100000000003</v>
      </c>
      <c r="I8" s="45">
        <f>+Industrial!F17</f>
        <v>0</v>
      </c>
      <c r="J8" s="45">
        <f>+Industrial!G17</f>
        <v>268.82100000000003</v>
      </c>
      <c r="K8" s="45">
        <f>+Industrial!H17</f>
        <v>0</v>
      </c>
      <c r="L8" s="45">
        <f>+Industrial!I17</f>
        <v>268.82100000000003</v>
      </c>
      <c r="M8" s="19">
        <f>+Industrial!J17</f>
        <v>0</v>
      </c>
      <c r="N8" s="73" t="s">
        <v>69</v>
      </c>
      <c r="O8" s="36">
        <f>+Resumen!C$4</f>
        <v>44725</v>
      </c>
      <c r="P8" s="45">
        <v>2022</v>
      </c>
    </row>
    <row r="9" spans="1:17">
      <c r="A9" s="159" t="s">
        <v>86</v>
      </c>
      <c r="B9" s="159" t="s">
        <v>86</v>
      </c>
      <c r="C9" s="159" t="s">
        <v>92</v>
      </c>
      <c r="D9" s="159" t="s">
        <v>88</v>
      </c>
      <c r="E9" s="159" t="str">
        <f>+Industrial!C18</f>
        <v xml:space="preserve">ALIMENTOS MARINOS S.A.         </v>
      </c>
      <c r="F9" s="159" t="s">
        <v>89</v>
      </c>
      <c r="G9" s="159" t="s">
        <v>91</v>
      </c>
      <c r="H9" s="159">
        <f>+Industrial!E18</f>
        <v>1433.64</v>
      </c>
      <c r="I9" s="45">
        <f>+Industrial!F18</f>
        <v>0</v>
      </c>
      <c r="J9" s="45">
        <f>+Industrial!G18</f>
        <v>1433.64</v>
      </c>
      <c r="K9" s="45">
        <f>+Industrial!H18</f>
        <v>0</v>
      </c>
      <c r="L9" s="45">
        <f>+Industrial!I18</f>
        <v>1433.64</v>
      </c>
      <c r="M9" s="19">
        <f>+Industrial!J18</f>
        <v>0</v>
      </c>
      <c r="N9" s="73" t="s">
        <v>69</v>
      </c>
      <c r="O9" s="36">
        <f>+Resumen!C$4</f>
        <v>44725</v>
      </c>
      <c r="P9" s="45">
        <v>2022</v>
      </c>
    </row>
    <row r="10" spans="1:17">
      <c r="A10" s="159" t="s">
        <v>86</v>
      </c>
      <c r="B10" s="159" t="s">
        <v>86</v>
      </c>
      <c r="C10" s="159" t="s">
        <v>92</v>
      </c>
      <c r="D10" s="159" t="s">
        <v>88</v>
      </c>
      <c r="E10" s="159" t="str">
        <f>+Industrial!C19</f>
        <v>ATILIO REYES BARRERA</v>
      </c>
      <c r="F10" s="159" t="s">
        <v>89</v>
      </c>
      <c r="G10" s="159" t="s">
        <v>91</v>
      </c>
      <c r="H10" s="159">
        <f>+Industrial!E19</f>
        <v>192.01499999999999</v>
      </c>
      <c r="I10" s="45">
        <f>+Industrial!F19</f>
        <v>0</v>
      </c>
      <c r="J10" s="45">
        <f>+Industrial!G19</f>
        <v>192.01499999999999</v>
      </c>
      <c r="K10" s="45">
        <f>+Industrial!H19</f>
        <v>0</v>
      </c>
      <c r="L10" s="45">
        <f>+Industrial!I19</f>
        <v>192.01499999999999</v>
      </c>
      <c r="M10" s="19">
        <f>+Industrial!J19</f>
        <v>0</v>
      </c>
      <c r="N10" s="73" t="s">
        <v>69</v>
      </c>
      <c r="O10" s="36">
        <f>+Resumen!C$4</f>
        <v>44725</v>
      </c>
      <c r="P10" s="45">
        <v>2022</v>
      </c>
    </row>
    <row r="11" spans="1:17">
      <c r="A11" s="159" t="s">
        <v>86</v>
      </c>
      <c r="B11" s="159" t="s">
        <v>86</v>
      </c>
      <c r="C11" s="159" t="s">
        <v>92</v>
      </c>
      <c r="D11" s="159" t="s">
        <v>88</v>
      </c>
      <c r="E11" s="159" t="str">
        <f>+Industrial!C20</f>
        <v xml:space="preserve">BAHIA CALDERA S.A. PESQ.          </v>
      </c>
      <c r="F11" s="159" t="s">
        <v>89</v>
      </c>
      <c r="G11" s="159" t="s">
        <v>91</v>
      </c>
      <c r="H11" s="159">
        <f>+Industrial!E20</f>
        <v>11200.321000000004</v>
      </c>
      <c r="I11" s="45">
        <f>+Industrial!F20</f>
        <v>-10188.277</v>
      </c>
      <c r="J11" s="45">
        <f>+Industrial!G20</f>
        <v>1012.0440000000035</v>
      </c>
      <c r="K11" s="45">
        <f>+Industrial!H20</f>
        <v>0</v>
      </c>
      <c r="L11" s="45">
        <f>+Industrial!I20</f>
        <v>1012.0440000000035</v>
      </c>
      <c r="M11" s="19">
        <f>+Industrial!J20</f>
        <v>0</v>
      </c>
      <c r="N11" s="73" t="s">
        <v>69</v>
      </c>
      <c r="O11" s="36">
        <f>+Resumen!C$4</f>
        <v>44725</v>
      </c>
      <c r="P11" s="45">
        <v>2022</v>
      </c>
    </row>
    <row r="12" spans="1:17">
      <c r="A12" s="159" t="s">
        <v>86</v>
      </c>
      <c r="B12" s="159" t="s">
        <v>86</v>
      </c>
      <c r="C12" s="159" t="s">
        <v>92</v>
      </c>
      <c r="D12" s="159" t="s">
        <v>88</v>
      </c>
      <c r="E12" s="159" t="str">
        <f>+Industrial!C21</f>
        <v xml:space="preserve">BLUMAR S.A.                                              </v>
      </c>
      <c r="F12" s="159" t="s">
        <v>89</v>
      </c>
      <c r="G12" s="159" t="s">
        <v>91</v>
      </c>
      <c r="H12" s="159">
        <f>+Industrial!E21</f>
        <v>82.7</v>
      </c>
      <c r="I12" s="45">
        <f>+Industrial!F21</f>
        <v>0</v>
      </c>
      <c r="J12" s="45">
        <f>+Industrial!G21</f>
        <v>82.7</v>
      </c>
      <c r="K12" s="45">
        <f>+Industrial!H21</f>
        <v>0</v>
      </c>
      <c r="L12" s="45">
        <f>+Industrial!I21</f>
        <v>82.7</v>
      </c>
      <c r="M12" s="19">
        <f>+Industrial!J21</f>
        <v>0</v>
      </c>
      <c r="N12" s="73" t="s">
        <v>69</v>
      </c>
      <c r="O12" s="36">
        <f>+Resumen!C$4</f>
        <v>44725</v>
      </c>
      <c r="P12" s="45">
        <v>2022</v>
      </c>
    </row>
    <row r="13" spans="1:17">
      <c r="A13" s="159" t="s">
        <v>86</v>
      </c>
      <c r="B13" s="159" t="s">
        <v>86</v>
      </c>
      <c r="C13" s="159" t="s">
        <v>92</v>
      </c>
      <c r="D13" s="159" t="s">
        <v>88</v>
      </c>
      <c r="E13" s="159" t="str">
        <f>+Industrial!C22</f>
        <v xml:space="preserve">CAMANCHACA PESCA SUR S.A.  </v>
      </c>
      <c r="F13" s="159" t="s">
        <v>89</v>
      </c>
      <c r="G13" s="159" t="s">
        <v>91</v>
      </c>
      <c r="H13" s="159">
        <f>+Industrial!E22</f>
        <v>692.95899999999995</v>
      </c>
      <c r="I13" s="45">
        <f>+Industrial!F22</f>
        <v>0</v>
      </c>
      <c r="J13" s="45">
        <f>+Industrial!G22</f>
        <v>692.95899999999995</v>
      </c>
      <c r="K13" s="45">
        <f>+Industrial!H22</f>
        <v>0</v>
      </c>
      <c r="L13" s="45">
        <f>+Industrial!I22</f>
        <v>692.95899999999995</v>
      </c>
      <c r="M13" s="19">
        <f>+Industrial!J22</f>
        <v>0</v>
      </c>
      <c r="N13" s="73" t="s">
        <v>69</v>
      </c>
      <c r="O13" s="36">
        <f>+Resumen!C$4</f>
        <v>44725</v>
      </c>
      <c r="P13" s="45">
        <v>2022</v>
      </c>
    </row>
    <row r="14" spans="1:17">
      <c r="A14" s="159" t="s">
        <v>86</v>
      </c>
      <c r="B14" s="159" t="s">
        <v>86</v>
      </c>
      <c r="C14" s="159" t="s">
        <v>92</v>
      </c>
      <c r="D14" s="159" t="s">
        <v>88</v>
      </c>
      <c r="E14" s="159" t="str">
        <f>+Industrial!C23</f>
        <v xml:space="preserve">CAMANCHACA S.A. CIA. PESQ    </v>
      </c>
      <c r="F14" s="159" t="s">
        <v>89</v>
      </c>
      <c r="G14" s="159" t="s">
        <v>91</v>
      </c>
      <c r="H14" s="159">
        <f>+Industrial!E23</f>
        <v>19.803000000000001</v>
      </c>
      <c r="I14" s="45">
        <f>+Industrial!F23</f>
        <v>0</v>
      </c>
      <c r="J14" s="45">
        <f>+Industrial!G23</f>
        <v>19.803000000000001</v>
      </c>
      <c r="K14" s="45">
        <f>+Industrial!H23</f>
        <v>0</v>
      </c>
      <c r="L14" s="45">
        <f>+Industrial!I23</f>
        <v>19.803000000000001</v>
      </c>
      <c r="M14" s="19">
        <f>+Industrial!J23</f>
        <v>0</v>
      </c>
      <c r="N14" s="73" t="s">
        <v>69</v>
      </c>
      <c r="O14" s="36">
        <f>+Resumen!C$4</f>
        <v>44725</v>
      </c>
      <c r="P14" s="45">
        <v>2022</v>
      </c>
    </row>
    <row r="15" spans="1:17">
      <c r="A15" s="159" t="s">
        <v>86</v>
      </c>
      <c r="B15" s="159" t="s">
        <v>86</v>
      </c>
      <c r="C15" s="159" t="s">
        <v>92</v>
      </c>
      <c r="D15" s="159" t="s">
        <v>88</v>
      </c>
      <c r="E15" s="159" t="str">
        <f>+Industrial!C24</f>
        <v>ERIC ARACENA REYNUABA</v>
      </c>
      <c r="F15" s="159" t="s">
        <v>89</v>
      </c>
      <c r="G15" s="159" t="s">
        <v>91</v>
      </c>
      <c r="H15" s="159">
        <f>+Industrial!E24</f>
        <v>102.408</v>
      </c>
      <c r="I15" s="45">
        <f>+Industrial!F24</f>
        <v>0</v>
      </c>
      <c r="J15" s="45">
        <f>+Industrial!G24</f>
        <v>102.408</v>
      </c>
      <c r="K15" s="45">
        <f>+Industrial!H24</f>
        <v>0</v>
      </c>
      <c r="L15" s="45">
        <f>+Industrial!I24</f>
        <v>102.408</v>
      </c>
      <c r="M15" s="19">
        <f>+Industrial!J24</f>
        <v>0</v>
      </c>
      <c r="N15" s="73" t="s">
        <v>69</v>
      </c>
      <c r="O15" s="36">
        <f>+Resumen!C$4</f>
        <v>44725</v>
      </c>
      <c r="P15" s="45">
        <v>2022</v>
      </c>
    </row>
    <row r="16" spans="1:17">
      <c r="A16" s="159" t="s">
        <v>86</v>
      </c>
      <c r="B16" s="159" t="s">
        <v>86</v>
      </c>
      <c r="C16" s="159" t="s">
        <v>92</v>
      </c>
      <c r="D16" s="159" t="s">
        <v>88</v>
      </c>
      <c r="E16" s="159" t="str">
        <f>+Industrial!C25</f>
        <v>FOODCORP CHILE S.A.</v>
      </c>
      <c r="F16" s="159" t="s">
        <v>89</v>
      </c>
      <c r="G16" s="159" t="s">
        <v>91</v>
      </c>
      <c r="H16" s="159">
        <f>+Industrial!E25</f>
        <v>64.004999999999995</v>
      </c>
      <c r="I16" s="45">
        <f>+Industrial!F25</f>
        <v>0</v>
      </c>
      <c r="J16" s="45">
        <f>+Industrial!G25</f>
        <v>64.004999999999995</v>
      </c>
      <c r="K16" s="45">
        <f>+Industrial!H25</f>
        <v>0</v>
      </c>
      <c r="L16" s="45">
        <f>+Industrial!I25</f>
        <v>64.004999999999995</v>
      </c>
      <c r="M16" s="19">
        <f>+Industrial!J25</f>
        <v>0</v>
      </c>
      <c r="N16" s="73" t="s">
        <v>69</v>
      </c>
      <c r="O16" s="36">
        <f>+Resumen!C$4</f>
        <v>44725</v>
      </c>
      <c r="P16" s="45">
        <v>2022</v>
      </c>
    </row>
    <row r="17" spans="1:16">
      <c r="A17" s="159" t="s">
        <v>86</v>
      </c>
      <c r="B17" s="159" t="s">
        <v>86</v>
      </c>
      <c r="C17" s="159" t="s">
        <v>92</v>
      </c>
      <c r="D17" s="159" t="s">
        <v>88</v>
      </c>
      <c r="E17" s="159" t="str">
        <f>+Industrial!C26</f>
        <v>GIULLIANO REYNUABA SALAS</v>
      </c>
      <c r="F17" s="159" t="s">
        <v>89</v>
      </c>
      <c r="G17" s="159" t="s">
        <v>91</v>
      </c>
      <c r="H17" s="159">
        <f>+Industrial!E26</f>
        <v>102.408</v>
      </c>
      <c r="I17" s="45">
        <f>+Industrial!F26</f>
        <v>0</v>
      </c>
      <c r="J17" s="45">
        <f>+Industrial!G26</f>
        <v>102.408</v>
      </c>
      <c r="K17" s="45">
        <f>+Industrial!H26</f>
        <v>0</v>
      </c>
      <c r="L17" s="45">
        <f>+Industrial!I26</f>
        <v>102.408</v>
      </c>
      <c r="M17" s="19">
        <f>+Industrial!J26</f>
        <v>0</v>
      </c>
      <c r="N17" s="73" t="s">
        <v>69</v>
      </c>
      <c r="O17" s="36">
        <f>+Resumen!C$4</f>
        <v>44725</v>
      </c>
      <c r="P17" s="45">
        <v>2022</v>
      </c>
    </row>
    <row r="18" spans="1:16">
      <c r="A18" s="159" t="s">
        <v>86</v>
      </c>
      <c r="B18" s="159" t="s">
        <v>86</v>
      </c>
      <c r="C18" s="159" t="s">
        <v>92</v>
      </c>
      <c r="D18" s="159" t="s">
        <v>88</v>
      </c>
      <c r="E18" s="159" t="str">
        <f>+Industrial!C27</f>
        <v xml:space="preserve">LANDES S.A. SOC. PESQ.                           </v>
      </c>
      <c r="F18" s="159" t="s">
        <v>89</v>
      </c>
      <c r="G18" s="159" t="s">
        <v>91</v>
      </c>
      <c r="H18" s="159">
        <f>+Industrial!E27</f>
        <v>2.391</v>
      </c>
      <c r="I18" s="45">
        <f>+Industrial!F27</f>
        <v>0</v>
      </c>
      <c r="J18" s="45">
        <f>+Industrial!G27</f>
        <v>2.391</v>
      </c>
      <c r="K18" s="45">
        <f>+Industrial!H27</f>
        <v>0</v>
      </c>
      <c r="L18" s="45">
        <f>+Industrial!I27</f>
        <v>2.391</v>
      </c>
      <c r="M18" s="19">
        <f>+Industrial!J27</f>
        <v>0</v>
      </c>
      <c r="N18" s="73" t="s">
        <v>69</v>
      </c>
      <c r="O18" s="36">
        <f>+Resumen!C$4</f>
        <v>44725</v>
      </c>
      <c r="P18" s="45">
        <v>2022</v>
      </c>
    </row>
    <row r="19" spans="1:16">
      <c r="A19" s="159" t="s">
        <v>86</v>
      </c>
      <c r="B19" s="159" t="s">
        <v>86</v>
      </c>
      <c r="C19" s="159" t="s">
        <v>92</v>
      </c>
      <c r="D19" s="159" t="s">
        <v>88</v>
      </c>
      <c r="E19" s="159" t="str">
        <f>+Industrial!C28</f>
        <v xml:space="preserve">ORIZON S.A                                                   </v>
      </c>
      <c r="F19" s="159" t="s">
        <v>89</v>
      </c>
      <c r="G19" s="159" t="s">
        <v>91</v>
      </c>
      <c r="H19" s="159">
        <f>+Industrial!E28</f>
        <v>10487.833999999995</v>
      </c>
      <c r="I19" s="45">
        <f>+Industrial!F28</f>
        <v>-10470</v>
      </c>
      <c r="J19" s="45">
        <f>+Industrial!G28</f>
        <v>17.833999999995285</v>
      </c>
      <c r="K19" s="45">
        <f>+Industrial!H28</f>
        <v>0</v>
      </c>
      <c r="L19" s="45">
        <f>+Industrial!I28</f>
        <v>17.833999999995285</v>
      </c>
      <c r="M19" s="19">
        <f>+Industrial!J28</f>
        <v>0</v>
      </c>
      <c r="N19" s="73" t="s">
        <v>69</v>
      </c>
      <c r="O19" s="36">
        <f>+Resumen!C$4</f>
        <v>44725</v>
      </c>
      <c r="P19" s="45">
        <v>2022</v>
      </c>
    </row>
    <row r="20" spans="1:16">
      <c r="A20" s="159" t="s">
        <v>86</v>
      </c>
      <c r="B20" s="159" t="s">
        <v>86</v>
      </c>
      <c r="C20" s="159" t="s">
        <v>92</v>
      </c>
      <c r="D20" s="159" t="s">
        <v>88</v>
      </c>
      <c r="E20" s="159" t="str">
        <f>+Industrial!C29</f>
        <v>PESQUERA LITORAL SpA</v>
      </c>
      <c r="F20" s="159" t="s">
        <v>89</v>
      </c>
      <c r="G20" s="159" t="s">
        <v>91</v>
      </c>
      <c r="H20" s="159">
        <f>+Industrial!E29</f>
        <v>248.64400000000001</v>
      </c>
      <c r="I20" s="45">
        <f>+Industrial!F29</f>
        <v>0</v>
      </c>
      <c r="J20" s="45">
        <f>+Industrial!G29</f>
        <v>248.64400000000001</v>
      </c>
      <c r="K20" s="45">
        <f>+Industrial!H29</f>
        <v>0</v>
      </c>
      <c r="L20" s="45">
        <f>+Industrial!I29</f>
        <v>248.64400000000001</v>
      </c>
      <c r="M20" s="19">
        <f>+Industrial!J29</f>
        <v>0</v>
      </c>
      <c r="N20" s="73" t="s">
        <v>69</v>
      </c>
      <c r="O20" s="36">
        <f>+Resumen!C$4</f>
        <v>44725</v>
      </c>
      <c r="P20" s="45">
        <v>2022</v>
      </c>
    </row>
    <row r="21" spans="1:16" s="45" customFormat="1">
      <c r="A21" s="159" t="s">
        <v>86</v>
      </c>
      <c r="B21" s="159" t="s">
        <v>86</v>
      </c>
      <c r="C21" s="159" t="s">
        <v>92</v>
      </c>
      <c r="D21" s="159" t="s">
        <v>88</v>
      </c>
      <c r="E21" s="159" t="s">
        <v>124</v>
      </c>
      <c r="F21" s="159" t="s">
        <v>89</v>
      </c>
      <c r="G21" s="159" t="s">
        <v>91</v>
      </c>
      <c r="H21" s="159">
        <f>+Industrial!E30</f>
        <v>294.423</v>
      </c>
      <c r="I21" s="45">
        <f>+Industrial!F30</f>
        <v>0</v>
      </c>
      <c r="J21" s="45">
        <f>+Industrial!G30</f>
        <v>294.423</v>
      </c>
      <c r="K21" s="45">
        <f>+Industrial!H30</f>
        <v>0</v>
      </c>
      <c r="L21" s="45">
        <f>+Industrial!I30</f>
        <v>294.423</v>
      </c>
      <c r="M21" s="19">
        <f>+Industrial!J30</f>
        <v>0</v>
      </c>
      <c r="N21" s="73" t="s">
        <v>69</v>
      </c>
      <c r="O21" s="36">
        <f>+Resumen!C$4</f>
        <v>44725</v>
      </c>
      <c r="P21" s="45">
        <v>2022</v>
      </c>
    </row>
    <row r="22" spans="1:16" s="45" customFormat="1">
      <c r="A22" s="159" t="s">
        <v>86</v>
      </c>
      <c r="B22" s="159" t="s">
        <v>86</v>
      </c>
      <c r="C22" s="159" t="s">
        <v>92</v>
      </c>
      <c r="D22" s="159" t="s">
        <v>88</v>
      </c>
      <c r="E22" s="159" t="str">
        <f>Industrial!C31</f>
        <v>JORGE ORTÚZAR GELTEN</v>
      </c>
      <c r="F22" s="159" t="s">
        <v>89</v>
      </c>
      <c r="G22" s="159" t="s">
        <v>91</v>
      </c>
      <c r="H22" s="159">
        <f>+Industrial!E31</f>
        <v>409.63200000000001</v>
      </c>
      <c r="I22" s="45">
        <f>+Industrial!F31</f>
        <v>0</v>
      </c>
      <c r="J22" s="45">
        <f>+Industrial!G31</f>
        <v>409.63200000000001</v>
      </c>
      <c r="K22" s="45">
        <f>+Industrial!H31</f>
        <v>0</v>
      </c>
      <c r="L22" s="45">
        <f>+Industrial!I31</f>
        <v>409.63200000000001</v>
      </c>
      <c r="M22" s="19">
        <f>+Industrial!J31</f>
        <v>0</v>
      </c>
      <c r="N22" s="73" t="s">
        <v>69</v>
      </c>
      <c r="O22" s="36">
        <f>+Resumen!C$4</f>
        <v>44725</v>
      </c>
      <c r="P22" s="45">
        <v>2022</v>
      </c>
    </row>
    <row r="23" spans="1:16" s="163" customFormat="1">
      <c r="A23" s="167" t="s">
        <v>86</v>
      </c>
      <c r="B23" s="167" t="s">
        <v>86</v>
      </c>
      <c r="C23" s="167" t="s">
        <v>92</v>
      </c>
      <c r="D23" s="167" t="s">
        <v>88</v>
      </c>
      <c r="E23" s="167" t="s">
        <v>93</v>
      </c>
      <c r="F23" s="167" t="s">
        <v>89</v>
      </c>
      <c r="G23" s="167" t="s">
        <v>91</v>
      </c>
      <c r="H23" s="167">
        <f>+Industrial!K32</f>
        <v>25602.004000000001</v>
      </c>
      <c r="I23" s="163">
        <f>+Industrial!L32</f>
        <v>-20658.277000000002</v>
      </c>
      <c r="J23" s="163">
        <f>+Industrial!M32</f>
        <v>4943.726999999998</v>
      </c>
      <c r="K23" s="163">
        <f>+Industrial!N32</f>
        <v>0</v>
      </c>
      <c r="L23" s="163">
        <f>+Industrial!O32</f>
        <v>4943.726999999998</v>
      </c>
      <c r="M23" s="164">
        <f>+Industrial!P32</f>
        <v>0</v>
      </c>
      <c r="N23" s="165" t="s">
        <v>69</v>
      </c>
      <c r="O23" s="166">
        <f>+Resumen!C$4</f>
        <v>44725</v>
      </c>
      <c r="P23" s="45">
        <v>2022</v>
      </c>
    </row>
    <row r="24" spans="1:16">
      <c r="A24" s="159" t="s">
        <v>94</v>
      </c>
      <c r="B24" s="159" t="s">
        <v>94</v>
      </c>
      <c r="C24" s="159" t="s">
        <v>87</v>
      </c>
      <c r="D24" s="159" t="s">
        <v>88</v>
      </c>
      <c r="E24" s="159" t="str">
        <f>+Industrial!C33</f>
        <v xml:space="preserve">ARICA SEAFOOD PRODUCER S.A.  </v>
      </c>
      <c r="F24" s="159" t="s">
        <v>89</v>
      </c>
      <c r="G24" s="159" t="s">
        <v>90</v>
      </c>
      <c r="H24" s="159">
        <f>+Industrial!E33</f>
        <v>4.8810000000000002</v>
      </c>
      <c r="I24" s="45">
        <f>+Industrial!F33</f>
        <v>0</v>
      </c>
      <c r="J24" s="45">
        <f>+Industrial!G33</f>
        <v>4.8810000000000002</v>
      </c>
      <c r="K24" s="45">
        <f>+Industrial!H33</f>
        <v>0</v>
      </c>
      <c r="L24" s="45">
        <f>+Industrial!I33</f>
        <v>4.8810000000000002</v>
      </c>
      <c r="M24" s="19">
        <f>+Industrial!J33</f>
        <v>0</v>
      </c>
      <c r="N24" s="73" t="s">
        <v>69</v>
      </c>
      <c r="O24" s="36">
        <f>+Resumen!C$4</f>
        <v>44725</v>
      </c>
      <c r="P24" s="45">
        <v>2022</v>
      </c>
    </row>
    <row r="25" spans="1:16">
      <c r="A25" s="159" t="s">
        <v>94</v>
      </c>
      <c r="B25" s="159" t="s">
        <v>94</v>
      </c>
      <c r="C25" s="159" t="s">
        <v>87</v>
      </c>
      <c r="D25" s="159" t="s">
        <v>88</v>
      </c>
      <c r="E25" s="159" t="str">
        <f>+Industrial!C34</f>
        <v xml:space="preserve">CAMANCHACA S.A. CIA. PESQ      </v>
      </c>
      <c r="F25" s="159" t="s">
        <v>89</v>
      </c>
      <c r="G25" s="159" t="s">
        <v>90</v>
      </c>
      <c r="H25" s="159">
        <f>+Industrial!E34</f>
        <v>313.08800000000002</v>
      </c>
      <c r="I25" s="45">
        <f>+Industrial!F34</f>
        <v>0</v>
      </c>
      <c r="J25" s="45">
        <f>+Industrial!G34</f>
        <v>313.08800000000002</v>
      </c>
      <c r="K25" s="45">
        <f>+Industrial!H34</f>
        <v>0</v>
      </c>
      <c r="L25" s="45">
        <f>+Industrial!I34</f>
        <v>313.08800000000002</v>
      </c>
      <c r="M25" s="19">
        <f>+Industrial!J34</f>
        <v>0</v>
      </c>
      <c r="N25" s="73" t="s">
        <v>69</v>
      </c>
      <c r="O25" s="36">
        <f>+Resumen!C$4</f>
        <v>44725</v>
      </c>
      <c r="P25" s="45">
        <v>2022</v>
      </c>
    </row>
    <row r="26" spans="1:16">
      <c r="A26" s="159" t="s">
        <v>94</v>
      </c>
      <c r="B26" s="159" t="s">
        <v>94</v>
      </c>
      <c r="C26" s="159" t="s">
        <v>87</v>
      </c>
      <c r="D26" s="159" t="s">
        <v>88</v>
      </c>
      <c r="E26" s="159" t="str">
        <f>+Industrial!C35</f>
        <v xml:space="preserve">CORPESCA S.A.                             </v>
      </c>
      <c r="F26" s="159" t="s">
        <v>89</v>
      </c>
      <c r="G26" s="159" t="s">
        <v>90</v>
      </c>
      <c r="H26" s="159">
        <f>+Industrial!E35</f>
        <v>1167.0309999999999</v>
      </c>
      <c r="I26" s="45">
        <f>+Industrial!F35</f>
        <v>0</v>
      </c>
      <c r="J26" s="45">
        <f>+Industrial!G35</f>
        <v>1167.0309999999999</v>
      </c>
      <c r="K26" s="45">
        <f>+Industrial!H35</f>
        <v>0</v>
      </c>
      <c r="L26" s="45">
        <f>+Industrial!I35</f>
        <v>1167.0309999999999</v>
      </c>
      <c r="M26" s="19">
        <f>+Industrial!J35</f>
        <v>0</v>
      </c>
      <c r="N26" s="73" t="s">
        <v>69</v>
      </c>
      <c r="O26" s="36">
        <f>+Resumen!C$4</f>
        <v>44725</v>
      </c>
      <c r="P26" s="45">
        <v>2022</v>
      </c>
    </row>
    <row r="27" spans="1:16" s="163" customFormat="1">
      <c r="A27" s="167" t="s">
        <v>94</v>
      </c>
      <c r="B27" s="167" t="s">
        <v>94</v>
      </c>
      <c r="C27" s="167" t="s">
        <v>87</v>
      </c>
      <c r="D27" s="167" t="s">
        <v>88</v>
      </c>
      <c r="E27" s="167" t="s">
        <v>93</v>
      </c>
      <c r="F27" s="167" t="s">
        <v>89</v>
      </c>
      <c r="G27" s="167" t="s">
        <v>91</v>
      </c>
      <c r="H27" s="172">
        <f>Industrial!E36</f>
        <v>1485</v>
      </c>
      <c r="I27" s="163">
        <f>+Industrial!L36</f>
        <v>0</v>
      </c>
      <c r="J27" s="163">
        <f>+Industrial!M36</f>
        <v>1485</v>
      </c>
      <c r="K27" s="163">
        <f>+Industrial!N36</f>
        <v>0</v>
      </c>
      <c r="L27" s="163">
        <f>+Industrial!O36</f>
        <v>1485</v>
      </c>
      <c r="M27" s="164">
        <f>+Industrial!P36</f>
        <v>0</v>
      </c>
      <c r="N27" s="165" t="s">
        <v>69</v>
      </c>
      <c r="O27" s="166">
        <f>+Resumen!C$4</f>
        <v>44725</v>
      </c>
      <c r="P27" s="45">
        <v>2022</v>
      </c>
    </row>
    <row r="28" spans="1:16">
      <c r="A28" s="159" t="s">
        <v>94</v>
      </c>
      <c r="B28" s="159" t="s">
        <v>94</v>
      </c>
      <c r="C28" s="159" t="s">
        <v>92</v>
      </c>
      <c r="D28" s="159" t="s">
        <v>88</v>
      </c>
      <c r="E28" s="159" t="str">
        <f>+Industrial!C37</f>
        <v xml:space="preserve">ALIMENTOS MARINOS S.A.          </v>
      </c>
      <c r="F28" s="159" t="s">
        <v>89</v>
      </c>
      <c r="G28" s="159" t="s">
        <v>91</v>
      </c>
      <c r="H28" s="159">
        <f>+Industrial!E37</f>
        <v>204.947</v>
      </c>
      <c r="I28" s="45">
        <f>+Industrial!F37</f>
        <v>0</v>
      </c>
      <c r="J28" s="45">
        <f>+Industrial!G37</f>
        <v>204.947</v>
      </c>
      <c r="K28" s="45">
        <f>+Industrial!H37</f>
        <v>0</v>
      </c>
      <c r="L28" s="45">
        <f>+Industrial!I37</f>
        <v>204.947</v>
      </c>
      <c r="M28" s="19">
        <f>+Industrial!J37</f>
        <v>0</v>
      </c>
      <c r="N28" s="73" t="s">
        <v>69</v>
      </c>
      <c r="O28" s="36">
        <f>+Resumen!C$4</f>
        <v>44725</v>
      </c>
      <c r="P28" s="45">
        <v>2022</v>
      </c>
    </row>
    <row r="29" spans="1:16">
      <c r="A29" s="159" t="s">
        <v>94</v>
      </c>
      <c r="B29" s="159" t="s">
        <v>94</v>
      </c>
      <c r="C29" s="159" t="s">
        <v>92</v>
      </c>
      <c r="D29" s="159" t="s">
        <v>88</v>
      </c>
      <c r="E29" s="159" t="str">
        <f>+Industrial!C38</f>
        <v xml:space="preserve">BAHIA CALDERA S.A. PESQ.          </v>
      </c>
      <c r="F29" s="159" t="s">
        <v>89</v>
      </c>
      <c r="G29" s="159" t="s">
        <v>91</v>
      </c>
      <c r="H29" s="159">
        <f>+Industrial!E38</f>
        <v>892.30700000000002</v>
      </c>
      <c r="I29" s="45">
        <f>+Industrial!F38</f>
        <v>0</v>
      </c>
      <c r="J29" s="45">
        <f>+Industrial!G38</f>
        <v>892.30700000000002</v>
      </c>
      <c r="K29" s="45">
        <f>+Industrial!H38</f>
        <v>0</v>
      </c>
      <c r="L29" s="45">
        <f>+Industrial!I38</f>
        <v>892.30700000000002</v>
      </c>
      <c r="M29" s="19">
        <f>+Industrial!J38</f>
        <v>0</v>
      </c>
      <c r="N29" s="73" t="s">
        <v>69</v>
      </c>
      <c r="O29" s="36">
        <f>+Resumen!C$4</f>
        <v>44725</v>
      </c>
      <c r="P29" s="45">
        <v>2022</v>
      </c>
    </row>
    <row r="30" spans="1:16">
      <c r="A30" s="159" t="s">
        <v>94</v>
      </c>
      <c r="B30" s="159" t="s">
        <v>94</v>
      </c>
      <c r="C30" s="159" t="s">
        <v>92</v>
      </c>
      <c r="D30" s="159" t="s">
        <v>88</v>
      </c>
      <c r="E30" s="159" t="str">
        <f>+Industrial!C39</f>
        <v>FOODCORP CHILE S.A.</v>
      </c>
      <c r="F30" s="159" t="s">
        <v>89</v>
      </c>
      <c r="G30" s="159" t="s">
        <v>91</v>
      </c>
      <c r="H30" s="159">
        <f>+Industrial!E39</f>
        <v>0.15</v>
      </c>
      <c r="I30" s="45">
        <f>+Industrial!F39</f>
        <v>0</v>
      </c>
      <c r="J30" s="45">
        <f>+Industrial!G39</f>
        <v>0.15</v>
      </c>
      <c r="K30" s="45">
        <f>+Industrial!H39</f>
        <v>0</v>
      </c>
      <c r="L30" s="45">
        <f>+Industrial!I39</f>
        <v>0.15</v>
      </c>
      <c r="M30" s="19">
        <f>+Industrial!J39</f>
        <v>0</v>
      </c>
      <c r="N30" s="73" t="s">
        <v>69</v>
      </c>
      <c r="O30" s="36">
        <f>+Resumen!C$4</f>
        <v>44725</v>
      </c>
      <c r="P30" s="45">
        <v>2022</v>
      </c>
    </row>
    <row r="31" spans="1:16">
      <c r="A31" s="159" t="s">
        <v>94</v>
      </c>
      <c r="B31" s="159" t="s">
        <v>94</v>
      </c>
      <c r="C31" s="159" t="s">
        <v>92</v>
      </c>
      <c r="D31" s="159" t="s">
        <v>88</v>
      </c>
      <c r="E31" s="159" t="str">
        <f>+Industrial!C40</f>
        <v>BLUMAR S.A.</v>
      </c>
      <c r="F31" s="159" t="s">
        <v>89</v>
      </c>
      <c r="G31" s="159" t="s">
        <v>91</v>
      </c>
      <c r="H31" s="159">
        <f>+Industrial!E40</f>
        <v>5.7460000000000004</v>
      </c>
      <c r="I31" s="45">
        <f>+Industrial!F40</f>
        <v>0</v>
      </c>
      <c r="J31" s="45">
        <f>+Industrial!G40</f>
        <v>5.7460000000000004</v>
      </c>
      <c r="K31" s="45">
        <f>+Industrial!H40</f>
        <v>0</v>
      </c>
      <c r="L31" s="45">
        <f>+Industrial!I40</f>
        <v>5.7460000000000004</v>
      </c>
      <c r="M31" s="19">
        <f>+Industrial!J40</f>
        <v>0</v>
      </c>
      <c r="N31" s="73" t="s">
        <v>69</v>
      </c>
      <c r="O31" s="36">
        <f>+Resumen!C$4</f>
        <v>44725</v>
      </c>
      <c r="P31" s="45">
        <v>2022</v>
      </c>
    </row>
    <row r="32" spans="1:16">
      <c r="A32" s="159" t="s">
        <v>94</v>
      </c>
      <c r="B32" s="159" t="s">
        <v>94</v>
      </c>
      <c r="C32" s="159" t="s">
        <v>92</v>
      </c>
      <c r="D32" s="159" t="s">
        <v>88</v>
      </c>
      <c r="E32" s="159" t="str">
        <f>+Industrial!C41</f>
        <v>CAMANCHACA S.A. CIA. PESQ.</v>
      </c>
      <c r="F32" s="159" t="s">
        <v>89</v>
      </c>
      <c r="G32" s="159" t="s">
        <v>91</v>
      </c>
      <c r="H32" s="159">
        <f>+Industrial!E41</f>
        <v>6.4950000000000001</v>
      </c>
      <c r="I32" s="45">
        <f>+Industrial!F41</f>
        <v>0</v>
      </c>
      <c r="J32" s="45">
        <f>+Industrial!G41</f>
        <v>6.4950000000000001</v>
      </c>
      <c r="K32" s="45">
        <f>+Industrial!H41</f>
        <v>0</v>
      </c>
      <c r="L32" s="45">
        <f>+Industrial!I41</f>
        <v>6.4950000000000001</v>
      </c>
      <c r="M32" s="19">
        <f>+Industrial!J41</f>
        <v>0</v>
      </c>
      <c r="N32" s="73" t="s">
        <v>69</v>
      </c>
      <c r="O32" s="36">
        <f>+Resumen!C$4</f>
        <v>44725</v>
      </c>
      <c r="P32" s="45">
        <v>2022</v>
      </c>
    </row>
    <row r="33" spans="1:16">
      <c r="A33" s="159" t="s">
        <v>94</v>
      </c>
      <c r="B33" s="159" t="s">
        <v>94</v>
      </c>
      <c r="C33" s="159" t="s">
        <v>92</v>
      </c>
      <c r="D33" s="159" t="s">
        <v>88</v>
      </c>
      <c r="E33" s="159" t="str">
        <f>+Industrial!C42</f>
        <v>PESQUERA LITORAL SpA</v>
      </c>
      <c r="F33" s="159" t="s">
        <v>89</v>
      </c>
      <c r="G33" s="159" t="s">
        <v>91</v>
      </c>
      <c r="H33" s="159">
        <f>+Industrial!E42</f>
        <v>2.9769999999999999</v>
      </c>
      <c r="I33" s="45">
        <f>+Industrial!F42</f>
        <v>0</v>
      </c>
      <c r="J33" s="45">
        <f>+Industrial!G42</f>
        <v>2.9769999999999999</v>
      </c>
      <c r="K33" s="45">
        <f>+Industrial!H42</f>
        <v>0</v>
      </c>
      <c r="L33" s="45">
        <f>+Industrial!I42</f>
        <v>2.9769999999999999</v>
      </c>
      <c r="M33" s="19">
        <f>+Industrial!J42</f>
        <v>0</v>
      </c>
      <c r="N33" s="73" t="s">
        <v>69</v>
      </c>
      <c r="O33" s="36">
        <f>+Resumen!C$4</f>
        <v>44725</v>
      </c>
      <c r="P33" s="45">
        <v>2022</v>
      </c>
    </row>
    <row r="34" spans="1:16">
      <c r="A34" s="159" t="s">
        <v>94</v>
      </c>
      <c r="B34" s="159" t="s">
        <v>94</v>
      </c>
      <c r="C34" s="159" t="s">
        <v>92</v>
      </c>
      <c r="D34" s="159" t="s">
        <v>88</v>
      </c>
      <c r="E34" s="159" t="str">
        <f>+Industrial!C43</f>
        <v>ORIZON S.A.</v>
      </c>
      <c r="F34" s="159" t="s">
        <v>89</v>
      </c>
      <c r="G34" s="159" t="s">
        <v>91</v>
      </c>
      <c r="H34" s="159">
        <f>+Industrial!E43</f>
        <v>383.03</v>
      </c>
      <c r="I34" s="45">
        <f>+Industrial!F43</f>
        <v>-60</v>
      </c>
      <c r="J34" s="45">
        <f>+Industrial!G43</f>
        <v>323.02999999999997</v>
      </c>
      <c r="K34" s="45">
        <f>+Industrial!H43</f>
        <v>0</v>
      </c>
      <c r="L34" s="45">
        <f>+Industrial!I43</f>
        <v>323.02999999999997</v>
      </c>
      <c r="M34" s="19">
        <f>+Industrial!J43</f>
        <v>0</v>
      </c>
      <c r="N34" s="73" t="s">
        <v>69</v>
      </c>
      <c r="O34" s="36">
        <f>+Resumen!C$4</f>
        <v>44725</v>
      </c>
      <c r="P34" s="45">
        <v>2022</v>
      </c>
    </row>
    <row r="35" spans="1:16">
      <c r="A35" s="159" t="s">
        <v>94</v>
      </c>
      <c r="B35" s="159" t="s">
        <v>94</v>
      </c>
      <c r="C35" s="159" t="s">
        <v>92</v>
      </c>
      <c r="D35" s="159" t="s">
        <v>88</v>
      </c>
      <c r="E35" s="159" t="str">
        <f>+Industrial!C44</f>
        <v>CAMANCHACA PESCA SUR S.A.</v>
      </c>
      <c r="F35" s="159" t="s">
        <v>89</v>
      </c>
      <c r="G35" s="159" t="s">
        <v>91</v>
      </c>
      <c r="H35" s="159">
        <f>+Industrial!E44</f>
        <v>2.593</v>
      </c>
      <c r="I35" s="45">
        <f>+Industrial!F44</f>
        <v>0</v>
      </c>
      <c r="J35" s="45">
        <f>+Industrial!G44</f>
        <v>2.593</v>
      </c>
      <c r="K35" s="45">
        <f>+Industrial!H44</f>
        <v>0</v>
      </c>
      <c r="L35" s="45">
        <f>+Industrial!I44</f>
        <v>2.593</v>
      </c>
      <c r="M35" s="19">
        <f>+Industrial!J44</f>
        <v>0</v>
      </c>
      <c r="N35" s="73" t="s">
        <v>69</v>
      </c>
      <c r="O35" s="36">
        <f>+Resumen!C$4</f>
        <v>44725</v>
      </c>
      <c r="P35" s="45">
        <v>2022</v>
      </c>
    </row>
    <row r="36" spans="1:16">
      <c r="A36" s="159" t="s">
        <v>94</v>
      </c>
      <c r="B36" s="159" t="s">
        <v>94</v>
      </c>
      <c r="C36" s="159" t="s">
        <v>92</v>
      </c>
      <c r="D36" s="159" t="s">
        <v>88</v>
      </c>
      <c r="E36" s="159" t="str">
        <f>+Industrial!C45</f>
        <v>LANDES S.A. SOC.PESQ.</v>
      </c>
      <c r="F36" s="159" t="s">
        <v>89</v>
      </c>
      <c r="G36" s="159" t="s">
        <v>91</v>
      </c>
      <c r="H36" s="159">
        <f>+Industrial!E45</f>
        <v>1.7549999999999999</v>
      </c>
      <c r="I36" s="45">
        <f>+Industrial!F45</f>
        <v>0</v>
      </c>
      <c r="J36" s="45">
        <f>+Industrial!G45</f>
        <v>1.7549999999999999</v>
      </c>
      <c r="K36" s="45">
        <f>+Industrial!H45</f>
        <v>0</v>
      </c>
      <c r="L36" s="45">
        <f>+Industrial!I45</f>
        <v>1.7549999999999999</v>
      </c>
      <c r="M36" s="19">
        <f>+Industrial!J45</f>
        <v>0</v>
      </c>
      <c r="N36" s="73" t="s">
        <v>69</v>
      </c>
      <c r="O36" s="36">
        <f>+Resumen!C$4</f>
        <v>44725</v>
      </c>
      <c r="P36" s="45">
        <v>2022</v>
      </c>
    </row>
    <row r="37" spans="1:16" s="163" customFormat="1">
      <c r="A37" s="167" t="s">
        <v>94</v>
      </c>
      <c r="B37" s="167" t="s">
        <v>94</v>
      </c>
      <c r="C37" s="167" t="s">
        <v>92</v>
      </c>
      <c r="D37" s="167" t="s">
        <v>88</v>
      </c>
      <c r="E37" s="167" t="s">
        <v>93</v>
      </c>
      <c r="F37" s="167" t="s">
        <v>89</v>
      </c>
      <c r="G37" s="167" t="s">
        <v>91</v>
      </c>
      <c r="H37" s="167">
        <f>+Industrial!K46</f>
        <v>1500.0000000000002</v>
      </c>
      <c r="I37" s="163">
        <f>+Industrial!L46</f>
        <v>-60</v>
      </c>
      <c r="J37" s="163">
        <f>+Industrial!M46</f>
        <v>1440.0000000000002</v>
      </c>
      <c r="K37" s="163">
        <f>+Industrial!N46</f>
        <v>0</v>
      </c>
      <c r="L37" s="163">
        <f>+Industrial!O46</f>
        <v>1440.0000000000002</v>
      </c>
      <c r="M37" s="164">
        <f>+Industrial!P46</f>
        <v>0</v>
      </c>
      <c r="N37" s="165" t="s">
        <v>69</v>
      </c>
      <c r="O37" s="166">
        <f>+Resumen!C$4</f>
        <v>44725</v>
      </c>
      <c r="P37" s="45">
        <v>2022</v>
      </c>
    </row>
    <row r="38" spans="1:16">
      <c r="A38" s="159" t="s">
        <v>86</v>
      </c>
      <c r="B38" s="159" t="s">
        <v>86</v>
      </c>
      <c r="C38" s="159" t="s">
        <v>95</v>
      </c>
      <c r="D38" s="159" t="s">
        <v>101</v>
      </c>
      <c r="E38" s="159" t="str">
        <f>+'Artesanal Anchoveta XV-IV'!D7</f>
        <v>MACROZONA XV - I</v>
      </c>
      <c r="F38" s="159" t="s">
        <v>89</v>
      </c>
      <c r="G38" s="159" t="s">
        <v>91</v>
      </c>
      <c r="H38" s="159">
        <f>+'Artesanal Anchoveta XV-IV'!F7</f>
        <v>103965</v>
      </c>
      <c r="I38" s="45">
        <f>+'Artesanal Anchoveta XV-IV'!G7</f>
        <v>0</v>
      </c>
      <c r="J38" s="45">
        <f>+'Artesanal Anchoveta XV-IV'!H7</f>
        <v>103965</v>
      </c>
      <c r="K38" s="45">
        <f>+'Artesanal Anchoveta XV-IV'!I7</f>
        <v>100418.3</v>
      </c>
      <c r="L38" s="45">
        <f>+'Artesanal Anchoveta XV-IV'!K7</f>
        <v>3546.6999999999971</v>
      </c>
      <c r="M38" s="19">
        <f>+'Artesanal Anchoveta XV-IV'!L7</f>
        <v>0.96588563458856347</v>
      </c>
      <c r="N38" s="73" t="s">
        <v>69</v>
      </c>
      <c r="O38" s="36">
        <f>+Resumen!C$4</f>
        <v>44725</v>
      </c>
      <c r="P38" s="45">
        <v>2022</v>
      </c>
    </row>
    <row r="39" spans="1:16" s="167" customFormat="1">
      <c r="A39" s="167" t="s">
        <v>86</v>
      </c>
      <c r="B39" s="167" t="s">
        <v>86</v>
      </c>
      <c r="C39" s="167" t="s">
        <v>95</v>
      </c>
      <c r="D39" s="167" t="s">
        <v>101</v>
      </c>
      <c r="E39" s="167" t="s">
        <v>103</v>
      </c>
      <c r="F39" s="167" t="s">
        <v>89</v>
      </c>
      <c r="G39" s="167" t="s">
        <v>91</v>
      </c>
      <c r="H39" s="167">
        <f>Resumen!E9</f>
        <v>103965</v>
      </c>
      <c r="I39" s="167">
        <f>Resumen!F9</f>
        <v>0</v>
      </c>
      <c r="J39" s="167">
        <f>Resumen!G9</f>
        <v>103965</v>
      </c>
      <c r="K39" s="167">
        <f>Resumen!H9</f>
        <v>100418.3</v>
      </c>
      <c r="L39" s="167">
        <f>Resumen!I9</f>
        <v>3546.6999999999971</v>
      </c>
      <c r="M39" s="168">
        <f>Resumen!J9</f>
        <v>0.96588563458856347</v>
      </c>
      <c r="N39" s="169" t="s">
        <v>69</v>
      </c>
      <c r="O39" s="170">
        <f>+Resumen!C$4</f>
        <v>44725</v>
      </c>
      <c r="P39" s="45">
        <v>2022</v>
      </c>
    </row>
    <row r="40" spans="1:16">
      <c r="A40" s="159" t="s">
        <v>86</v>
      </c>
      <c r="B40" s="159" t="s">
        <v>86</v>
      </c>
      <c r="C40" s="159" t="s">
        <v>10</v>
      </c>
      <c r="D40" s="159" t="s">
        <v>101</v>
      </c>
      <c r="E40" s="159" t="str">
        <f>+'Artesanal Anchoveta XV-IV'!D8</f>
        <v>REGIÓN II</v>
      </c>
      <c r="F40" s="159" t="s">
        <v>89</v>
      </c>
      <c r="G40" s="159" t="s">
        <v>91</v>
      </c>
      <c r="H40" s="159">
        <f>+'Artesanal Anchoveta XV-IV'!F8</f>
        <v>39604</v>
      </c>
      <c r="I40" s="45">
        <f>+'Artesanal Anchoveta XV-IV'!G8</f>
        <v>0</v>
      </c>
      <c r="J40" s="45">
        <f>+'Artesanal Anchoveta XV-IV'!H8</f>
        <v>39604</v>
      </c>
      <c r="K40" s="45">
        <f>+'Artesanal Anchoveta XV-IV'!I8</f>
        <v>35603.285000000003</v>
      </c>
      <c r="L40" s="45">
        <f>+'Artesanal Anchoveta XV-IV'!K8</f>
        <v>4000.7149999999965</v>
      </c>
      <c r="M40" s="19">
        <f>+'Artesanal Anchoveta XV-IV'!L8</f>
        <v>0.89898204726795283</v>
      </c>
      <c r="N40" s="73">
        <f>'Artesanal Anchoveta XV-IV'!M8</f>
        <v>44671</v>
      </c>
      <c r="O40" s="36">
        <f>+Resumen!C$4</f>
        <v>44725</v>
      </c>
      <c r="P40" s="45">
        <v>2022</v>
      </c>
    </row>
    <row r="41" spans="1:16" s="167" customFormat="1">
      <c r="A41" s="167" t="s">
        <v>86</v>
      </c>
      <c r="B41" s="167" t="s">
        <v>86</v>
      </c>
      <c r="C41" s="167" t="s">
        <v>10</v>
      </c>
      <c r="D41" s="167" t="s">
        <v>101</v>
      </c>
      <c r="E41" s="167" t="s">
        <v>104</v>
      </c>
      <c r="F41" s="167" t="s">
        <v>89</v>
      </c>
      <c r="G41" s="167" t="s">
        <v>91</v>
      </c>
      <c r="H41" s="167">
        <f>+'Artesanal Anchoveta XV-IV'!N8</f>
        <v>39604</v>
      </c>
      <c r="I41" s="167">
        <f>+'Artesanal Anchoveta XV-IV'!O8</f>
        <v>0</v>
      </c>
      <c r="J41" s="167">
        <f>+'Artesanal Anchoveta XV-IV'!P8</f>
        <v>39604</v>
      </c>
      <c r="K41" s="167">
        <f>+'Artesanal Anchoveta XV-IV'!Q8</f>
        <v>35603.285000000003</v>
      </c>
      <c r="L41" s="167">
        <f>+'Artesanal Anchoveta XV-IV'!R8</f>
        <v>4000.7149999999965</v>
      </c>
      <c r="M41" s="168">
        <f>+'Artesanal Anchoveta XV-IV'!S8</f>
        <v>0.89898204726795283</v>
      </c>
      <c r="N41" s="169" t="s">
        <v>69</v>
      </c>
      <c r="O41" s="170">
        <f>+Resumen!C$4</f>
        <v>44725</v>
      </c>
      <c r="P41" s="45">
        <v>2022</v>
      </c>
    </row>
    <row r="42" spans="1:16">
      <c r="A42" s="159" t="s">
        <v>86</v>
      </c>
      <c r="B42" s="159" t="s">
        <v>86</v>
      </c>
      <c r="C42" s="159" t="s">
        <v>11</v>
      </c>
      <c r="D42" s="159" t="s">
        <v>101</v>
      </c>
      <c r="E42" s="159" t="str">
        <f>+'Artesanal Anchoveta XV-IV'!D10</f>
        <v>REGIÓN III</v>
      </c>
      <c r="F42" s="159" t="s">
        <v>89</v>
      </c>
      <c r="G42" s="159" t="s">
        <v>91</v>
      </c>
      <c r="H42" s="159">
        <f>+'Artesanal Anchoveta XV-IV'!F10</f>
        <v>17571</v>
      </c>
      <c r="I42" s="45">
        <f>+'Artesanal Anchoveta XV-IV'!G10</f>
        <v>0</v>
      </c>
      <c r="J42" s="45">
        <f>+'Artesanal Anchoveta XV-IV'!H10</f>
        <v>17571</v>
      </c>
      <c r="K42" s="45">
        <f>+'Artesanal Anchoveta XV-IV'!I10</f>
        <v>11423</v>
      </c>
      <c r="L42" s="45">
        <f>+'Artesanal Anchoveta XV-IV'!K10</f>
        <v>6148</v>
      </c>
      <c r="M42" s="19">
        <f>+'Artesanal Anchoveta XV-IV'!L10</f>
        <v>0.65010528712082405</v>
      </c>
      <c r="N42" s="73" t="s">
        <v>69</v>
      </c>
      <c r="O42" s="36">
        <f>+Resumen!C$4</f>
        <v>44725</v>
      </c>
      <c r="P42" s="45">
        <v>2022</v>
      </c>
    </row>
    <row r="43" spans="1:16" s="167" customFormat="1">
      <c r="A43" s="167" t="s">
        <v>86</v>
      </c>
      <c r="B43" s="167" t="s">
        <v>86</v>
      </c>
      <c r="C43" s="167" t="s">
        <v>11</v>
      </c>
      <c r="D43" s="167" t="s">
        <v>101</v>
      </c>
      <c r="E43" s="167" t="s">
        <v>104</v>
      </c>
      <c r="F43" s="167" t="s">
        <v>89</v>
      </c>
      <c r="G43" s="167" t="s">
        <v>91</v>
      </c>
      <c r="H43" s="167">
        <f>+'Artesanal Anchoveta XV-IV'!N10</f>
        <v>17571</v>
      </c>
      <c r="I43" s="167">
        <f>+'Artesanal Anchoveta XV-IV'!O10</f>
        <v>0</v>
      </c>
      <c r="J43" s="167">
        <f>+'Artesanal Anchoveta XV-IV'!P10</f>
        <v>17571</v>
      </c>
      <c r="K43" s="167">
        <f>+'Artesanal Anchoveta XV-IV'!Q10</f>
        <v>11423</v>
      </c>
      <c r="L43" s="167">
        <f>+'Artesanal Anchoveta XV-IV'!R10</f>
        <v>6148</v>
      </c>
      <c r="M43" s="168">
        <f>+'Artesanal Anchoveta XV-IV'!S10</f>
        <v>0.65010528712082405</v>
      </c>
      <c r="N43" s="169" t="s">
        <v>69</v>
      </c>
      <c r="O43" s="170">
        <f>+Resumen!C$4</f>
        <v>44725</v>
      </c>
      <c r="P43" s="45">
        <v>2022</v>
      </c>
    </row>
    <row r="44" spans="1:16">
      <c r="A44" s="159" t="s">
        <v>86</v>
      </c>
      <c r="B44" s="159" t="s">
        <v>86</v>
      </c>
      <c r="C44" s="159" t="s">
        <v>12</v>
      </c>
      <c r="D44" s="159" t="s">
        <v>102</v>
      </c>
      <c r="E44" s="159" t="str">
        <f>+'Artesanal Anchoveta XV-IV'!D11</f>
        <v>CERCOPESCA Rol 4276</v>
      </c>
      <c r="F44" s="159" t="s">
        <v>89</v>
      </c>
      <c r="G44" s="159" t="s">
        <v>91</v>
      </c>
      <c r="H44" s="159">
        <f>+'Artesanal Anchoveta XV-IV'!F11</f>
        <v>7454.5720000000001</v>
      </c>
      <c r="I44" s="45">
        <f>+'Artesanal Anchoveta XV-IV'!G11</f>
        <v>0</v>
      </c>
      <c r="J44" s="45">
        <f>+'Artesanal Anchoveta XV-IV'!H11</f>
        <v>7454.5720000000001</v>
      </c>
      <c r="K44" s="45">
        <f>+'Artesanal Anchoveta XV-IV'!I11</f>
        <v>6557.0789999999997</v>
      </c>
      <c r="L44" s="45">
        <f>+'Artesanal Anchoveta XV-IV'!K11</f>
        <v>897.49300000000039</v>
      </c>
      <c r="M44" s="19">
        <f>+'Artesanal Anchoveta XV-IV'!L11</f>
        <v>0.87960502628454051</v>
      </c>
      <c r="N44" s="73" t="s">
        <v>69</v>
      </c>
      <c r="O44" s="36">
        <f>+Resumen!C$4</f>
        <v>44725</v>
      </c>
      <c r="P44" s="45">
        <v>2022</v>
      </c>
    </row>
    <row r="45" spans="1:16" s="45" customFormat="1">
      <c r="A45" s="159" t="s">
        <v>86</v>
      </c>
      <c r="B45" s="159" t="s">
        <v>86</v>
      </c>
      <c r="C45" s="159" t="s">
        <v>12</v>
      </c>
      <c r="D45" s="159" t="s">
        <v>102</v>
      </c>
      <c r="E45" s="159" t="str">
        <f>'Artesanal Anchoveta XV-IV'!D12</f>
        <v>CUOTA RESIDUAL</v>
      </c>
      <c r="F45" s="159" t="s">
        <v>89</v>
      </c>
      <c r="G45" s="159" t="s">
        <v>91</v>
      </c>
      <c r="H45" s="159">
        <f>'Artesanal Anchoveta XV-IV'!F12</f>
        <v>76.427999999999997</v>
      </c>
      <c r="I45" s="45">
        <f>'Artesanal Anchoveta XV-IV'!G12</f>
        <v>0</v>
      </c>
      <c r="J45" s="45">
        <f>+'Artesanal Anchoveta XV-IV'!H12</f>
        <v>76.427999999999997</v>
      </c>
      <c r="K45" s="45">
        <f>+'Artesanal Anchoveta XV-IV'!I12</f>
        <v>118.087</v>
      </c>
      <c r="L45" s="45">
        <f>+'Artesanal Anchoveta XV-IV'!K12</f>
        <v>-41.659000000000006</v>
      </c>
      <c r="M45" s="19">
        <f>+'Artesanal Anchoveta XV-IV'!L12</f>
        <v>1.545075103365259</v>
      </c>
      <c r="N45" s="73" t="s">
        <v>69</v>
      </c>
      <c r="O45" s="36">
        <f>+Resumen!C$4</f>
        <v>44725</v>
      </c>
      <c r="P45" s="45">
        <v>2022</v>
      </c>
    </row>
    <row r="46" spans="1:16" s="167" customFormat="1">
      <c r="A46" s="167" t="s">
        <v>86</v>
      </c>
      <c r="B46" s="167" t="s">
        <v>86</v>
      </c>
      <c r="C46" s="167" t="s">
        <v>12</v>
      </c>
      <c r="D46" s="167" t="s">
        <v>102</v>
      </c>
      <c r="E46" s="167" t="s">
        <v>104</v>
      </c>
      <c r="F46" s="167" t="s">
        <v>89</v>
      </c>
      <c r="G46" s="167" t="s">
        <v>91</v>
      </c>
      <c r="H46" s="167">
        <f>+Resumen!E15</f>
        <v>7531</v>
      </c>
      <c r="I46" s="167">
        <f>+Resumen!F15</f>
        <v>0</v>
      </c>
      <c r="J46" s="167">
        <f>+Resumen!G15</f>
        <v>7531</v>
      </c>
      <c r="K46" s="167">
        <f>+Resumen!H15</f>
        <v>6675.1660000000002</v>
      </c>
      <c r="L46" s="167">
        <f>+Resumen!I15</f>
        <v>855.83399999999983</v>
      </c>
      <c r="M46" s="168">
        <f>+Resumen!J15</f>
        <v>0.88635851812508304</v>
      </c>
      <c r="N46" s="169" t="s">
        <v>69</v>
      </c>
      <c r="O46" s="170">
        <f>+Resumen!C$4</f>
        <v>44725</v>
      </c>
      <c r="P46" s="45">
        <v>2022</v>
      </c>
    </row>
    <row r="47" spans="1:16">
      <c r="A47" s="159" t="s">
        <v>94</v>
      </c>
      <c r="B47" s="159" t="s">
        <v>94</v>
      </c>
      <c r="C47" s="159" t="s">
        <v>95</v>
      </c>
      <c r="D47" s="159" t="s">
        <v>96</v>
      </c>
      <c r="E47" s="159" t="str">
        <f>+'Artesanal S.española XV-IV'!D7</f>
        <v>MACROZONA XV - I</v>
      </c>
      <c r="F47" s="159" t="s">
        <v>89</v>
      </c>
      <c r="G47" s="159" t="s">
        <v>91</v>
      </c>
      <c r="H47" s="159">
        <f>+'Artesanal S.española XV-IV'!F7</f>
        <v>630</v>
      </c>
      <c r="I47" s="45">
        <f>+'Artesanal S.española XV-IV'!G7</f>
        <v>0</v>
      </c>
      <c r="J47" s="45">
        <f>+'Artesanal S.española XV-IV'!H7</f>
        <v>630</v>
      </c>
      <c r="K47" s="45">
        <f>+'Artesanal S.española XV-IV'!I7</f>
        <v>0</v>
      </c>
      <c r="L47" s="45">
        <f>+'Artesanal S.española XV-IV'!J7</f>
        <v>630</v>
      </c>
      <c r="M47" s="19">
        <f>+'Artesanal S.española XV-IV'!K7</f>
        <v>0</v>
      </c>
      <c r="N47" s="73" t="s">
        <v>69</v>
      </c>
      <c r="O47" s="36">
        <f>+Resumen!C$4</f>
        <v>44725</v>
      </c>
      <c r="P47" s="45">
        <v>2022</v>
      </c>
    </row>
    <row r="48" spans="1:16" s="163" customFormat="1">
      <c r="A48" s="163" t="s">
        <v>94</v>
      </c>
      <c r="B48" s="163" t="s">
        <v>94</v>
      </c>
      <c r="C48" s="163" t="s">
        <v>95</v>
      </c>
      <c r="D48" s="163" t="s">
        <v>96</v>
      </c>
      <c r="E48" s="163" t="s">
        <v>103</v>
      </c>
      <c r="F48" s="163" t="s">
        <v>89</v>
      </c>
      <c r="G48" s="163" t="s">
        <v>91</v>
      </c>
      <c r="H48" s="163">
        <f>+'Artesanal S.española XV-IV'!M7</f>
        <v>630</v>
      </c>
      <c r="I48" s="163">
        <f>+'Artesanal S.española XV-IV'!N7</f>
        <v>0</v>
      </c>
      <c r="J48" s="163">
        <f>+'Artesanal S.española XV-IV'!O7</f>
        <v>630</v>
      </c>
      <c r="K48" s="163">
        <f>+'Artesanal S.española XV-IV'!P7</f>
        <v>0</v>
      </c>
      <c r="L48" s="163">
        <f>+'Artesanal S.española XV-IV'!Q7</f>
        <v>630</v>
      </c>
      <c r="M48" s="164">
        <f>+'Artesanal S.española XV-IV'!R7</f>
        <v>0</v>
      </c>
      <c r="N48" s="165" t="s">
        <v>69</v>
      </c>
      <c r="O48" s="166">
        <f>+Resumen!C$4</f>
        <v>44725</v>
      </c>
      <c r="P48" s="45">
        <v>2022</v>
      </c>
    </row>
    <row r="49" spans="1:16" s="159" customFormat="1">
      <c r="A49" s="159" t="s">
        <v>94</v>
      </c>
      <c r="B49" s="159" t="s">
        <v>94</v>
      </c>
      <c r="C49" s="159" t="s">
        <v>10</v>
      </c>
      <c r="D49" s="159" t="s">
        <v>101</v>
      </c>
      <c r="E49" s="159" t="str">
        <f>+'Artesanal S.española XV-IV'!D8</f>
        <v>REGIÓN II</v>
      </c>
      <c r="F49" s="159" t="s">
        <v>89</v>
      </c>
      <c r="G49" s="159" t="s">
        <v>91</v>
      </c>
      <c r="H49" s="159">
        <f>+'Artesanal S.española XV-IV'!F8</f>
        <v>2385</v>
      </c>
      <c r="I49" s="159">
        <f>+'Artesanal S.española XV-IV'!G8</f>
        <v>0</v>
      </c>
      <c r="J49" s="159">
        <f>+'Artesanal S.española XV-IV'!H8</f>
        <v>2385</v>
      </c>
      <c r="K49" s="159">
        <f>+'Artesanal S.española XV-IV'!I8</f>
        <v>386.464</v>
      </c>
      <c r="L49" s="159">
        <f>+'Artesanal S.española XV-IV'!J8</f>
        <v>1998.5360000000001</v>
      </c>
      <c r="M49" s="160">
        <f>+'Artesanal S.española XV-IV'!K8</f>
        <v>0.16203941299790356</v>
      </c>
      <c r="N49" s="161" t="s">
        <v>69</v>
      </c>
      <c r="O49" s="162">
        <f>+Resumen!C$4</f>
        <v>44725</v>
      </c>
      <c r="P49" s="45">
        <v>2022</v>
      </c>
    </row>
    <row r="50" spans="1:16" s="163" customFormat="1">
      <c r="A50" s="163" t="s">
        <v>94</v>
      </c>
      <c r="B50" s="163" t="s">
        <v>94</v>
      </c>
      <c r="C50" s="163" t="s">
        <v>10</v>
      </c>
      <c r="D50" s="163" t="s">
        <v>101</v>
      </c>
      <c r="E50" s="163" t="s">
        <v>103</v>
      </c>
      <c r="F50" s="163" t="s">
        <v>89</v>
      </c>
      <c r="G50" s="163" t="s">
        <v>91</v>
      </c>
      <c r="H50" s="163">
        <f>+'Artesanal S.española XV-IV'!M8</f>
        <v>2385</v>
      </c>
      <c r="I50" s="163">
        <f>+'Artesanal S.española XV-IV'!N8</f>
        <v>0</v>
      </c>
      <c r="J50" s="163">
        <f>+'Artesanal S.española XV-IV'!O8</f>
        <v>2385</v>
      </c>
      <c r="K50" s="163">
        <f>+'Artesanal S.española XV-IV'!P8</f>
        <v>386.464</v>
      </c>
      <c r="L50" s="163">
        <f>+'Artesanal S.española XV-IV'!Q8</f>
        <v>1998.5360000000001</v>
      </c>
      <c r="M50" s="164">
        <f>+'Artesanal S.española XV-IV'!R8</f>
        <v>0.16203941299790356</v>
      </c>
      <c r="N50" s="165" t="s">
        <v>69</v>
      </c>
      <c r="O50" s="166">
        <f>+Resumen!C$4</f>
        <v>44725</v>
      </c>
      <c r="P50" s="45">
        <v>2022</v>
      </c>
    </row>
    <row r="51" spans="1:16" s="159" customFormat="1">
      <c r="A51" s="159" t="s">
        <v>94</v>
      </c>
      <c r="B51" s="159" t="s">
        <v>94</v>
      </c>
      <c r="C51" s="159" t="s">
        <v>11</v>
      </c>
      <c r="D51" s="159" t="s">
        <v>101</v>
      </c>
      <c r="E51" s="159" t="str">
        <f>+'Artesanal S.española XV-IV'!D10</f>
        <v>REGIÓN III</v>
      </c>
      <c r="F51" s="159" t="s">
        <v>89</v>
      </c>
      <c r="G51" s="159" t="s">
        <v>91</v>
      </c>
      <c r="H51" s="159">
        <f>+'Artesanal S.española XV-IV'!F10</f>
        <v>650</v>
      </c>
      <c r="I51" s="159">
        <f>+'Artesanal S.española XV-IV'!G10</f>
        <v>0</v>
      </c>
      <c r="J51" s="159">
        <f>+'Artesanal S.española XV-IV'!H10</f>
        <v>650</v>
      </c>
      <c r="K51" s="159">
        <f>+'Artesanal S.española XV-IV'!I10</f>
        <v>23.321999999999999</v>
      </c>
      <c r="L51" s="159">
        <f>+'Artesanal S.española XV-IV'!J10</f>
        <v>626.678</v>
      </c>
      <c r="M51" s="160">
        <f>+'Artesanal S.española XV-IV'!K10</f>
        <v>3.5880000000000002E-2</v>
      </c>
      <c r="N51" s="161" t="s">
        <v>69</v>
      </c>
      <c r="O51" s="162">
        <f>+Resumen!C$4</f>
        <v>44725</v>
      </c>
      <c r="P51" s="45">
        <v>2022</v>
      </c>
    </row>
    <row r="52" spans="1:16" s="163" customFormat="1">
      <c r="A52" s="163" t="s">
        <v>94</v>
      </c>
      <c r="B52" s="163" t="s">
        <v>94</v>
      </c>
      <c r="C52" s="163" t="s">
        <v>11</v>
      </c>
      <c r="D52" s="163" t="s">
        <v>101</v>
      </c>
      <c r="E52" s="163" t="s">
        <v>103</v>
      </c>
      <c r="F52" s="163" t="s">
        <v>89</v>
      </c>
      <c r="G52" s="163" t="s">
        <v>91</v>
      </c>
      <c r="H52" s="163">
        <f>+'Artesanal S.española XV-IV'!M10</f>
        <v>650</v>
      </c>
      <c r="I52" s="163">
        <f>+'Artesanal S.española XV-IV'!N10</f>
        <v>0</v>
      </c>
      <c r="J52" s="163">
        <f>+'Artesanal S.española XV-IV'!O10</f>
        <v>650</v>
      </c>
      <c r="K52" s="163">
        <f>+'Artesanal S.española XV-IV'!P10</f>
        <v>23.321999999999999</v>
      </c>
      <c r="L52" s="163">
        <f>+'Artesanal S.española XV-IV'!Q10</f>
        <v>626.678</v>
      </c>
      <c r="M52" s="164">
        <f>+'Artesanal S.española XV-IV'!R10</f>
        <v>3.5880000000000002E-2</v>
      </c>
      <c r="N52" s="165" t="s">
        <v>69</v>
      </c>
      <c r="O52" s="166">
        <f>+Resumen!C$4</f>
        <v>44725</v>
      </c>
      <c r="P52" s="45">
        <v>2022</v>
      </c>
    </row>
    <row r="53" spans="1:16" s="159" customFormat="1">
      <c r="A53" s="159" t="s">
        <v>94</v>
      </c>
      <c r="B53" s="159" t="s">
        <v>94</v>
      </c>
      <c r="C53" s="159" t="s">
        <v>12</v>
      </c>
      <c r="D53" s="159" t="s">
        <v>101</v>
      </c>
      <c r="E53" s="159" t="str">
        <f>+'Artesanal S.española XV-IV'!D11</f>
        <v>REGIÓN IV</v>
      </c>
      <c r="F53" s="159" t="s">
        <v>89</v>
      </c>
      <c r="G53" s="159" t="s">
        <v>91</v>
      </c>
      <c r="H53" s="159">
        <f>+'Artesanal S.española XV-IV'!F11</f>
        <v>650</v>
      </c>
      <c r="I53" s="159">
        <f>+'Artesanal S.española XV-IV'!G11</f>
        <v>0</v>
      </c>
      <c r="J53" s="159">
        <f>+'Artesanal S.española XV-IV'!H11</f>
        <v>650</v>
      </c>
      <c r="K53" s="159">
        <f>+'Artesanal S.española XV-IV'!I11</f>
        <v>46.037999999999997</v>
      </c>
      <c r="L53" s="159">
        <f>+'Artesanal S.española XV-IV'!J11</f>
        <v>603.96199999999999</v>
      </c>
      <c r="M53" s="160">
        <f>+'Artesanal S.española XV-IV'!K11</f>
        <v>7.08276923076923E-2</v>
      </c>
      <c r="N53" s="161" t="s">
        <v>69</v>
      </c>
      <c r="O53" s="162">
        <f>+Resumen!C$4</f>
        <v>44725</v>
      </c>
      <c r="P53" s="45">
        <v>2022</v>
      </c>
    </row>
    <row r="54" spans="1:16" s="163" customFormat="1">
      <c r="A54" s="163" t="s">
        <v>94</v>
      </c>
      <c r="B54" s="163" t="s">
        <v>94</v>
      </c>
      <c r="C54" s="163" t="s">
        <v>12</v>
      </c>
      <c r="D54" s="163" t="s">
        <v>101</v>
      </c>
      <c r="E54" s="163" t="s">
        <v>103</v>
      </c>
      <c r="F54" s="163" t="s">
        <v>89</v>
      </c>
      <c r="G54" s="163" t="s">
        <v>91</v>
      </c>
      <c r="H54" s="163">
        <f>+'Artesanal S.española XV-IV'!M11</f>
        <v>650</v>
      </c>
      <c r="I54" s="163">
        <f>+'Artesanal S.española XV-IV'!N11</f>
        <v>0</v>
      </c>
      <c r="J54" s="163">
        <f>+'Artesanal S.española XV-IV'!O11</f>
        <v>650</v>
      </c>
      <c r="K54" s="163">
        <f>+'Artesanal S.española XV-IV'!P11</f>
        <v>46.037999999999997</v>
      </c>
      <c r="L54" s="163">
        <f>+'Artesanal S.española XV-IV'!Q11</f>
        <v>603.96199999999999</v>
      </c>
      <c r="M54" s="164">
        <f>+'Artesanal S.española XV-IV'!R11</f>
        <v>7.08276923076923E-2</v>
      </c>
      <c r="N54" s="165" t="s">
        <v>69</v>
      </c>
      <c r="O54" s="166">
        <f>+Resumen!C$4</f>
        <v>44725</v>
      </c>
      <c r="P54" s="45">
        <v>2022</v>
      </c>
    </row>
    <row r="55" spans="1:16">
      <c r="A55" s="39"/>
      <c r="B55" s="39"/>
    </row>
    <row r="56" spans="1:16">
      <c r="A56" s="39"/>
      <c r="B56" s="39"/>
    </row>
    <row r="57" spans="1:16">
      <c r="A57" s="39"/>
      <c r="B57" s="39"/>
    </row>
  </sheetData>
  <autoFilter ref="A1:Q54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2:S21"/>
  <sheetViews>
    <sheetView zoomScale="98" zoomScaleNormal="98" workbookViewId="0">
      <selection activeCell="I9" sqref="I9"/>
    </sheetView>
  </sheetViews>
  <sheetFormatPr baseColWidth="10" defaultRowHeight="15"/>
  <cols>
    <col min="1" max="1" width="2.85546875" customWidth="1"/>
    <col min="2" max="2" width="22.7109375" customWidth="1"/>
    <col min="3" max="3" width="21.5703125" customWidth="1"/>
    <col min="4" max="4" width="19.7109375" style="1" customWidth="1"/>
    <col min="5" max="5" width="8.85546875" bestFit="1" customWidth="1"/>
    <col min="6" max="6" width="12.28515625" customWidth="1"/>
    <col min="7" max="7" width="12.7109375" bestFit="1" customWidth="1"/>
    <col min="10" max="10" width="11.42578125" style="45"/>
  </cols>
  <sheetData>
    <row r="2" spans="2:19">
      <c r="B2" s="276" t="s">
        <v>194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</row>
    <row r="3" spans="2:19" s="18" customFormat="1"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</row>
    <row r="4" spans="2:19">
      <c r="B4" s="268">
        <f>+Resumen!C4</f>
        <v>44725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2:19">
      <c r="N5" s="279" t="s">
        <v>68</v>
      </c>
      <c r="O5" s="279"/>
      <c r="P5" s="279"/>
      <c r="Q5" s="279"/>
      <c r="R5" s="279"/>
      <c r="S5" s="279"/>
    </row>
    <row r="6" spans="2:19" ht="30">
      <c r="B6" s="8" t="s">
        <v>17</v>
      </c>
      <c r="C6" s="61" t="s">
        <v>130</v>
      </c>
      <c r="D6" s="9" t="s">
        <v>26</v>
      </c>
      <c r="E6" s="9" t="s">
        <v>20</v>
      </c>
      <c r="F6" s="8" t="s">
        <v>31</v>
      </c>
      <c r="G6" s="9" t="s">
        <v>4</v>
      </c>
      <c r="H6" s="8" t="s">
        <v>32</v>
      </c>
      <c r="I6" s="68" t="s">
        <v>133</v>
      </c>
      <c r="J6" s="131" t="s">
        <v>190</v>
      </c>
      <c r="K6" s="68" t="s">
        <v>132</v>
      </c>
      <c r="L6" s="9" t="s">
        <v>33</v>
      </c>
      <c r="M6" s="9" t="s">
        <v>34</v>
      </c>
      <c r="N6" s="15" t="s">
        <v>31</v>
      </c>
      <c r="O6" s="16" t="s">
        <v>4</v>
      </c>
      <c r="P6" s="16" t="s">
        <v>32</v>
      </c>
      <c r="Q6" s="16" t="s">
        <v>6</v>
      </c>
      <c r="R6" s="16" t="s">
        <v>7</v>
      </c>
      <c r="S6" s="16" t="s">
        <v>33</v>
      </c>
    </row>
    <row r="7" spans="2:19" ht="30">
      <c r="B7" s="280" t="s">
        <v>18</v>
      </c>
      <c r="C7" s="135" t="s">
        <v>23</v>
      </c>
      <c r="D7" s="136" t="s">
        <v>97</v>
      </c>
      <c r="E7" s="12" t="s">
        <v>53</v>
      </c>
      <c r="F7" s="55">
        <v>103965</v>
      </c>
      <c r="G7" s="53"/>
      <c r="H7" s="53">
        <f t="shared" ref="H7:H13" si="0">+F7+G7</f>
        <v>103965</v>
      </c>
      <c r="I7" s="56">
        <v>100418.3</v>
      </c>
      <c r="J7" s="56"/>
      <c r="K7" s="53">
        <f t="shared" ref="K7:K13" si="1">+H7-I7</f>
        <v>3546.6999999999971</v>
      </c>
      <c r="L7" s="86">
        <f t="shared" ref="L7:L13" si="2">+I7/H7</f>
        <v>0.96588563458856347</v>
      </c>
      <c r="M7" s="198">
        <v>44688</v>
      </c>
      <c r="N7" s="138">
        <f t="shared" ref="N7:O12" si="3">+F7</f>
        <v>103965</v>
      </c>
      <c r="O7" s="138">
        <f t="shared" si="3"/>
        <v>0</v>
      </c>
      <c r="P7" s="138">
        <f>+N7+O7</f>
        <v>103965</v>
      </c>
      <c r="Q7" s="138">
        <f t="shared" ref="Q7:Q13" si="4">+I7</f>
        <v>100418.3</v>
      </c>
      <c r="R7" s="138">
        <f t="shared" ref="R7:R13" si="5">+P7-Q7</f>
        <v>3546.6999999999971</v>
      </c>
      <c r="S7" s="139">
        <f t="shared" ref="S7:S13" si="6">+Q7/P7</f>
        <v>0.96588563458856347</v>
      </c>
    </row>
    <row r="8" spans="2:19">
      <c r="B8" s="281"/>
      <c r="C8" s="194" t="s">
        <v>24</v>
      </c>
      <c r="D8" s="195" t="s">
        <v>98</v>
      </c>
      <c r="E8" s="12" t="s">
        <v>53</v>
      </c>
      <c r="F8" s="55">
        <v>39604</v>
      </c>
      <c r="G8" s="53"/>
      <c r="H8" s="53">
        <f t="shared" si="0"/>
        <v>39604</v>
      </c>
      <c r="I8" s="56">
        <v>35603.285000000003</v>
      </c>
      <c r="J8" s="56"/>
      <c r="K8" s="53">
        <f t="shared" si="1"/>
        <v>4000.7149999999965</v>
      </c>
      <c r="L8" s="14">
        <f t="shared" si="2"/>
        <v>0.89898204726795283</v>
      </c>
      <c r="M8" s="127">
        <v>44671</v>
      </c>
      <c r="N8" s="196">
        <f>F8</f>
        <v>39604</v>
      </c>
      <c r="O8" s="196">
        <f t="shared" si="3"/>
        <v>0</v>
      </c>
      <c r="P8" s="196">
        <f>+N8+O8</f>
        <v>39604</v>
      </c>
      <c r="Q8" s="196">
        <f t="shared" si="4"/>
        <v>35603.285000000003</v>
      </c>
      <c r="R8" s="196">
        <f t="shared" si="5"/>
        <v>4000.7149999999965</v>
      </c>
      <c r="S8" s="197">
        <f t="shared" si="6"/>
        <v>0.89898204726795283</v>
      </c>
    </row>
    <row r="9" spans="2:19" s="45" customFormat="1">
      <c r="B9" s="282"/>
      <c r="C9" s="67" t="s">
        <v>131</v>
      </c>
      <c r="D9" s="65" t="s">
        <v>15</v>
      </c>
      <c r="E9" s="12" t="s">
        <v>53</v>
      </c>
      <c r="F9" s="55">
        <v>1000</v>
      </c>
      <c r="G9" s="53"/>
      <c r="H9" s="53">
        <f t="shared" si="0"/>
        <v>1000</v>
      </c>
      <c r="I9" s="126"/>
      <c r="J9" s="126"/>
      <c r="K9" s="53">
        <f t="shared" si="1"/>
        <v>1000</v>
      </c>
      <c r="L9" s="14">
        <f t="shared" si="2"/>
        <v>0</v>
      </c>
      <c r="M9" s="127" t="s">
        <v>69</v>
      </c>
      <c r="N9" s="63">
        <f t="shared" si="3"/>
        <v>1000</v>
      </c>
      <c r="O9" s="63">
        <f t="shared" si="3"/>
        <v>0</v>
      </c>
      <c r="P9" s="63">
        <f>+H9</f>
        <v>1000</v>
      </c>
      <c r="Q9" s="63">
        <f t="shared" si="4"/>
        <v>0</v>
      </c>
      <c r="R9" s="63">
        <f t="shared" si="5"/>
        <v>1000</v>
      </c>
      <c r="S9" s="64">
        <f t="shared" si="6"/>
        <v>0</v>
      </c>
    </row>
    <row r="10" spans="2:19">
      <c r="B10" s="277" t="s">
        <v>21</v>
      </c>
      <c r="C10" s="11" t="s">
        <v>25</v>
      </c>
      <c r="D10" s="37" t="s">
        <v>99</v>
      </c>
      <c r="E10" s="12" t="s">
        <v>53</v>
      </c>
      <c r="F10" s="55">
        <v>17571</v>
      </c>
      <c r="G10" s="53"/>
      <c r="H10" s="53">
        <f t="shared" si="0"/>
        <v>17571</v>
      </c>
      <c r="I10" s="56">
        <v>11423</v>
      </c>
      <c r="J10" s="56"/>
      <c r="K10" s="53">
        <f t="shared" si="1"/>
        <v>6148</v>
      </c>
      <c r="L10" s="86">
        <f t="shared" si="2"/>
        <v>0.65010528712082405</v>
      </c>
      <c r="M10" s="127" t="s">
        <v>69</v>
      </c>
      <c r="N10" s="54">
        <f t="shared" si="3"/>
        <v>17571</v>
      </c>
      <c r="O10" s="54">
        <f t="shared" si="3"/>
        <v>0</v>
      </c>
      <c r="P10" s="54">
        <f>+N10+O10</f>
        <v>17571</v>
      </c>
      <c r="Q10" s="54">
        <f t="shared" si="4"/>
        <v>11423</v>
      </c>
      <c r="R10" s="54">
        <f t="shared" si="5"/>
        <v>6148</v>
      </c>
      <c r="S10" s="17">
        <f t="shared" si="6"/>
        <v>0.65010528712082405</v>
      </c>
    </row>
    <row r="11" spans="2:19">
      <c r="B11" s="278"/>
      <c r="C11" s="283" t="s">
        <v>27</v>
      </c>
      <c r="D11" s="37" t="s">
        <v>206</v>
      </c>
      <c r="E11" s="12" t="s">
        <v>53</v>
      </c>
      <c r="F11" s="55">
        <v>7454.5720000000001</v>
      </c>
      <c r="G11" s="53"/>
      <c r="H11" s="53">
        <f t="shared" si="0"/>
        <v>7454.5720000000001</v>
      </c>
      <c r="I11" s="56">
        <v>6557.0789999999997</v>
      </c>
      <c r="J11" s="56"/>
      <c r="K11" s="53">
        <f t="shared" si="1"/>
        <v>897.49300000000039</v>
      </c>
      <c r="L11" s="86">
        <f t="shared" si="2"/>
        <v>0.87960502628454051</v>
      </c>
      <c r="M11" s="127" t="s">
        <v>69</v>
      </c>
      <c r="N11" s="54">
        <f t="shared" si="3"/>
        <v>7454.5720000000001</v>
      </c>
      <c r="O11" s="54">
        <f t="shared" si="3"/>
        <v>0</v>
      </c>
      <c r="P11" s="54">
        <f>+N11+O11</f>
        <v>7454.5720000000001</v>
      </c>
      <c r="Q11" s="54">
        <f t="shared" si="4"/>
        <v>6557.0789999999997</v>
      </c>
      <c r="R11" s="54">
        <f t="shared" si="5"/>
        <v>897.49300000000039</v>
      </c>
      <c r="S11" s="17">
        <f t="shared" si="6"/>
        <v>0.87960502628454051</v>
      </c>
    </row>
    <row r="12" spans="2:19" s="45" customFormat="1">
      <c r="B12" s="278"/>
      <c r="C12" s="284"/>
      <c r="D12" s="181" t="s">
        <v>207</v>
      </c>
      <c r="E12" s="12" t="s">
        <v>53</v>
      </c>
      <c r="F12" s="173">
        <v>76.427999999999997</v>
      </c>
      <c r="G12" s="174"/>
      <c r="H12" s="174">
        <f t="shared" si="0"/>
        <v>76.427999999999997</v>
      </c>
      <c r="I12" s="175">
        <v>118.087</v>
      </c>
      <c r="J12" s="175"/>
      <c r="K12" s="174">
        <f t="shared" si="1"/>
        <v>-41.659000000000006</v>
      </c>
      <c r="L12" s="182">
        <f t="shared" si="2"/>
        <v>1.545075103365259</v>
      </c>
      <c r="M12" s="183">
        <v>44676</v>
      </c>
      <c r="N12" s="140">
        <f t="shared" si="3"/>
        <v>76.427999999999997</v>
      </c>
      <c r="O12" s="54">
        <f>+G12</f>
        <v>0</v>
      </c>
      <c r="P12" s="54">
        <f>+N12+O12</f>
        <v>76.427999999999997</v>
      </c>
      <c r="Q12" s="54">
        <f t="shared" si="4"/>
        <v>118.087</v>
      </c>
      <c r="R12" s="54">
        <f t="shared" si="5"/>
        <v>-41.659000000000006</v>
      </c>
      <c r="S12" s="17">
        <f t="shared" si="6"/>
        <v>1.545075103365259</v>
      </c>
    </row>
    <row r="13" spans="2:19" s="45" customFormat="1">
      <c r="B13" s="278"/>
      <c r="C13" s="66" t="s">
        <v>131</v>
      </c>
      <c r="D13" s="37" t="s">
        <v>16</v>
      </c>
      <c r="E13" s="12" t="s">
        <v>53</v>
      </c>
      <c r="F13" s="55">
        <v>500</v>
      </c>
      <c r="G13" s="53"/>
      <c r="H13" s="53">
        <f t="shared" si="0"/>
        <v>500</v>
      </c>
      <c r="I13" s="126"/>
      <c r="J13" s="126"/>
      <c r="K13" s="53">
        <f t="shared" si="1"/>
        <v>500</v>
      </c>
      <c r="L13" s="14">
        <f t="shared" si="2"/>
        <v>0</v>
      </c>
      <c r="M13" s="127" t="s">
        <v>69</v>
      </c>
      <c r="N13" s="54">
        <f>+F13</f>
        <v>500</v>
      </c>
      <c r="O13" s="54">
        <f>+G13</f>
        <v>0</v>
      </c>
      <c r="P13" s="54">
        <f>+H13</f>
        <v>500</v>
      </c>
      <c r="Q13" s="54">
        <f t="shared" si="4"/>
        <v>0</v>
      </c>
      <c r="R13" s="54">
        <f t="shared" si="5"/>
        <v>500</v>
      </c>
      <c r="S13" s="17">
        <f t="shared" si="6"/>
        <v>0</v>
      </c>
    </row>
    <row r="14" spans="2:19">
      <c r="B14" s="3"/>
      <c r="F14" s="70"/>
    </row>
    <row r="17" spans="2:5">
      <c r="E17" s="45"/>
    </row>
    <row r="20" spans="2:5">
      <c r="B20" s="45"/>
    </row>
    <row r="21" spans="2:5">
      <c r="B21" s="45"/>
    </row>
  </sheetData>
  <mergeCells count="6">
    <mergeCell ref="B2:S3"/>
    <mergeCell ref="B10:B13"/>
    <mergeCell ref="B4:S4"/>
    <mergeCell ref="N5:S5"/>
    <mergeCell ref="B7:B9"/>
    <mergeCell ref="C11:C12"/>
  </mergeCells>
  <conditionalFormatting sqref="K7:K13">
    <cfRule type="cellIs" dxfId="8" priority="3" operator="lessThan">
      <formula>0</formula>
    </cfRule>
  </conditionalFormatting>
  <conditionalFormatting sqref="S10:S13 S7:S8 L7:L13">
    <cfRule type="cellIs" dxfId="7" priority="2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H10 P10:P11 P8 H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workbookViewId="0">
      <selection activeCell="E11" sqref="E11"/>
    </sheetView>
  </sheetViews>
  <sheetFormatPr baseColWidth="10" defaultRowHeight="15"/>
  <cols>
    <col min="2" max="2" width="18.7109375" customWidth="1"/>
    <col min="3" max="3" width="27.28515625" customWidth="1"/>
    <col min="4" max="4" width="22.28515625" bestFit="1" customWidth="1"/>
    <col min="5" max="5" width="24.42578125" bestFit="1" customWidth="1"/>
    <col min="6" max="6" width="10.7109375" bestFit="1" customWidth="1"/>
    <col min="7" max="7" width="12.7109375" bestFit="1" customWidth="1"/>
    <col min="8" max="8" width="13.42578125" bestFit="1" customWidth="1"/>
  </cols>
  <sheetData>
    <row r="2" spans="2:9">
      <c r="B2" s="285" t="s">
        <v>197</v>
      </c>
      <c r="C2" s="285"/>
      <c r="D2" s="285"/>
      <c r="E2" s="285"/>
      <c r="F2" s="285"/>
      <c r="G2" s="285"/>
      <c r="H2" s="285"/>
      <c r="I2" s="285"/>
    </row>
    <row r="3" spans="2:9">
      <c r="B3" s="286">
        <f>Resumen!C4</f>
        <v>44725</v>
      </c>
      <c r="C3" s="286"/>
      <c r="D3" s="286"/>
      <c r="E3" s="286"/>
      <c r="F3" s="286"/>
      <c r="G3" s="286"/>
      <c r="H3" s="286"/>
      <c r="I3" s="286"/>
    </row>
    <row r="4" spans="2:9">
      <c r="B4" s="52"/>
      <c r="C4" s="52"/>
      <c r="D4" s="52"/>
      <c r="E4" s="52"/>
      <c r="F4" s="52"/>
      <c r="G4" s="52"/>
      <c r="H4" s="52"/>
      <c r="I4" s="52"/>
    </row>
    <row r="5" spans="2:9">
      <c r="B5" s="128" t="s">
        <v>156</v>
      </c>
      <c r="C5" s="128" t="s">
        <v>26</v>
      </c>
      <c r="D5" s="128" t="s">
        <v>35</v>
      </c>
      <c r="E5" s="128" t="s">
        <v>157</v>
      </c>
      <c r="F5" s="128" t="s">
        <v>158</v>
      </c>
      <c r="G5" s="128" t="s">
        <v>159</v>
      </c>
      <c r="H5" s="128" t="s">
        <v>160</v>
      </c>
      <c r="I5" s="128" t="s">
        <v>34</v>
      </c>
    </row>
    <row r="6" spans="2:9" s="45" customFormat="1">
      <c r="B6" s="130" t="s">
        <v>30</v>
      </c>
      <c r="C6" s="132" t="s">
        <v>189</v>
      </c>
      <c r="D6" s="134" t="s">
        <v>205</v>
      </c>
      <c r="E6" s="176">
        <v>7265.7</v>
      </c>
      <c r="F6" s="123">
        <v>7260</v>
      </c>
      <c r="G6" s="124">
        <f>E6-F6</f>
        <v>5.6999999999998181</v>
      </c>
      <c r="H6" s="74">
        <f>F6/E6</f>
        <v>0.99921549196911519</v>
      </c>
      <c r="I6" s="123" t="s">
        <v>69</v>
      </c>
    </row>
    <row r="7" spans="2:9">
      <c r="B7" s="150" t="s">
        <v>27</v>
      </c>
      <c r="C7" s="129" t="s">
        <v>28</v>
      </c>
      <c r="D7" s="134" t="s">
        <v>205</v>
      </c>
      <c r="E7" s="176">
        <v>188.19399999999951</v>
      </c>
      <c r="F7" s="82">
        <v>188.19399999999999</v>
      </c>
      <c r="G7" s="133">
        <f>E7-F7</f>
        <v>-4.8316906031686813E-13</v>
      </c>
      <c r="H7" s="74">
        <f>F7/E7</f>
        <v>1.0000000000000027</v>
      </c>
      <c r="I7" s="134" t="s">
        <v>69</v>
      </c>
    </row>
  </sheetData>
  <mergeCells count="2">
    <mergeCell ref="B2:I2"/>
    <mergeCell ref="B3:I3"/>
  </mergeCells>
  <phoneticPr fontId="3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2"/>
  <sheetViews>
    <sheetView workbookViewId="0">
      <selection activeCell="L17" sqref="L17"/>
    </sheetView>
  </sheetViews>
  <sheetFormatPr baseColWidth="10" defaultRowHeight="15"/>
  <cols>
    <col min="2" max="2" width="8" bestFit="1" customWidth="1"/>
    <col min="3" max="3" width="15.5703125" bestFit="1" customWidth="1"/>
    <col min="4" max="4" width="7" bestFit="1" customWidth="1"/>
    <col min="5" max="5" width="22.28515625" bestFit="1" customWidth="1"/>
    <col min="6" max="6" width="24.42578125" bestFit="1" customWidth="1"/>
    <col min="7" max="7" width="10.7109375" bestFit="1" customWidth="1"/>
    <col min="8" max="8" width="8.7109375" bestFit="1" customWidth="1"/>
    <col min="9" max="9" width="13.42578125" bestFit="1" customWidth="1"/>
  </cols>
  <sheetData>
    <row r="2" spans="2:9">
      <c r="B2" s="179" t="s">
        <v>101</v>
      </c>
      <c r="C2" s="179" t="s">
        <v>203</v>
      </c>
      <c r="D2" s="179" t="s">
        <v>119</v>
      </c>
      <c r="E2" s="179" t="s">
        <v>204</v>
      </c>
      <c r="F2" s="180" t="s">
        <v>308</v>
      </c>
      <c r="G2" s="180" t="s">
        <v>158</v>
      </c>
      <c r="H2" s="180" t="s">
        <v>159</v>
      </c>
      <c r="I2" s="180" t="s">
        <v>160</v>
      </c>
    </row>
    <row r="3" spans="2:9">
      <c r="B3" s="144" t="s">
        <v>11</v>
      </c>
      <c r="C3" s="144" t="s">
        <v>170</v>
      </c>
      <c r="D3" s="144">
        <v>913444</v>
      </c>
      <c r="E3" s="134" t="s">
        <v>205</v>
      </c>
      <c r="F3" s="293">
        <v>13072.517</v>
      </c>
      <c r="G3" s="178">
        <v>671</v>
      </c>
      <c r="H3" s="290">
        <f>F3-(G3+G4+G5+G6+G7+G8+G9+G10+G11+G12+G13+G14+G15+G16+G17)</f>
        <v>3970.5169999999998</v>
      </c>
      <c r="I3" s="287">
        <f>(G3+G4+G5+G6+G7+G8+G9+G10+G11+G12+G13+G14+G15+G16+G17)/F3</f>
        <v>0.69626989201849954</v>
      </c>
    </row>
    <row r="4" spans="2:9">
      <c r="B4" s="144" t="s">
        <v>11</v>
      </c>
      <c r="C4" s="144" t="s">
        <v>171</v>
      </c>
      <c r="D4" s="144">
        <v>966244</v>
      </c>
      <c r="E4" s="134" t="s">
        <v>205</v>
      </c>
      <c r="F4" s="295"/>
      <c r="G4" s="178"/>
      <c r="H4" s="291"/>
      <c r="I4" s="288"/>
    </row>
    <row r="5" spans="2:9">
      <c r="B5" s="144" t="s">
        <v>11</v>
      </c>
      <c r="C5" s="144" t="s">
        <v>172</v>
      </c>
      <c r="D5" s="144">
        <v>968467</v>
      </c>
      <c r="E5" s="134" t="s">
        <v>205</v>
      </c>
      <c r="F5" s="295"/>
      <c r="G5" s="178">
        <v>284</v>
      </c>
      <c r="H5" s="291"/>
      <c r="I5" s="288"/>
    </row>
    <row r="6" spans="2:9">
      <c r="B6" s="144" t="s">
        <v>11</v>
      </c>
      <c r="C6" s="144" t="s">
        <v>173</v>
      </c>
      <c r="D6" s="144">
        <v>950657</v>
      </c>
      <c r="E6" s="134" t="s">
        <v>205</v>
      </c>
      <c r="F6" s="295"/>
      <c r="G6" s="178">
        <v>1070</v>
      </c>
      <c r="H6" s="291"/>
      <c r="I6" s="288"/>
    </row>
    <row r="7" spans="2:9">
      <c r="B7" s="144" t="s">
        <v>11</v>
      </c>
      <c r="C7" s="144" t="s">
        <v>191</v>
      </c>
      <c r="D7" s="144">
        <v>960352</v>
      </c>
      <c r="E7" s="134" t="s">
        <v>205</v>
      </c>
      <c r="F7" s="295"/>
      <c r="G7" s="178">
        <v>523</v>
      </c>
      <c r="H7" s="291"/>
      <c r="I7" s="288"/>
    </row>
    <row r="8" spans="2:9">
      <c r="B8" s="144" t="s">
        <v>11</v>
      </c>
      <c r="C8" s="144" t="s">
        <v>174</v>
      </c>
      <c r="D8" s="144">
        <v>951110</v>
      </c>
      <c r="E8" s="134" t="s">
        <v>205</v>
      </c>
      <c r="F8" s="295"/>
      <c r="G8" s="178">
        <v>718</v>
      </c>
      <c r="H8" s="291"/>
      <c r="I8" s="288"/>
    </row>
    <row r="9" spans="2:9">
      <c r="B9" s="144" t="s">
        <v>11</v>
      </c>
      <c r="C9" s="144" t="s">
        <v>192</v>
      </c>
      <c r="D9" s="144">
        <v>969269</v>
      </c>
      <c r="E9" s="134" t="s">
        <v>205</v>
      </c>
      <c r="F9" s="295"/>
      <c r="G9" s="178">
        <v>1012</v>
      </c>
      <c r="H9" s="291"/>
      <c r="I9" s="288"/>
    </row>
    <row r="10" spans="2:9">
      <c r="B10" s="144" t="s">
        <v>11</v>
      </c>
      <c r="C10" s="144" t="s">
        <v>175</v>
      </c>
      <c r="D10" s="144">
        <v>963710</v>
      </c>
      <c r="E10" s="134" t="s">
        <v>205</v>
      </c>
      <c r="F10" s="295"/>
      <c r="G10" s="178">
        <v>1143</v>
      </c>
      <c r="H10" s="291"/>
      <c r="I10" s="288"/>
    </row>
    <row r="11" spans="2:9">
      <c r="B11" s="144" t="s">
        <v>11</v>
      </c>
      <c r="C11" s="144" t="s">
        <v>176</v>
      </c>
      <c r="D11" s="144">
        <v>923206</v>
      </c>
      <c r="E11" s="134" t="s">
        <v>205</v>
      </c>
      <c r="F11" s="295"/>
      <c r="G11" s="178"/>
      <c r="H11" s="291"/>
      <c r="I11" s="288"/>
    </row>
    <row r="12" spans="2:9">
      <c r="B12" s="144" t="s">
        <v>11</v>
      </c>
      <c r="C12" s="144" t="s">
        <v>177</v>
      </c>
      <c r="D12" s="144">
        <v>962529</v>
      </c>
      <c r="E12" s="134" t="s">
        <v>205</v>
      </c>
      <c r="F12" s="295"/>
      <c r="G12" s="178">
        <v>737</v>
      </c>
      <c r="H12" s="291"/>
      <c r="I12" s="288"/>
    </row>
    <row r="13" spans="2:9">
      <c r="B13" s="144" t="s">
        <v>11</v>
      </c>
      <c r="C13" s="144" t="s">
        <v>178</v>
      </c>
      <c r="D13" s="144">
        <v>967677</v>
      </c>
      <c r="E13" s="134" t="s">
        <v>205</v>
      </c>
      <c r="F13" s="295"/>
      <c r="G13" s="178">
        <v>955</v>
      </c>
      <c r="H13" s="291"/>
      <c r="I13" s="288"/>
    </row>
    <row r="14" spans="2:9">
      <c r="B14" s="144" t="s">
        <v>11</v>
      </c>
      <c r="C14" s="144" t="s">
        <v>179</v>
      </c>
      <c r="D14" s="144">
        <v>35893</v>
      </c>
      <c r="E14" s="134" t="s">
        <v>205</v>
      </c>
      <c r="F14" s="295"/>
      <c r="G14" s="178">
        <v>406</v>
      </c>
      <c r="H14" s="291"/>
      <c r="I14" s="288"/>
    </row>
    <row r="15" spans="2:9">
      <c r="B15" s="144" t="s">
        <v>11</v>
      </c>
      <c r="C15" s="144" t="s">
        <v>180</v>
      </c>
      <c r="D15" s="144">
        <v>955847</v>
      </c>
      <c r="E15" s="134" t="s">
        <v>205</v>
      </c>
      <c r="F15" s="295"/>
      <c r="G15" s="178">
        <v>597</v>
      </c>
      <c r="H15" s="291"/>
      <c r="I15" s="288"/>
    </row>
    <row r="16" spans="2:9">
      <c r="B16" s="144" t="s">
        <v>11</v>
      </c>
      <c r="C16" s="144" t="s">
        <v>181</v>
      </c>
      <c r="D16" s="144">
        <v>951184</v>
      </c>
      <c r="E16" s="134" t="s">
        <v>205</v>
      </c>
      <c r="F16" s="295"/>
      <c r="G16" s="178">
        <v>83</v>
      </c>
      <c r="H16" s="291"/>
      <c r="I16" s="288"/>
    </row>
    <row r="17" spans="2:9">
      <c r="B17" s="144" t="s">
        <v>11</v>
      </c>
      <c r="C17" s="144" t="s">
        <v>182</v>
      </c>
      <c r="D17" s="144">
        <v>955947</v>
      </c>
      <c r="E17" s="134" t="s">
        <v>205</v>
      </c>
      <c r="F17" s="296"/>
      <c r="G17" s="178">
        <v>903</v>
      </c>
      <c r="H17" s="292"/>
      <c r="I17" s="289"/>
    </row>
    <row r="18" spans="2:9">
      <c r="B18" s="144" t="s">
        <v>12</v>
      </c>
      <c r="C18" s="144" t="s">
        <v>145</v>
      </c>
      <c r="D18" s="144">
        <v>965236</v>
      </c>
      <c r="E18" s="134" t="s">
        <v>205</v>
      </c>
      <c r="F18" s="293">
        <v>924.14299999999821</v>
      </c>
      <c r="G18" s="178">
        <v>79.78</v>
      </c>
      <c r="H18" s="290">
        <f>(F18-(G18+G19+G20+G21+G22+G23+G24+G25+G26+G27+G28+G29+G30+G31+G32))</f>
        <v>0.49999999999818101</v>
      </c>
      <c r="I18" s="287">
        <f>(G18+G19+G20+G21+G22+G23+G24+G25+G26+G27+G28+G29+G30+G31+G32)/F18</f>
        <v>0.99945895819153729</v>
      </c>
    </row>
    <row r="19" spans="2:9">
      <c r="B19" s="144" t="s">
        <v>12</v>
      </c>
      <c r="C19" s="144" t="s">
        <v>162</v>
      </c>
      <c r="D19" s="144">
        <v>901588</v>
      </c>
      <c r="E19" s="134" t="s">
        <v>205</v>
      </c>
      <c r="F19" s="295"/>
      <c r="G19" s="178">
        <v>118.02200000000001</v>
      </c>
      <c r="H19" s="291"/>
      <c r="I19" s="288"/>
    </row>
    <row r="20" spans="2:9">
      <c r="B20" s="144" t="s">
        <v>12</v>
      </c>
      <c r="C20" s="144" t="s">
        <v>184</v>
      </c>
      <c r="D20" s="144">
        <v>966397</v>
      </c>
      <c r="E20" s="134" t="s">
        <v>205</v>
      </c>
      <c r="F20" s="295"/>
      <c r="G20" s="178">
        <v>27.86</v>
      </c>
      <c r="H20" s="291"/>
      <c r="I20" s="288"/>
    </row>
    <row r="21" spans="2:9">
      <c r="B21" s="144" t="s">
        <v>12</v>
      </c>
      <c r="C21" s="144" t="s">
        <v>146</v>
      </c>
      <c r="D21" s="144">
        <v>964933</v>
      </c>
      <c r="E21" s="134" t="s">
        <v>205</v>
      </c>
      <c r="F21" s="295"/>
      <c r="G21" s="178"/>
      <c r="H21" s="291"/>
      <c r="I21" s="288"/>
    </row>
    <row r="22" spans="2:9">
      <c r="B22" s="144" t="s">
        <v>12</v>
      </c>
      <c r="C22" s="177" t="s">
        <v>185</v>
      </c>
      <c r="D22" s="177">
        <v>960563</v>
      </c>
      <c r="E22" s="134" t="s">
        <v>205</v>
      </c>
      <c r="F22" s="295"/>
      <c r="G22" s="178">
        <v>152.49199999999999</v>
      </c>
      <c r="H22" s="291"/>
      <c r="I22" s="288"/>
    </row>
    <row r="23" spans="2:9">
      <c r="B23" s="144" t="s">
        <v>12</v>
      </c>
      <c r="C23" s="177" t="s">
        <v>163</v>
      </c>
      <c r="D23" s="177">
        <v>960673</v>
      </c>
      <c r="E23" s="134" t="s">
        <v>205</v>
      </c>
      <c r="F23" s="295"/>
      <c r="G23" s="178"/>
      <c r="H23" s="291"/>
      <c r="I23" s="288"/>
    </row>
    <row r="24" spans="2:9">
      <c r="B24" s="144" t="s">
        <v>12</v>
      </c>
      <c r="C24" s="177" t="s">
        <v>164</v>
      </c>
      <c r="D24" s="177">
        <v>923266</v>
      </c>
      <c r="E24" s="134" t="s">
        <v>205</v>
      </c>
      <c r="F24" s="295"/>
      <c r="G24" s="178">
        <v>154.77199999999999</v>
      </c>
      <c r="H24" s="291"/>
      <c r="I24" s="288"/>
    </row>
    <row r="25" spans="2:9">
      <c r="B25" s="144" t="s">
        <v>12</v>
      </c>
      <c r="C25" s="177" t="s">
        <v>165</v>
      </c>
      <c r="D25" s="177">
        <v>957989</v>
      </c>
      <c r="E25" s="134" t="s">
        <v>205</v>
      </c>
      <c r="F25" s="295"/>
      <c r="G25" s="178">
        <v>86.778000000000006</v>
      </c>
      <c r="H25" s="291"/>
      <c r="I25" s="288"/>
    </row>
    <row r="26" spans="2:9">
      <c r="B26" s="144" t="s">
        <v>12</v>
      </c>
      <c r="C26" s="177" t="s">
        <v>166</v>
      </c>
      <c r="D26" s="177">
        <v>966707</v>
      </c>
      <c r="E26" s="134" t="s">
        <v>205</v>
      </c>
      <c r="F26" s="295"/>
      <c r="G26" s="178">
        <v>150.00899999999999</v>
      </c>
      <c r="H26" s="291"/>
      <c r="I26" s="288"/>
    </row>
    <row r="27" spans="2:9">
      <c r="B27" s="144" t="s">
        <v>12</v>
      </c>
      <c r="C27" s="177" t="s">
        <v>186</v>
      </c>
      <c r="D27" s="177">
        <v>958708</v>
      </c>
      <c r="E27" s="134" t="s">
        <v>205</v>
      </c>
      <c r="F27" s="295"/>
      <c r="G27" s="178"/>
      <c r="H27" s="291"/>
      <c r="I27" s="288"/>
    </row>
    <row r="28" spans="2:9">
      <c r="B28" s="144" t="s">
        <v>12</v>
      </c>
      <c r="C28" s="177" t="s">
        <v>167</v>
      </c>
      <c r="D28" s="177">
        <v>953023</v>
      </c>
      <c r="E28" s="134" t="s">
        <v>205</v>
      </c>
      <c r="F28" s="295"/>
      <c r="G28" s="178">
        <v>29.404</v>
      </c>
      <c r="H28" s="291"/>
      <c r="I28" s="288"/>
    </row>
    <row r="29" spans="2:9">
      <c r="B29" s="144" t="s">
        <v>12</v>
      </c>
      <c r="C29" s="177" t="s">
        <v>187</v>
      </c>
      <c r="D29" s="177">
        <v>923167</v>
      </c>
      <c r="E29" s="134" t="s">
        <v>205</v>
      </c>
      <c r="F29" s="295"/>
      <c r="G29" s="178"/>
      <c r="H29" s="291"/>
      <c r="I29" s="288"/>
    </row>
    <row r="30" spans="2:9">
      <c r="B30" s="144" t="s">
        <v>12</v>
      </c>
      <c r="C30" s="177" t="s">
        <v>168</v>
      </c>
      <c r="D30" s="177">
        <v>956427</v>
      </c>
      <c r="E30" s="134" t="s">
        <v>205</v>
      </c>
      <c r="F30" s="295"/>
      <c r="G30" s="178">
        <v>70.585999999999999</v>
      </c>
      <c r="H30" s="291"/>
      <c r="I30" s="288"/>
    </row>
    <row r="31" spans="2:9">
      <c r="B31" s="144" t="s">
        <v>12</v>
      </c>
      <c r="C31" s="177" t="s">
        <v>169</v>
      </c>
      <c r="D31" s="177">
        <v>950875</v>
      </c>
      <c r="E31" s="134" t="s">
        <v>205</v>
      </c>
      <c r="F31" s="295"/>
      <c r="G31" s="178">
        <v>53.94</v>
      </c>
      <c r="H31" s="291"/>
      <c r="I31" s="288"/>
    </row>
    <row r="32" spans="2:9">
      <c r="B32" s="144" t="s">
        <v>12</v>
      </c>
      <c r="C32" s="177" t="s">
        <v>188</v>
      </c>
      <c r="D32" s="177">
        <v>968871</v>
      </c>
      <c r="E32" s="134" t="s">
        <v>205</v>
      </c>
      <c r="F32" s="296"/>
      <c r="G32" s="178"/>
      <c r="H32" s="292"/>
      <c r="I32" s="289"/>
    </row>
    <row r="33" spans="2:9">
      <c r="B33" s="144" t="s">
        <v>12</v>
      </c>
      <c r="C33" s="144" t="s">
        <v>147</v>
      </c>
      <c r="D33" s="144">
        <v>955952</v>
      </c>
      <c r="E33" s="134" t="s">
        <v>205</v>
      </c>
      <c r="F33" s="293">
        <v>213.81700000000001</v>
      </c>
      <c r="G33" s="178"/>
      <c r="H33" s="290">
        <f>F33-(G33+G34+G35+G36+G37+G38+G39+G40+G41)</f>
        <v>0</v>
      </c>
      <c r="I33" s="287">
        <f>(G33+G34+G35+G36+G37+G38+G39+G40+G41)/F33</f>
        <v>0.99999999999999989</v>
      </c>
    </row>
    <row r="34" spans="2:9">
      <c r="B34" s="144" t="s">
        <v>12</v>
      </c>
      <c r="C34" s="144" t="s">
        <v>148</v>
      </c>
      <c r="D34" s="144">
        <v>965267</v>
      </c>
      <c r="E34" s="134" t="s">
        <v>205</v>
      </c>
      <c r="F34" s="295"/>
      <c r="G34" s="178">
        <v>68.031000000000006</v>
      </c>
      <c r="H34" s="291"/>
      <c r="I34" s="288"/>
    </row>
    <row r="35" spans="2:9">
      <c r="B35" s="144" t="s">
        <v>12</v>
      </c>
      <c r="C35" s="144" t="s">
        <v>149</v>
      </c>
      <c r="D35" s="144">
        <v>969387</v>
      </c>
      <c r="E35" s="134" t="s">
        <v>205</v>
      </c>
      <c r="F35" s="295"/>
      <c r="G35" s="178"/>
      <c r="H35" s="291"/>
      <c r="I35" s="288"/>
    </row>
    <row r="36" spans="2:9">
      <c r="B36" s="144" t="s">
        <v>12</v>
      </c>
      <c r="C36" s="144" t="s">
        <v>150</v>
      </c>
      <c r="D36" s="144">
        <v>969425</v>
      </c>
      <c r="E36" s="134" t="s">
        <v>205</v>
      </c>
      <c r="F36" s="295"/>
      <c r="G36" s="178">
        <v>45.600999999999999</v>
      </c>
      <c r="H36" s="291"/>
      <c r="I36" s="288"/>
    </row>
    <row r="37" spans="2:9">
      <c r="B37" s="144" t="s">
        <v>12</v>
      </c>
      <c r="C37" s="144" t="s">
        <v>151</v>
      </c>
      <c r="D37" s="144">
        <v>967553</v>
      </c>
      <c r="E37" s="134" t="s">
        <v>205</v>
      </c>
      <c r="F37" s="295"/>
      <c r="G37" s="178"/>
      <c r="H37" s="291"/>
      <c r="I37" s="288"/>
    </row>
    <row r="38" spans="2:9">
      <c r="B38" s="144" t="s">
        <v>12</v>
      </c>
      <c r="C38" s="144" t="s">
        <v>152</v>
      </c>
      <c r="D38" s="144">
        <v>968930</v>
      </c>
      <c r="E38" s="134" t="s">
        <v>205</v>
      </c>
      <c r="F38" s="295"/>
      <c r="G38" s="178">
        <v>9.5640000000000001</v>
      </c>
      <c r="H38" s="291"/>
      <c r="I38" s="288"/>
    </row>
    <row r="39" spans="2:9">
      <c r="B39" s="144" t="s">
        <v>12</v>
      </c>
      <c r="C39" s="144" t="s">
        <v>153</v>
      </c>
      <c r="D39" s="144">
        <v>968704</v>
      </c>
      <c r="E39" s="134" t="s">
        <v>205</v>
      </c>
      <c r="F39" s="295"/>
      <c r="G39" s="178">
        <v>38.771000000000001</v>
      </c>
      <c r="H39" s="291"/>
      <c r="I39" s="288"/>
    </row>
    <row r="40" spans="2:9">
      <c r="B40" s="144" t="s">
        <v>12</v>
      </c>
      <c r="C40" s="144" t="s">
        <v>154</v>
      </c>
      <c r="D40" s="144">
        <v>957378</v>
      </c>
      <c r="E40" s="134" t="s">
        <v>205</v>
      </c>
      <c r="F40" s="295"/>
      <c r="G40" s="178">
        <v>51.85</v>
      </c>
      <c r="H40" s="291"/>
      <c r="I40" s="288"/>
    </row>
    <row r="41" spans="2:9">
      <c r="B41" s="144" t="s">
        <v>12</v>
      </c>
      <c r="C41" s="144" t="s">
        <v>155</v>
      </c>
      <c r="D41" s="144">
        <v>969467</v>
      </c>
      <c r="E41" s="134" t="s">
        <v>205</v>
      </c>
      <c r="F41" s="296"/>
      <c r="G41" s="178"/>
      <c r="H41" s="292"/>
      <c r="I41" s="289"/>
    </row>
    <row r="42" spans="2:9">
      <c r="B42" s="147" t="s">
        <v>12</v>
      </c>
      <c r="C42" s="144" t="s">
        <v>148</v>
      </c>
      <c r="D42" s="144">
        <v>965267</v>
      </c>
      <c r="E42" s="134" t="s">
        <v>205</v>
      </c>
      <c r="F42" s="293">
        <v>500</v>
      </c>
      <c r="G42" s="178"/>
      <c r="H42" s="290">
        <f>F42-(G42+G43+G44+G45+G46+G47+G48)</f>
        <v>0</v>
      </c>
      <c r="I42" s="287">
        <f>(G42+G43+G44+G45+G46+G47+G48)/F42</f>
        <v>1</v>
      </c>
    </row>
    <row r="43" spans="2:9">
      <c r="B43" s="147" t="s">
        <v>12</v>
      </c>
      <c r="C43" s="144" t="s">
        <v>149</v>
      </c>
      <c r="D43" s="144">
        <v>969387</v>
      </c>
      <c r="E43" s="134" t="s">
        <v>205</v>
      </c>
      <c r="F43" s="297"/>
      <c r="G43" s="178">
        <v>128.52000000000001</v>
      </c>
      <c r="H43" s="291"/>
      <c r="I43" s="288"/>
    </row>
    <row r="44" spans="2:9">
      <c r="B44" s="147" t="s">
        <v>12</v>
      </c>
      <c r="C44" s="144" t="s">
        <v>150</v>
      </c>
      <c r="D44" s="144">
        <v>969425</v>
      </c>
      <c r="E44" s="134" t="s">
        <v>205</v>
      </c>
      <c r="F44" s="297"/>
      <c r="G44" s="178">
        <v>67.768000000000001</v>
      </c>
      <c r="H44" s="291"/>
      <c r="I44" s="288"/>
    </row>
    <row r="45" spans="2:9">
      <c r="B45" s="147" t="s">
        <v>12</v>
      </c>
      <c r="C45" s="144" t="s">
        <v>152</v>
      </c>
      <c r="D45" s="144">
        <v>968930</v>
      </c>
      <c r="E45" s="134" t="s">
        <v>205</v>
      </c>
      <c r="F45" s="297"/>
      <c r="G45" s="178">
        <v>115.285</v>
      </c>
      <c r="H45" s="291"/>
      <c r="I45" s="288"/>
    </row>
    <row r="46" spans="2:9">
      <c r="B46" s="147" t="s">
        <v>12</v>
      </c>
      <c r="C46" s="144" t="s">
        <v>153</v>
      </c>
      <c r="D46" s="144">
        <v>968704</v>
      </c>
      <c r="E46" s="134" t="s">
        <v>205</v>
      </c>
      <c r="F46" s="297"/>
      <c r="G46" s="178">
        <v>111.048</v>
      </c>
      <c r="H46" s="291"/>
      <c r="I46" s="288"/>
    </row>
    <row r="47" spans="2:9">
      <c r="B47" s="147" t="s">
        <v>12</v>
      </c>
      <c r="C47" s="144" t="s">
        <v>154</v>
      </c>
      <c r="D47" s="144">
        <v>957378</v>
      </c>
      <c r="E47" s="134" t="s">
        <v>205</v>
      </c>
      <c r="F47" s="297"/>
      <c r="G47" s="178">
        <v>77.379000000000005</v>
      </c>
      <c r="H47" s="291"/>
      <c r="I47" s="288"/>
    </row>
    <row r="48" spans="2:9">
      <c r="B48" s="147" t="s">
        <v>12</v>
      </c>
      <c r="C48" s="144" t="s">
        <v>155</v>
      </c>
      <c r="D48" s="144">
        <v>969467</v>
      </c>
      <c r="E48" s="134" t="s">
        <v>205</v>
      </c>
      <c r="F48" s="294"/>
      <c r="G48" s="178"/>
      <c r="H48" s="292"/>
      <c r="I48" s="289"/>
    </row>
    <row r="49" spans="2:9">
      <c r="B49" s="144" t="s">
        <v>12</v>
      </c>
      <c r="C49" s="144" t="s">
        <v>148</v>
      </c>
      <c r="D49" s="144">
        <v>965267</v>
      </c>
      <c r="E49" s="134" t="s">
        <v>205</v>
      </c>
      <c r="F49" s="293">
        <v>200</v>
      </c>
      <c r="G49" s="178"/>
      <c r="H49" s="290">
        <f>F49-(G49+G50+G51+G52+G53)</f>
        <v>0</v>
      </c>
      <c r="I49" s="287">
        <f>(G49+G50+G51+G52+G53)/F49</f>
        <v>1</v>
      </c>
    </row>
    <row r="50" spans="2:9">
      <c r="B50" s="144" t="s">
        <v>12</v>
      </c>
      <c r="C50" s="144" t="s">
        <v>150</v>
      </c>
      <c r="D50" s="144">
        <v>969425</v>
      </c>
      <c r="E50" s="134" t="s">
        <v>205</v>
      </c>
      <c r="F50" s="297"/>
      <c r="G50" s="178">
        <v>54.56</v>
      </c>
      <c r="H50" s="291"/>
      <c r="I50" s="288"/>
    </row>
    <row r="51" spans="2:9">
      <c r="B51" s="144" t="s">
        <v>12</v>
      </c>
      <c r="C51" s="144" t="s">
        <v>153</v>
      </c>
      <c r="D51" s="144">
        <v>968704</v>
      </c>
      <c r="E51" s="134" t="s">
        <v>205</v>
      </c>
      <c r="F51" s="297"/>
      <c r="G51" s="178">
        <v>46.497</v>
      </c>
      <c r="H51" s="291"/>
      <c r="I51" s="288"/>
    </row>
    <row r="52" spans="2:9">
      <c r="B52" s="144" t="s">
        <v>12</v>
      </c>
      <c r="C52" s="144" t="s">
        <v>154</v>
      </c>
      <c r="D52" s="144">
        <v>957378</v>
      </c>
      <c r="E52" s="134" t="s">
        <v>205</v>
      </c>
      <c r="F52" s="297"/>
      <c r="G52" s="178">
        <v>42.253</v>
      </c>
      <c r="H52" s="291"/>
      <c r="I52" s="288"/>
    </row>
    <row r="53" spans="2:9">
      <c r="B53" s="144" t="s">
        <v>12</v>
      </c>
      <c r="C53" s="144" t="s">
        <v>155</v>
      </c>
      <c r="D53" s="144">
        <v>969467</v>
      </c>
      <c r="E53" s="134" t="s">
        <v>205</v>
      </c>
      <c r="F53" s="294"/>
      <c r="G53" s="178">
        <v>56.69</v>
      </c>
      <c r="H53" s="292"/>
      <c r="I53" s="289"/>
    </row>
    <row r="54" spans="2:9">
      <c r="B54" s="144" t="s">
        <v>12</v>
      </c>
      <c r="C54" s="147" t="s">
        <v>161</v>
      </c>
      <c r="D54" s="144">
        <v>697578</v>
      </c>
      <c r="E54" s="134" t="s">
        <v>205</v>
      </c>
      <c r="F54" s="293">
        <v>1250</v>
      </c>
      <c r="G54" s="178"/>
      <c r="H54" s="290">
        <f>F54-(G54+G55+G56+G57+G58+G59+G60+G61+G62+G63+G64+G65+G66+G67+G68+G69+G70)</f>
        <v>0</v>
      </c>
      <c r="I54" s="287">
        <f>(G54+G55+G56+G57+G58+G59+G60+G61+G62+G63+G64+G65+G66+G67+G68+G69+G70)/F54</f>
        <v>1.0000000000000002</v>
      </c>
    </row>
    <row r="55" spans="2:9">
      <c r="B55" s="144" t="s">
        <v>12</v>
      </c>
      <c r="C55" s="147" t="s">
        <v>145</v>
      </c>
      <c r="D55" s="144">
        <v>965236</v>
      </c>
      <c r="E55" s="134" t="s">
        <v>205</v>
      </c>
      <c r="F55" s="297"/>
      <c r="G55" s="178">
        <v>115.256</v>
      </c>
      <c r="H55" s="291"/>
      <c r="I55" s="288"/>
    </row>
    <row r="56" spans="2:9">
      <c r="B56" s="144" t="s">
        <v>12</v>
      </c>
      <c r="C56" s="147" t="s">
        <v>162</v>
      </c>
      <c r="D56" s="144">
        <v>901588</v>
      </c>
      <c r="E56" s="134" t="s">
        <v>205</v>
      </c>
      <c r="F56" s="297"/>
      <c r="G56" s="178">
        <v>129.071</v>
      </c>
      <c r="H56" s="291"/>
      <c r="I56" s="288"/>
    </row>
    <row r="57" spans="2:9">
      <c r="B57" s="144" t="s">
        <v>12</v>
      </c>
      <c r="C57" s="147" t="s">
        <v>184</v>
      </c>
      <c r="D57" s="144">
        <v>966397</v>
      </c>
      <c r="E57" s="134" t="s">
        <v>205</v>
      </c>
      <c r="F57" s="297"/>
      <c r="G57" s="178">
        <v>26.026</v>
      </c>
      <c r="H57" s="291"/>
      <c r="I57" s="288"/>
    </row>
    <row r="58" spans="2:9">
      <c r="B58" s="144" t="s">
        <v>12</v>
      </c>
      <c r="C58" s="147" t="s">
        <v>146</v>
      </c>
      <c r="D58" s="144">
        <v>964933</v>
      </c>
      <c r="E58" s="134" t="s">
        <v>205</v>
      </c>
      <c r="F58" s="297"/>
      <c r="G58" s="178">
        <v>155.886</v>
      </c>
      <c r="H58" s="291"/>
      <c r="I58" s="288"/>
    </row>
    <row r="59" spans="2:9">
      <c r="B59" s="144" t="s">
        <v>12</v>
      </c>
      <c r="C59" s="147" t="s">
        <v>185</v>
      </c>
      <c r="D59" s="144">
        <v>960563</v>
      </c>
      <c r="E59" s="134" t="s">
        <v>205</v>
      </c>
      <c r="F59" s="297"/>
      <c r="G59" s="178">
        <v>154.238</v>
      </c>
      <c r="H59" s="291"/>
      <c r="I59" s="288"/>
    </row>
    <row r="60" spans="2:9">
      <c r="B60" s="144" t="s">
        <v>12</v>
      </c>
      <c r="C60" s="147" t="s">
        <v>163</v>
      </c>
      <c r="D60" s="144">
        <v>960673</v>
      </c>
      <c r="E60" s="134" t="s">
        <v>205</v>
      </c>
      <c r="F60" s="297"/>
      <c r="G60" s="178"/>
      <c r="H60" s="291"/>
      <c r="I60" s="288"/>
    </row>
    <row r="61" spans="2:9">
      <c r="B61" s="144" t="s">
        <v>12</v>
      </c>
      <c r="C61" s="147" t="s">
        <v>188</v>
      </c>
      <c r="D61" s="144">
        <v>968871</v>
      </c>
      <c r="E61" s="134" t="s">
        <v>205</v>
      </c>
      <c r="F61" s="297"/>
      <c r="G61" s="178"/>
      <c r="H61" s="291"/>
      <c r="I61" s="288"/>
    </row>
    <row r="62" spans="2:9">
      <c r="B62" s="144" t="s">
        <v>12</v>
      </c>
      <c r="C62" s="147" t="s">
        <v>164</v>
      </c>
      <c r="D62" s="144">
        <v>923266</v>
      </c>
      <c r="E62" s="134" t="s">
        <v>205</v>
      </c>
      <c r="F62" s="297"/>
      <c r="G62" s="178">
        <v>165.57300000000001</v>
      </c>
      <c r="H62" s="291"/>
      <c r="I62" s="288"/>
    </row>
    <row r="63" spans="2:9">
      <c r="B63" s="144" t="s">
        <v>12</v>
      </c>
      <c r="C63" s="147" t="s">
        <v>166</v>
      </c>
      <c r="D63" s="144">
        <v>966707</v>
      </c>
      <c r="E63" s="134" t="s">
        <v>205</v>
      </c>
      <c r="F63" s="297"/>
      <c r="G63" s="178">
        <v>143.785</v>
      </c>
      <c r="H63" s="291"/>
      <c r="I63" s="288"/>
    </row>
    <row r="64" spans="2:9">
      <c r="B64" s="144" t="s">
        <v>12</v>
      </c>
      <c r="C64" s="147" t="s">
        <v>165</v>
      </c>
      <c r="D64" s="144">
        <v>957989</v>
      </c>
      <c r="E64" s="134" t="s">
        <v>205</v>
      </c>
      <c r="F64" s="297"/>
      <c r="G64" s="178">
        <v>178.13200000000001</v>
      </c>
      <c r="H64" s="291"/>
      <c r="I64" s="288"/>
    </row>
    <row r="65" spans="2:9">
      <c r="B65" s="144" t="s">
        <v>12</v>
      </c>
      <c r="C65" s="147" t="s">
        <v>186</v>
      </c>
      <c r="D65" s="144">
        <v>958708</v>
      </c>
      <c r="E65" s="134" t="s">
        <v>205</v>
      </c>
      <c r="F65" s="297"/>
      <c r="G65" s="178"/>
      <c r="H65" s="291"/>
      <c r="I65" s="288"/>
    </row>
    <row r="66" spans="2:9">
      <c r="B66" s="144" t="s">
        <v>12</v>
      </c>
      <c r="C66" s="147" t="s">
        <v>183</v>
      </c>
      <c r="D66" s="144">
        <v>966095</v>
      </c>
      <c r="E66" s="134" t="s">
        <v>205</v>
      </c>
      <c r="F66" s="297"/>
      <c r="G66" s="178">
        <v>51.13</v>
      </c>
      <c r="H66" s="291"/>
      <c r="I66" s="288"/>
    </row>
    <row r="67" spans="2:9">
      <c r="B67" s="144" t="s">
        <v>12</v>
      </c>
      <c r="C67" s="147" t="s">
        <v>167</v>
      </c>
      <c r="D67" s="144">
        <v>953023</v>
      </c>
      <c r="E67" s="134" t="s">
        <v>205</v>
      </c>
      <c r="F67" s="297"/>
      <c r="G67" s="178">
        <v>27.844000000000001</v>
      </c>
      <c r="H67" s="291"/>
      <c r="I67" s="288"/>
    </row>
    <row r="68" spans="2:9">
      <c r="B68" s="144" t="s">
        <v>12</v>
      </c>
      <c r="C68" s="147" t="s">
        <v>187</v>
      </c>
      <c r="D68" s="144">
        <v>923167</v>
      </c>
      <c r="E68" s="134" t="s">
        <v>205</v>
      </c>
      <c r="F68" s="297"/>
      <c r="G68" s="178"/>
      <c r="H68" s="291"/>
      <c r="I68" s="288"/>
    </row>
    <row r="69" spans="2:9">
      <c r="B69" s="144" t="s">
        <v>12</v>
      </c>
      <c r="C69" s="147" t="s">
        <v>168</v>
      </c>
      <c r="D69" s="144">
        <v>956427</v>
      </c>
      <c r="E69" s="134" t="s">
        <v>205</v>
      </c>
      <c r="F69" s="297"/>
      <c r="G69" s="178">
        <v>67.126000000000005</v>
      </c>
      <c r="H69" s="291"/>
      <c r="I69" s="288"/>
    </row>
    <row r="70" spans="2:9">
      <c r="B70" s="144" t="s">
        <v>12</v>
      </c>
      <c r="C70" s="147" t="s">
        <v>169</v>
      </c>
      <c r="D70" s="144">
        <v>950875</v>
      </c>
      <c r="E70" s="134" t="s">
        <v>205</v>
      </c>
      <c r="F70" s="294"/>
      <c r="G70" s="178">
        <v>35.933</v>
      </c>
      <c r="H70" s="292"/>
      <c r="I70" s="289"/>
    </row>
    <row r="71" spans="2:9">
      <c r="B71" s="147" t="s">
        <v>12</v>
      </c>
      <c r="C71" s="177" t="s">
        <v>186</v>
      </c>
      <c r="D71" s="144">
        <v>958708</v>
      </c>
      <c r="E71" s="134" t="s">
        <v>205</v>
      </c>
      <c r="F71" s="293">
        <v>561</v>
      </c>
      <c r="G71" s="178">
        <v>122.059</v>
      </c>
      <c r="H71" s="290">
        <f>F71-(G71+G72)</f>
        <v>266.36599999999999</v>
      </c>
      <c r="I71" s="287">
        <f>(G71+G72)/F71</f>
        <v>0.5251942959001783</v>
      </c>
    </row>
    <row r="72" spans="2:9">
      <c r="B72" s="147" t="s">
        <v>12</v>
      </c>
      <c r="C72" s="177" t="s">
        <v>187</v>
      </c>
      <c r="D72" s="144">
        <v>923167</v>
      </c>
      <c r="E72" s="134" t="s">
        <v>205</v>
      </c>
      <c r="F72" s="294"/>
      <c r="G72" s="178">
        <v>172.57499999999999</v>
      </c>
      <c r="H72" s="292"/>
      <c r="I72" s="289"/>
    </row>
  </sheetData>
  <autoFilter ref="B2:I72"/>
  <mergeCells count="21">
    <mergeCell ref="F71:F72"/>
    <mergeCell ref="H3:H17"/>
    <mergeCell ref="I3:I17"/>
    <mergeCell ref="H18:H32"/>
    <mergeCell ref="I18:I32"/>
    <mergeCell ref="H33:H41"/>
    <mergeCell ref="I33:I41"/>
    <mergeCell ref="H42:H48"/>
    <mergeCell ref="I42:I48"/>
    <mergeCell ref="H49:H53"/>
    <mergeCell ref="F3:F17"/>
    <mergeCell ref="F18:F32"/>
    <mergeCell ref="F33:F41"/>
    <mergeCell ref="F42:F48"/>
    <mergeCell ref="F49:F53"/>
    <mergeCell ref="F54:F70"/>
    <mergeCell ref="I49:I53"/>
    <mergeCell ref="H54:H70"/>
    <mergeCell ref="I54:I70"/>
    <mergeCell ref="H71:H72"/>
    <mergeCell ref="I71:I7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2:R13"/>
  <sheetViews>
    <sheetView workbookViewId="0">
      <selection activeCell="I8" sqref="I8"/>
    </sheetView>
  </sheetViews>
  <sheetFormatPr baseColWidth="10" defaultRowHeight="15"/>
  <cols>
    <col min="1" max="1" width="3" customWidth="1"/>
    <col min="2" max="2" width="17.140625" customWidth="1"/>
    <col min="3" max="3" width="19.140625" customWidth="1"/>
    <col min="4" max="4" width="18.140625" customWidth="1"/>
    <col min="5" max="5" width="8.85546875" bestFit="1" customWidth="1"/>
    <col min="6" max="6" width="9" bestFit="1" customWidth="1"/>
    <col min="7" max="7" width="12.85546875" bestFit="1" customWidth="1"/>
    <col min="8" max="8" width="9" bestFit="1" customWidth="1"/>
    <col min="9" max="9" width="9.140625" customWidth="1"/>
    <col min="10" max="10" width="9" bestFit="1" customWidth="1"/>
    <col min="13" max="13" width="9" bestFit="1" customWidth="1"/>
    <col min="14" max="14" width="12.85546875" bestFit="1" customWidth="1"/>
    <col min="15" max="15" width="9" bestFit="1" customWidth="1"/>
    <col min="16" max="16" width="9" customWidth="1"/>
    <col min="17" max="17" width="9" bestFit="1" customWidth="1"/>
    <col min="18" max="18" width="10.85546875" customWidth="1"/>
  </cols>
  <sheetData>
    <row r="2" spans="2:18">
      <c r="B2" s="276" t="s">
        <v>196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2:18"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4" spans="2:18">
      <c r="B4" s="268">
        <f>+Resumen!C4</f>
        <v>44725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</row>
    <row r="5" spans="2:18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279" t="s">
        <v>68</v>
      </c>
      <c r="N5" s="279"/>
      <c r="O5" s="279"/>
      <c r="P5" s="279"/>
      <c r="Q5" s="279"/>
      <c r="R5" s="279"/>
    </row>
    <row r="6" spans="2:18" ht="30">
      <c r="B6" s="60" t="s">
        <v>17</v>
      </c>
      <c r="C6" s="61" t="s">
        <v>130</v>
      </c>
      <c r="D6" s="58" t="s">
        <v>26</v>
      </c>
      <c r="E6" s="58" t="s">
        <v>20</v>
      </c>
      <c r="F6" s="60" t="s">
        <v>31</v>
      </c>
      <c r="G6" s="58" t="s">
        <v>4</v>
      </c>
      <c r="H6" s="60" t="s">
        <v>32</v>
      </c>
      <c r="I6" s="58" t="s">
        <v>6</v>
      </c>
      <c r="J6" s="58" t="s">
        <v>7</v>
      </c>
      <c r="K6" s="58" t="s">
        <v>33</v>
      </c>
      <c r="L6" s="58" t="s">
        <v>34</v>
      </c>
      <c r="M6" s="15" t="s">
        <v>31</v>
      </c>
      <c r="N6" s="16" t="s">
        <v>4</v>
      </c>
      <c r="O6" s="15" t="s">
        <v>32</v>
      </c>
      <c r="P6" s="16" t="s">
        <v>6</v>
      </c>
      <c r="Q6" s="16" t="s">
        <v>7</v>
      </c>
      <c r="R6" s="15" t="s">
        <v>33</v>
      </c>
    </row>
    <row r="7" spans="2:18" ht="30">
      <c r="B7" s="299" t="s">
        <v>19</v>
      </c>
      <c r="C7" s="135" t="s">
        <v>23</v>
      </c>
      <c r="D7" s="137" t="s">
        <v>97</v>
      </c>
      <c r="E7" s="12" t="s">
        <v>53</v>
      </c>
      <c r="F7" s="55">
        <v>630</v>
      </c>
      <c r="G7" s="53"/>
      <c r="H7" s="53">
        <f t="shared" ref="H7:H12" si="0">+F7+G7</f>
        <v>630</v>
      </c>
      <c r="I7" s="56"/>
      <c r="J7" s="53">
        <f t="shared" ref="J7:J12" si="1">+H7-I7</f>
        <v>630</v>
      </c>
      <c r="K7" s="14">
        <f t="shared" ref="K7:K12" si="2">+I7/H7</f>
        <v>0</v>
      </c>
      <c r="L7" s="59"/>
      <c r="M7" s="140">
        <f t="shared" ref="M7:N12" si="3">+F7</f>
        <v>630</v>
      </c>
      <c r="N7" s="140">
        <f t="shared" si="3"/>
        <v>0</v>
      </c>
      <c r="O7" s="140">
        <f>+M7+N7</f>
        <v>630</v>
      </c>
      <c r="P7" s="140">
        <f t="shared" ref="P7:P12" si="4">+I7</f>
        <v>0</v>
      </c>
      <c r="Q7" s="140">
        <f t="shared" ref="Q7:Q12" si="5">+O7-P7</f>
        <v>630</v>
      </c>
      <c r="R7" s="141">
        <f t="shared" ref="R7:R12" si="6">+P7/O7</f>
        <v>0</v>
      </c>
    </row>
    <row r="8" spans="2:18">
      <c r="B8" s="300"/>
      <c r="C8" s="142" t="s">
        <v>24</v>
      </c>
      <c r="D8" s="137" t="s">
        <v>98</v>
      </c>
      <c r="E8" s="12" t="s">
        <v>53</v>
      </c>
      <c r="F8" s="55">
        <v>2385</v>
      </c>
      <c r="G8" s="53"/>
      <c r="H8" s="53">
        <f t="shared" si="0"/>
        <v>2385</v>
      </c>
      <c r="I8" s="56">
        <v>386.464</v>
      </c>
      <c r="J8" s="53">
        <f t="shared" si="1"/>
        <v>1998.5360000000001</v>
      </c>
      <c r="K8" s="14">
        <f t="shared" si="2"/>
        <v>0.16203941299790356</v>
      </c>
      <c r="L8" s="59"/>
      <c r="M8" s="140">
        <f t="shared" si="3"/>
        <v>2385</v>
      </c>
      <c r="N8" s="140">
        <f t="shared" si="3"/>
        <v>0</v>
      </c>
      <c r="O8" s="140">
        <f>+M8+N8</f>
        <v>2385</v>
      </c>
      <c r="P8" s="140">
        <f t="shared" si="4"/>
        <v>386.464</v>
      </c>
      <c r="Q8" s="140">
        <f t="shared" si="5"/>
        <v>1998.5360000000001</v>
      </c>
      <c r="R8" s="141">
        <f t="shared" si="6"/>
        <v>0.16203941299790356</v>
      </c>
    </row>
    <row r="9" spans="2:18" s="45" customFormat="1">
      <c r="B9" s="301"/>
      <c r="C9" s="69" t="s">
        <v>131</v>
      </c>
      <c r="D9" s="65" t="s">
        <v>15</v>
      </c>
      <c r="E9" s="12" t="s">
        <v>53</v>
      </c>
      <c r="F9" s="55">
        <v>500</v>
      </c>
      <c r="G9" s="53"/>
      <c r="H9" s="53">
        <f t="shared" si="0"/>
        <v>500</v>
      </c>
      <c r="I9" s="126"/>
      <c r="J9" s="53">
        <f t="shared" si="1"/>
        <v>500</v>
      </c>
      <c r="K9" s="14">
        <f>+I9/H9</f>
        <v>0</v>
      </c>
      <c r="L9" s="62"/>
      <c r="M9" s="63">
        <f t="shared" si="3"/>
        <v>500</v>
      </c>
      <c r="N9" s="63">
        <f t="shared" si="3"/>
        <v>0</v>
      </c>
      <c r="O9" s="63">
        <f>+H9</f>
        <v>500</v>
      </c>
      <c r="P9" s="63">
        <f t="shared" si="4"/>
        <v>0</v>
      </c>
      <c r="Q9" s="63">
        <f t="shared" si="5"/>
        <v>500</v>
      </c>
      <c r="R9" s="64">
        <f t="shared" si="6"/>
        <v>0</v>
      </c>
    </row>
    <row r="10" spans="2:18" ht="15" customHeight="1">
      <c r="B10" s="298" t="s">
        <v>29</v>
      </c>
      <c r="C10" s="11" t="s">
        <v>30</v>
      </c>
      <c r="D10" s="37" t="s">
        <v>99</v>
      </c>
      <c r="E10" s="12" t="s">
        <v>53</v>
      </c>
      <c r="F10" s="55">
        <v>650</v>
      </c>
      <c r="G10" s="53"/>
      <c r="H10" s="53">
        <f t="shared" si="0"/>
        <v>650</v>
      </c>
      <c r="I10" s="56">
        <v>23.321999999999999</v>
      </c>
      <c r="J10" s="53">
        <f t="shared" si="1"/>
        <v>626.678</v>
      </c>
      <c r="K10" s="86">
        <f t="shared" si="2"/>
        <v>3.5880000000000002E-2</v>
      </c>
      <c r="L10" s="59"/>
      <c r="M10" s="54">
        <f t="shared" si="3"/>
        <v>650</v>
      </c>
      <c r="N10" s="54">
        <f t="shared" si="3"/>
        <v>0</v>
      </c>
      <c r="O10" s="54">
        <f>+M10+N10</f>
        <v>650</v>
      </c>
      <c r="P10" s="54">
        <f t="shared" si="4"/>
        <v>23.321999999999999</v>
      </c>
      <c r="Q10" s="54">
        <f t="shared" si="5"/>
        <v>626.678</v>
      </c>
      <c r="R10" s="84">
        <f t="shared" si="6"/>
        <v>3.5880000000000002E-2</v>
      </c>
    </row>
    <row r="11" spans="2:18">
      <c r="B11" s="298"/>
      <c r="C11" s="11" t="s">
        <v>27</v>
      </c>
      <c r="D11" s="37" t="s">
        <v>100</v>
      </c>
      <c r="E11" s="12" t="s">
        <v>53</v>
      </c>
      <c r="F11" s="55">
        <v>650</v>
      </c>
      <c r="G11" s="53"/>
      <c r="H11" s="53">
        <f t="shared" si="0"/>
        <v>650</v>
      </c>
      <c r="I11" s="56">
        <v>46.037999999999997</v>
      </c>
      <c r="J11" s="53">
        <f t="shared" si="1"/>
        <v>603.96199999999999</v>
      </c>
      <c r="K11" s="14">
        <f>+I11/H11</f>
        <v>7.08276923076923E-2</v>
      </c>
      <c r="L11" s="59"/>
      <c r="M11" s="54">
        <f t="shared" si="3"/>
        <v>650</v>
      </c>
      <c r="N11" s="54">
        <f t="shared" si="3"/>
        <v>0</v>
      </c>
      <c r="O11" s="54">
        <f>+M11+N11</f>
        <v>650</v>
      </c>
      <c r="P11" s="54">
        <f t="shared" si="4"/>
        <v>46.037999999999997</v>
      </c>
      <c r="Q11" s="54">
        <f t="shared" si="5"/>
        <v>603.96199999999999</v>
      </c>
      <c r="R11" s="84">
        <f t="shared" si="6"/>
        <v>7.08276923076923E-2</v>
      </c>
    </row>
    <row r="12" spans="2:18" s="45" customFormat="1">
      <c r="B12" s="298"/>
      <c r="C12" s="11" t="s">
        <v>131</v>
      </c>
      <c r="D12" s="37" t="s">
        <v>16</v>
      </c>
      <c r="E12" s="12" t="s">
        <v>53</v>
      </c>
      <c r="F12" s="55">
        <v>200</v>
      </c>
      <c r="G12" s="53"/>
      <c r="H12" s="53">
        <f t="shared" si="0"/>
        <v>200</v>
      </c>
      <c r="I12" s="56">
        <v>5.16</v>
      </c>
      <c r="J12" s="53">
        <f t="shared" si="1"/>
        <v>194.84</v>
      </c>
      <c r="K12" s="14">
        <f t="shared" si="2"/>
        <v>2.58E-2</v>
      </c>
      <c r="L12" s="62"/>
      <c r="M12" s="54">
        <f t="shared" si="3"/>
        <v>200</v>
      </c>
      <c r="N12" s="54">
        <f t="shared" si="3"/>
        <v>0</v>
      </c>
      <c r="O12" s="54">
        <f>+M12+N12</f>
        <v>200</v>
      </c>
      <c r="P12" s="54">
        <f t="shared" si="4"/>
        <v>5.16</v>
      </c>
      <c r="Q12" s="54">
        <f t="shared" si="5"/>
        <v>194.84</v>
      </c>
      <c r="R12" s="17">
        <f t="shared" si="6"/>
        <v>2.58E-2</v>
      </c>
    </row>
    <row r="13" spans="2:18">
      <c r="F13" s="71"/>
    </row>
  </sheetData>
  <mergeCells count="5">
    <mergeCell ref="B10:B12"/>
    <mergeCell ref="B7:B9"/>
    <mergeCell ref="B2:R3"/>
    <mergeCell ref="B4:R4"/>
    <mergeCell ref="M5:R5"/>
  </mergeCells>
  <conditionalFormatting sqref="J7:J9">
    <cfRule type="cellIs" dxfId="6" priority="6" operator="lessThan">
      <formula>0</formula>
    </cfRule>
  </conditionalFormatting>
  <conditionalFormatting sqref="K7:K9 R7:R9">
    <cfRule type="cellIs" dxfId="5" priority="5" operator="greaterThan">
      <formula>0.9</formula>
    </cfRule>
  </conditionalFormatting>
  <conditionalFormatting sqref="J10:J12">
    <cfRule type="cellIs" dxfId="4" priority="3" operator="lessThan">
      <formula>0</formula>
    </cfRule>
  </conditionalFormatting>
  <conditionalFormatting sqref="K10:K12">
    <cfRule type="cellIs" dxfId="3" priority="2" operator="greaterThan">
      <formula>0.9</formula>
    </cfRule>
  </conditionalFormatting>
  <conditionalFormatting sqref="R10:R12">
    <cfRule type="cellIs" dxfId="2" priority="1" operator="greaterThan">
      <formula>0.9</formula>
    </cfRule>
  </conditionalFormatting>
  <pageMargins left="0.7" right="0.7" top="0.75" bottom="0.75" header="0.3" footer="0.3"/>
  <pageSetup orientation="portrait" r:id="rId1"/>
  <ignoredErrors>
    <ignoredError sqref="O7 H8 O9:O12 O8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P47"/>
  <sheetViews>
    <sheetView zoomScale="90" zoomScaleNormal="90" workbookViewId="0">
      <selection activeCell="H16" sqref="H16"/>
    </sheetView>
  </sheetViews>
  <sheetFormatPr baseColWidth="10" defaultRowHeight="15"/>
  <cols>
    <col min="3" max="3" width="51.140625" customWidth="1"/>
    <col min="5" max="5" width="12" bestFit="1" customWidth="1"/>
    <col min="6" max="6" width="13.5703125" customWidth="1"/>
    <col min="7" max="7" width="12" bestFit="1" customWidth="1"/>
    <col min="9" max="9" width="12" bestFit="1" customWidth="1"/>
    <col min="10" max="10" width="13" style="19" bestFit="1" customWidth="1"/>
    <col min="11" max="11" width="14.5703125" customWidth="1"/>
    <col min="12" max="12" width="12.7109375" bestFit="1" customWidth="1"/>
    <col min="13" max="13" width="11.85546875" bestFit="1" customWidth="1"/>
    <col min="14" max="14" width="11.42578125" style="3"/>
    <col min="16" max="16" width="13" bestFit="1" customWidth="1"/>
  </cols>
  <sheetData>
    <row r="1" spans="2:16">
      <c r="J1"/>
    </row>
    <row r="2" spans="2:16">
      <c r="J2"/>
    </row>
    <row r="3" spans="2:16">
      <c r="J3"/>
    </row>
    <row r="4" spans="2:16" s="45" customFormat="1">
      <c r="N4" s="3"/>
    </row>
    <row r="5" spans="2:16" s="45" customFormat="1">
      <c r="B5" s="302" t="s">
        <v>198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6" s="45" customFormat="1"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</row>
    <row r="7" spans="2:16" s="45" customFormat="1">
      <c r="B7" s="268">
        <f>+Resumen!C4</f>
        <v>44725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</row>
    <row r="8" spans="2:16" s="45" customFormat="1" ht="15.75" thickBot="1">
      <c r="N8" s="3"/>
    </row>
    <row r="9" spans="2:16" ht="15.75" thickBot="1">
      <c r="E9" s="303" t="s">
        <v>126</v>
      </c>
      <c r="F9" s="304"/>
      <c r="G9" s="305"/>
      <c r="H9" s="303" t="s">
        <v>125</v>
      </c>
      <c r="I9" s="304"/>
      <c r="J9" s="305"/>
      <c r="K9" s="303" t="s">
        <v>68</v>
      </c>
      <c r="L9" s="304"/>
      <c r="M9" s="304"/>
      <c r="N9" s="304"/>
      <c r="O9" s="304"/>
      <c r="P9" s="305"/>
    </row>
    <row r="10" spans="2:16" ht="60.75" thickBot="1">
      <c r="B10" s="96" t="s">
        <v>17</v>
      </c>
      <c r="C10" s="97" t="s">
        <v>64</v>
      </c>
      <c r="D10" s="98" t="s">
        <v>35</v>
      </c>
      <c r="E10" s="99" t="s">
        <v>31</v>
      </c>
      <c r="F10" s="99" t="s">
        <v>65</v>
      </c>
      <c r="G10" s="99" t="s">
        <v>32</v>
      </c>
      <c r="H10" s="98" t="s">
        <v>66</v>
      </c>
      <c r="I10" s="98" t="s">
        <v>67</v>
      </c>
      <c r="J10" s="100" t="s">
        <v>36</v>
      </c>
      <c r="K10" s="101" t="s">
        <v>31</v>
      </c>
      <c r="L10" s="99" t="s">
        <v>65</v>
      </c>
      <c r="M10" s="99" t="s">
        <v>32</v>
      </c>
      <c r="N10" s="98" t="s">
        <v>66</v>
      </c>
      <c r="O10" s="98" t="s">
        <v>67</v>
      </c>
      <c r="P10" s="100" t="s">
        <v>36</v>
      </c>
    </row>
    <row r="11" spans="2:16" ht="15.75" thickBot="1">
      <c r="B11" s="314" t="s">
        <v>18</v>
      </c>
      <c r="C11" s="151" t="s">
        <v>37</v>
      </c>
      <c r="D11" s="102" t="s">
        <v>53</v>
      </c>
      <c r="E11" s="103">
        <f>3799.269+1734.166</f>
        <v>5533.4349999999995</v>
      </c>
      <c r="F11" s="199">
        <f>-1734.166-3799.269</f>
        <v>-5533.4349999999995</v>
      </c>
      <c r="G11" s="199">
        <f>+E11+F11</f>
        <v>0</v>
      </c>
      <c r="H11" s="199"/>
      <c r="I11" s="199">
        <f>+G11-H11</f>
        <v>0</v>
      </c>
      <c r="J11" s="200" t="e">
        <f>+H11/G11</f>
        <v>#DIV/0!</v>
      </c>
      <c r="K11" s="201">
        <f t="shared" ref="K11:L15" si="0">E11</f>
        <v>5533.4349999999995</v>
      </c>
      <c r="L11" s="202">
        <f t="shared" si="0"/>
        <v>-5533.4349999999995</v>
      </c>
      <c r="M11" s="202">
        <f>+K11+L11</f>
        <v>0</v>
      </c>
      <c r="N11" s="202">
        <f>H11</f>
        <v>0</v>
      </c>
      <c r="O11" s="202">
        <f>+M11-N11</f>
        <v>0</v>
      </c>
      <c r="P11" s="254" t="e">
        <f t="shared" ref="P11:P17" si="1">+N11/M11</f>
        <v>#DIV/0!</v>
      </c>
    </row>
    <row r="12" spans="2:16" ht="15.75" thickBot="1">
      <c r="B12" s="310"/>
      <c r="C12" s="152" t="s">
        <v>38</v>
      </c>
      <c r="D12" s="102" t="s">
        <v>53</v>
      </c>
      <c r="E12" s="105">
        <f>105415.865+2513.284+2513.284+2513.284+1884.963+1884.963+1884.963+1884.963+1256.642+1256.642+1256.642+1256.642+2513.284+2513.284+2513.284+2513.284+2513.284+628.321+628.321+2513.284+2513.284+2513.284+2513.284+2513.284</f>
        <v>151911.61900000015</v>
      </c>
      <c r="F12" s="203">
        <f>-1000-1000-10000-8500-2000-5000</f>
        <v>-27500</v>
      </c>
      <c r="G12" s="203">
        <f>+E12+F12</f>
        <v>124411.61900000015</v>
      </c>
      <c r="H12" s="204">
        <v>3743.817</v>
      </c>
      <c r="I12" s="203">
        <f>+G12-H12</f>
        <v>120667.80200000016</v>
      </c>
      <c r="J12" s="205">
        <f>+H12/G12</f>
        <v>3.0092181342001468E-2</v>
      </c>
      <c r="K12" s="201">
        <f t="shared" si="0"/>
        <v>151911.61900000015</v>
      </c>
      <c r="L12" s="202">
        <f t="shared" si="0"/>
        <v>-27500</v>
      </c>
      <c r="M12" s="202">
        <f>+K12+L12</f>
        <v>124411.61900000015</v>
      </c>
      <c r="N12" s="202">
        <f>H12</f>
        <v>3743.817</v>
      </c>
      <c r="O12" s="202">
        <f>+M12-N12</f>
        <v>120667.80200000016</v>
      </c>
      <c r="P12" s="254">
        <f t="shared" si="1"/>
        <v>3.0092181342001468E-2</v>
      </c>
    </row>
    <row r="13" spans="2:16" s="45" customFormat="1" ht="15.75" thickBot="1">
      <c r="B13" s="310"/>
      <c r="C13" s="153" t="s">
        <v>135</v>
      </c>
      <c r="D13" s="102" t="s">
        <v>53</v>
      </c>
      <c r="E13" s="105">
        <f>314.161+314.161+314.161+314.161+314.161+314.161+314.161+314.161+314.161+314.161+628.321+628.321+628.321+628.321+628.321+628.321+628.321+628.321+628.321+628.321+942.482+942.482+942.482+942.482+942.482+942.482+942.482+942.482+2513.284</f>
        <v>19477.96</v>
      </c>
      <c r="F13" s="203">
        <f>-19477.96</f>
        <v>-19477.96</v>
      </c>
      <c r="G13" s="203">
        <f>+E13+F13</f>
        <v>0</v>
      </c>
      <c r="H13" s="203"/>
      <c r="I13" s="203">
        <f>+G13-H13</f>
        <v>0</v>
      </c>
      <c r="J13" s="205" t="e">
        <f>+H13/G13</f>
        <v>#DIV/0!</v>
      </c>
      <c r="K13" s="201">
        <f t="shared" si="0"/>
        <v>19477.96</v>
      </c>
      <c r="L13" s="202">
        <f t="shared" si="0"/>
        <v>-19477.96</v>
      </c>
      <c r="M13" s="202">
        <f>+K13+L13</f>
        <v>0</v>
      </c>
      <c r="N13" s="202">
        <f>H13</f>
        <v>0</v>
      </c>
      <c r="O13" s="202">
        <f>+M13-N13</f>
        <v>0</v>
      </c>
      <c r="P13" s="254" t="e">
        <f t="shared" si="1"/>
        <v>#DIV/0!</v>
      </c>
    </row>
    <row r="14" spans="2:16" s="45" customFormat="1" ht="15.75" thickBot="1">
      <c r="B14" s="310"/>
      <c r="C14" s="153" t="s">
        <v>136</v>
      </c>
      <c r="D14" s="102" t="s">
        <v>53</v>
      </c>
      <c r="E14" s="105">
        <f>942.482+2513.284</f>
        <v>3455.7660000000001</v>
      </c>
      <c r="F14" s="203"/>
      <c r="G14" s="203">
        <f>+E14+F14</f>
        <v>3455.7660000000001</v>
      </c>
      <c r="H14" s="204"/>
      <c r="I14" s="203">
        <f>+G14-H14</f>
        <v>3455.7660000000001</v>
      </c>
      <c r="J14" s="205">
        <f>+H14/G14</f>
        <v>0</v>
      </c>
      <c r="K14" s="201">
        <f t="shared" si="0"/>
        <v>3455.7660000000001</v>
      </c>
      <c r="L14" s="202">
        <f t="shared" si="0"/>
        <v>0</v>
      </c>
      <c r="M14" s="202">
        <f>+K14+L14</f>
        <v>3455.7660000000001</v>
      </c>
      <c r="N14" s="202">
        <f>H14</f>
        <v>0</v>
      </c>
      <c r="O14" s="202">
        <f>+M14-N14</f>
        <v>3455.7660000000001</v>
      </c>
      <c r="P14" s="254">
        <f t="shared" si="1"/>
        <v>0</v>
      </c>
    </row>
    <row r="15" spans="2:16" s="4" customFormat="1">
      <c r="B15" s="310"/>
      <c r="C15" s="152" t="s">
        <v>39</v>
      </c>
      <c r="D15" s="102" t="s">
        <v>53</v>
      </c>
      <c r="E15" s="105">
        <f>423123.425+942.482+1884.963+1256.642+628.321+628.321+628.321+628.321+628.321+1884.963+1884.963+1884.963+1884.963+1884.963+1256.642+1256.642+1256.642+1256.642+1256.642+628.321+628.321+628.321</f>
        <v>447942.10499999986</v>
      </c>
      <c r="F15" s="206">
        <f>-90000-20000-65000-2000</f>
        <v>-177000</v>
      </c>
      <c r="G15" s="203">
        <f>+E15+F15</f>
        <v>270942.10499999986</v>
      </c>
      <c r="H15" s="204">
        <v>24309.706999999999</v>
      </c>
      <c r="I15" s="203">
        <f>+G15-H15</f>
        <v>246632.39799999987</v>
      </c>
      <c r="J15" s="205">
        <f>+H15/G15</f>
        <v>8.9722883787294747E-2</v>
      </c>
      <c r="K15" s="201">
        <f t="shared" si="0"/>
        <v>447942.10499999986</v>
      </c>
      <c r="L15" s="202">
        <f t="shared" si="0"/>
        <v>-177000</v>
      </c>
      <c r="M15" s="202">
        <f>+K15+L15</f>
        <v>270942.10499999986</v>
      </c>
      <c r="N15" s="202">
        <f>H15</f>
        <v>24309.706999999999</v>
      </c>
      <c r="O15" s="202">
        <f>+M15-N15</f>
        <v>246632.39799999987</v>
      </c>
      <c r="P15" s="254">
        <f t="shared" si="1"/>
        <v>8.9722883787294747E-2</v>
      </c>
    </row>
    <row r="16" spans="2:16" s="5" customFormat="1" ht="15.75" thickBot="1">
      <c r="B16" s="20"/>
      <c r="C16" s="21"/>
      <c r="D16" s="22"/>
      <c r="E16" s="87">
        <f>SUM(E11:E15)</f>
        <v>628320.88500000001</v>
      </c>
      <c r="F16" s="207"/>
      <c r="G16" s="207"/>
      <c r="H16" s="207"/>
      <c r="I16" s="207"/>
      <c r="J16" s="208"/>
      <c r="K16" s="209">
        <f>SUM(K11:K15)</f>
        <v>628320.88500000001</v>
      </c>
      <c r="L16" s="210">
        <f>SUM(L11:L15)</f>
        <v>-229511.39499999999</v>
      </c>
      <c r="M16" s="211">
        <f>SUM(M11:M15)</f>
        <v>398809.49</v>
      </c>
      <c r="N16" s="210">
        <f>SUM(N11:N15)</f>
        <v>28053.523999999998</v>
      </c>
      <c r="O16" s="211">
        <f>SUM(O11:O15)</f>
        <v>370755.96600000001</v>
      </c>
      <c r="P16" s="255">
        <f t="shared" si="1"/>
        <v>7.0343170620137452E-2</v>
      </c>
    </row>
    <row r="17" spans="2:16" ht="20.100000000000001" customHeight="1" thickBot="1">
      <c r="B17" s="309" t="s">
        <v>21</v>
      </c>
      <c r="C17" s="154" t="s">
        <v>50</v>
      </c>
      <c r="D17" s="106" t="s">
        <v>53</v>
      </c>
      <c r="E17" s="107">
        <f>64.005+102.408+102.408</f>
        <v>268.82100000000003</v>
      </c>
      <c r="F17" s="212"/>
      <c r="G17" s="213">
        <f>+E17+F17</f>
        <v>268.82100000000003</v>
      </c>
      <c r="H17" s="213"/>
      <c r="I17" s="213">
        <f>+G17-H17</f>
        <v>268.82100000000003</v>
      </c>
      <c r="J17" s="214">
        <f>+H17/G17</f>
        <v>0</v>
      </c>
      <c r="K17" s="215">
        <f>+E17</f>
        <v>268.82100000000003</v>
      </c>
      <c r="L17" s="216">
        <f>+F17</f>
        <v>0</v>
      </c>
      <c r="M17" s="217">
        <f>+K17+L17</f>
        <v>268.82100000000003</v>
      </c>
      <c r="N17" s="216">
        <f>+H17</f>
        <v>0</v>
      </c>
      <c r="O17" s="217">
        <f>+M17-N17</f>
        <v>268.82100000000003</v>
      </c>
      <c r="P17" s="256">
        <f t="shared" si="1"/>
        <v>0</v>
      </c>
    </row>
    <row r="18" spans="2:16" ht="20.100000000000001" customHeight="1" thickBot="1">
      <c r="B18" s="310"/>
      <c r="C18" s="155" t="s">
        <v>40</v>
      </c>
      <c r="D18" s="104" t="s">
        <v>53</v>
      </c>
      <c r="E18" s="105">
        <f>1433.64</f>
        <v>1433.64</v>
      </c>
      <c r="F18" s="218"/>
      <c r="G18" s="203">
        <f t="shared" ref="G18:G31" si="2">+E18+F18</f>
        <v>1433.64</v>
      </c>
      <c r="H18" s="203"/>
      <c r="I18" s="203">
        <f t="shared" ref="I18:I29" si="3">+G18-H18</f>
        <v>1433.64</v>
      </c>
      <c r="J18" s="219">
        <f t="shared" ref="J18:J29" si="4">+H18/G18</f>
        <v>0</v>
      </c>
      <c r="K18" s="220">
        <f t="shared" ref="K18:K29" si="5">+E18</f>
        <v>1433.64</v>
      </c>
      <c r="L18" s="221">
        <f t="shared" ref="L18:L29" si="6">+F18</f>
        <v>0</v>
      </c>
      <c r="M18" s="222">
        <f t="shared" ref="M18:M29" si="7">+K18+L18</f>
        <v>1433.64</v>
      </c>
      <c r="N18" s="221">
        <f t="shared" ref="N18:N29" si="8">+H18</f>
        <v>0</v>
      </c>
      <c r="O18" s="222">
        <f t="shared" ref="O18:O29" si="9">+M18-N18</f>
        <v>1433.64</v>
      </c>
      <c r="P18" s="256">
        <f t="shared" ref="P18:P30" si="10">+N18/M18</f>
        <v>0</v>
      </c>
    </row>
    <row r="19" spans="2:16" ht="20.100000000000001" customHeight="1" thickBot="1">
      <c r="B19" s="310"/>
      <c r="C19" s="156" t="s">
        <v>49</v>
      </c>
      <c r="D19" s="104" t="s">
        <v>53</v>
      </c>
      <c r="E19" s="105">
        <f>64.005+64.005+64.005</f>
        <v>192.01499999999999</v>
      </c>
      <c r="F19" s="218"/>
      <c r="G19" s="203">
        <f t="shared" si="2"/>
        <v>192.01499999999999</v>
      </c>
      <c r="H19" s="203"/>
      <c r="I19" s="203">
        <f t="shared" si="3"/>
        <v>192.01499999999999</v>
      </c>
      <c r="J19" s="219">
        <f t="shared" si="4"/>
        <v>0</v>
      </c>
      <c r="K19" s="220">
        <f t="shared" si="5"/>
        <v>192.01499999999999</v>
      </c>
      <c r="L19" s="221">
        <f t="shared" si="6"/>
        <v>0</v>
      </c>
      <c r="M19" s="222">
        <f t="shared" si="7"/>
        <v>192.01499999999999</v>
      </c>
      <c r="N19" s="221">
        <f t="shared" si="8"/>
        <v>0</v>
      </c>
      <c r="O19" s="222">
        <f t="shared" si="9"/>
        <v>192.01499999999999</v>
      </c>
      <c r="P19" s="256">
        <f t="shared" si="10"/>
        <v>0</v>
      </c>
    </row>
    <row r="20" spans="2:16" ht="20.100000000000001" customHeight="1" thickBot="1">
      <c r="B20" s="310"/>
      <c r="C20" s="155" t="s">
        <v>41</v>
      </c>
      <c r="D20" s="104" t="s">
        <v>53</v>
      </c>
      <c r="E20" s="105">
        <f>10688.277+32.003+32.003+32.003+32.003+32.003+32.003+32.003+32.003+51.204+51.204+51.204+51.204+51.204</f>
        <v>11200.321000000004</v>
      </c>
      <c r="F20" s="218">
        <f>-8688.277-1500</f>
        <v>-10188.277</v>
      </c>
      <c r="G20" s="203">
        <f t="shared" si="2"/>
        <v>1012.0440000000035</v>
      </c>
      <c r="H20" s="203"/>
      <c r="I20" s="203">
        <f t="shared" si="3"/>
        <v>1012.0440000000035</v>
      </c>
      <c r="J20" s="219">
        <f t="shared" si="4"/>
        <v>0</v>
      </c>
      <c r="K20" s="220">
        <f t="shared" si="5"/>
        <v>11200.321000000004</v>
      </c>
      <c r="L20" s="221">
        <f t="shared" si="6"/>
        <v>-10188.277</v>
      </c>
      <c r="M20" s="222">
        <f t="shared" si="7"/>
        <v>1012.0440000000035</v>
      </c>
      <c r="N20" s="221">
        <f t="shared" si="8"/>
        <v>0</v>
      </c>
      <c r="O20" s="222">
        <f t="shared" si="9"/>
        <v>1012.0440000000035</v>
      </c>
      <c r="P20" s="256">
        <f t="shared" si="10"/>
        <v>0</v>
      </c>
    </row>
    <row r="21" spans="2:16" ht="20.100000000000001" customHeight="1" thickBot="1">
      <c r="B21" s="310"/>
      <c r="C21" s="155" t="s">
        <v>42</v>
      </c>
      <c r="D21" s="104" t="s">
        <v>53</v>
      </c>
      <c r="E21" s="105">
        <f>82.7</f>
        <v>82.7</v>
      </c>
      <c r="F21" s="218"/>
      <c r="G21" s="203">
        <f t="shared" si="2"/>
        <v>82.7</v>
      </c>
      <c r="H21" s="203"/>
      <c r="I21" s="203">
        <f t="shared" si="3"/>
        <v>82.7</v>
      </c>
      <c r="J21" s="219">
        <f t="shared" si="4"/>
        <v>0</v>
      </c>
      <c r="K21" s="220">
        <f t="shared" si="5"/>
        <v>82.7</v>
      </c>
      <c r="L21" s="221">
        <f t="shared" si="6"/>
        <v>0</v>
      </c>
      <c r="M21" s="222">
        <f t="shared" si="7"/>
        <v>82.7</v>
      </c>
      <c r="N21" s="221">
        <f t="shared" si="8"/>
        <v>0</v>
      </c>
      <c r="O21" s="222">
        <f t="shared" si="9"/>
        <v>82.7</v>
      </c>
      <c r="P21" s="256">
        <f t="shared" si="10"/>
        <v>0</v>
      </c>
    </row>
    <row r="22" spans="2:16" ht="20.100000000000001" customHeight="1" thickBot="1">
      <c r="B22" s="310"/>
      <c r="C22" s="155" t="s">
        <v>46</v>
      </c>
      <c r="D22" s="104" t="s">
        <v>53</v>
      </c>
      <c r="E22" s="108">
        <f>65.71+76.806+76.806+76.806+76.806+76.806+89.607+153.612</f>
        <v>692.95899999999995</v>
      </c>
      <c r="F22" s="218"/>
      <c r="G22" s="203">
        <f t="shared" si="2"/>
        <v>692.95899999999995</v>
      </c>
      <c r="H22" s="203"/>
      <c r="I22" s="203">
        <f t="shared" si="3"/>
        <v>692.95899999999995</v>
      </c>
      <c r="J22" s="219">
        <f t="shared" si="4"/>
        <v>0</v>
      </c>
      <c r="K22" s="220">
        <f t="shared" si="5"/>
        <v>692.95899999999995</v>
      </c>
      <c r="L22" s="221">
        <f t="shared" si="6"/>
        <v>0</v>
      </c>
      <c r="M22" s="222">
        <f t="shared" si="7"/>
        <v>692.95899999999995</v>
      </c>
      <c r="N22" s="221">
        <f t="shared" si="8"/>
        <v>0</v>
      </c>
      <c r="O22" s="222">
        <f t="shared" si="9"/>
        <v>692.95899999999995</v>
      </c>
      <c r="P22" s="256">
        <f t="shared" si="10"/>
        <v>0</v>
      </c>
    </row>
    <row r="23" spans="2:16" ht="20.100000000000001" customHeight="1" thickBot="1">
      <c r="B23" s="310"/>
      <c r="C23" s="155" t="s">
        <v>43</v>
      </c>
      <c r="D23" s="104" t="s">
        <v>53</v>
      </c>
      <c r="E23" s="105">
        <f>19.803</f>
        <v>19.803000000000001</v>
      </c>
      <c r="F23" s="218"/>
      <c r="G23" s="203">
        <f t="shared" si="2"/>
        <v>19.803000000000001</v>
      </c>
      <c r="H23" s="203"/>
      <c r="I23" s="203">
        <f t="shared" si="3"/>
        <v>19.803000000000001</v>
      </c>
      <c r="J23" s="219">
        <f t="shared" si="4"/>
        <v>0</v>
      </c>
      <c r="K23" s="220">
        <f t="shared" si="5"/>
        <v>19.803000000000001</v>
      </c>
      <c r="L23" s="221">
        <f t="shared" si="6"/>
        <v>0</v>
      </c>
      <c r="M23" s="222">
        <f t="shared" si="7"/>
        <v>19.803000000000001</v>
      </c>
      <c r="N23" s="221">
        <f t="shared" si="8"/>
        <v>0</v>
      </c>
      <c r="O23" s="222">
        <f t="shared" si="9"/>
        <v>19.803000000000001</v>
      </c>
      <c r="P23" s="256">
        <f t="shared" si="10"/>
        <v>0</v>
      </c>
    </row>
    <row r="24" spans="2:16" ht="20.100000000000001" customHeight="1" thickBot="1">
      <c r="B24" s="310"/>
      <c r="C24" s="156" t="s">
        <v>51</v>
      </c>
      <c r="D24" s="104" t="s">
        <v>53</v>
      </c>
      <c r="E24" s="105">
        <f>102.408</f>
        <v>102.408</v>
      </c>
      <c r="F24" s="218"/>
      <c r="G24" s="203">
        <f t="shared" si="2"/>
        <v>102.408</v>
      </c>
      <c r="H24" s="203"/>
      <c r="I24" s="203">
        <f t="shared" si="3"/>
        <v>102.408</v>
      </c>
      <c r="J24" s="219">
        <v>0</v>
      </c>
      <c r="K24" s="220">
        <f t="shared" si="5"/>
        <v>102.408</v>
      </c>
      <c r="L24" s="221">
        <f t="shared" si="6"/>
        <v>0</v>
      </c>
      <c r="M24" s="222">
        <f t="shared" si="7"/>
        <v>102.408</v>
      </c>
      <c r="N24" s="221">
        <f t="shared" si="8"/>
        <v>0</v>
      </c>
      <c r="O24" s="222">
        <f t="shared" si="9"/>
        <v>102.408</v>
      </c>
      <c r="P24" s="256">
        <f t="shared" si="10"/>
        <v>0</v>
      </c>
    </row>
    <row r="25" spans="2:16" ht="20.100000000000001" customHeight="1" thickBot="1">
      <c r="B25" s="310"/>
      <c r="C25" s="155" t="s">
        <v>48</v>
      </c>
      <c r="D25" s="104" t="s">
        <v>53</v>
      </c>
      <c r="E25" s="105">
        <f>64.005</f>
        <v>64.004999999999995</v>
      </c>
      <c r="F25" s="218"/>
      <c r="G25" s="203">
        <f t="shared" si="2"/>
        <v>64.004999999999995</v>
      </c>
      <c r="H25" s="203"/>
      <c r="I25" s="203">
        <f t="shared" si="3"/>
        <v>64.004999999999995</v>
      </c>
      <c r="J25" s="219">
        <f t="shared" si="4"/>
        <v>0</v>
      </c>
      <c r="K25" s="220">
        <f t="shared" si="5"/>
        <v>64.004999999999995</v>
      </c>
      <c r="L25" s="221">
        <f t="shared" si="6"/>
        <v>0</v>
      </c>
      <c r="M25" s="222">
        <f t="shared" si="7"/>
        <v>64.004999999999995</v>
      </c>
      <c r="N25" s="221">
        <f t="shared" si="8"/>
        <v>0</v>
      </c>
      <c r="O25" s="222">
        <f t="shared" si="9"/>
        <v>64.004999999999995</v>
      </c>
      <c r="P25" s="256">
        <f t="shared" si="10"/>
        <v>0</v>
      </c>
    </row>
    <row r="26" spans="2:16" ht="20.100000000000001" customHeight="1" thickBot="1">
      <c r="B26" s="310"/>
      <c r="C26" s="156" t="s">
        <v>52</v>
      </c>
      <c r="D26" s="104" t="s">
        <v>53</v>
      </c>
      <c r="E26" s="105">
        <f>102.408</f>
        <v>102.408</v>
      </c>
      <c r="F26" s="218"/>
      <c r="G26" s="203">
        <f t="shared" si="2"/>
        <v>102.408</v>
      </c>
      <c r="H26" s="203"/>
      <c r="I26" s="203">
        <f t="shared" si="3"/>
        <v>102.408</v>
      </c>
      <c r="J26" s="219">
        <v>0</v>
      </c>
      <c r="K26" s="220">
        <f t="shared" si="5"/>
        <v>102.408</v>
      </c>
      <c r="L26" s="221">
        <f t="shared" si="6"/>
        <v>0</v>
      </c>
      <c r="M26" s="222">
        <f t="shared" si="7"/>
        <v>102.408</v>
      </c>
      <c r="N26" s="221">
        <f t="shared" si="8"/>
        <v>0</v>
      </c>
      <c r="O26" s="222">
        <f t="shared" si="9"/>
        <v>102.408</v>
      </c>
      <c r="P26" s="256">
        <f t="shared" si="10"/>
        <v>0</v>
      </c>
    </row>
    <row r="27" spans="2:16" ht="20.100000000000001" customHeight="1" thickBot="1">
      <c r="B27" s="310"/>
      <c r="C27" s="155" t="s">
        <v>47</v>
      </c>
      <c r="D27" s="104" t="s">
        <v>53</v>
      </c>
      <c r="E27" s="105">
        <f>2.391</f>
        <v>2.391</v>
      </c>
      <c r="F27" s="218"/>
      <c r="G27" s="203">
        <f t="shared" si="2"/>
        <v>2.391</v>
      </c>
      <c r="H27" s="203"/>
      <c r="I27" s="203">
        <f t="shared" si="3"/>
        <v>2.391</v>
      </c>
      <c r="J27" s="219">
        <f t="shared" si="4"/>
        <v>0</v>
      </c>
      <c r="K27" s="220">
        <f t="shared" si="5"/>
        <v>2.391</v>
      </c>
      <c r="L27" s="221">
        <f t="shared" si="6"/>
        <v>0</v>
      </c>
      <c r="M27" s="222">
        <f t="shared" si="7"/>
        <v>2.391</v>
      </c>
      <c r="N27" s="221">
        <f t="shared" si="8"/>
        <v>0</v>
      </c>
      <c r="O27" s="222">
        <f t="shared" si="9"/>
        <v>2.391</v>
      </c>
      <c r="P27" s="256">
        <f t="shared" si="10"/>
        <v>0</v>
      </c>
    </row>
    <row r="28" spans="2:16" ht="20.100000000000001" customHeight="1" thickBot="1">
      <c r="B28" s="310"/>
      <c r="C28" s="155" t="s">
        <v>45</v>
      </c>
      <c r="D28" s="104" t="s">
        <v>53</v>
      </c>
      <c r="E28" s="105">
        <f>9220.535+89.607+102.408+102.408+153.612+153.612+153.612+153.612+179.214+179.214</f>
        <v>10487.833999999995</v>
      </c>
      <c r="F28" s="218">
        <f>-9000-500-500-470</f>
        <v>-10470</v>
      </c>
      <c r="G28" s="203">
        <f t="shared" si="2"/>
        <v>17.833999999995285</v>
      </c>
      <c r="H28" s="203"/>
      <c r="I28" s="203">
        <f t="shared" si="3"/>
        <v>17.833999999995285</v>
      </c>
      <c r="J28" s="219">
        <f t="shared" si="4"/>
        <v>0</v>
      </c>
      <c r="K28" s="220">
        <f t="shared" si="5"/>
        <v>10487.833999999995</v>
      </c>
      <c r="L28" s="221">
        <f t="shared" si="6"/>
        <v>-10470</v>
      </c>
      <c r="M28" s="222">
        <f t="shared" si="7"/>
        <v>17.833999999995285</v>
      </c>
      <c r="N28" s="221">
        <f t="shared" si="8"/>
        <v>0</v>
      </c>
      <c r="O28" s="222">
        <f t="shared" si="9"/>
        <v>17.833999999995285</v>
      </c>
      <c r="P28" s="256">
        <f t="shared" si="10"/>
        <v>0</v>
      </c>
    </row>
    <row r="29" spans="2:16" ht="20.100000000000001" customHeight="1" thickBot="1">
      <c r="B29" s="310"/>
      <c r="C29" s="155" t="s">
        <v>44</v>
      </c>
      <c r="D29" s="104" t="s">
        <v>53</v>
      </c>
      <c r="E29" s="105">
        <f>248.644</f>
        <v>248.64400000000001</v>
      </c>
      <c r="F29" s="218"/>
      <c r="G29" s="203">
        <f t="shared" si="2"/>
        <v>248.64400000000001</v>
      </c>
      <c r="H29" s="203"/>
      <c r="I29" s="203">
        <f t="shared" si="3"/>
        <v>248.64400000000001</v>
      </c>
      <c r="J29" s="219">
        <f t="shared" si="4"/>
        <v>0</v>
      </c>
      <c r="K29" s="220">
        <f t="shared" si="5"/>
        <v>248.64400000000001</v>
      </c>
      <c r="L29" s="221">
        <f t="shared" si="6"/>
        <v>0</v>
      </c>
      <c r="M29" s="222">
        <f t="shared" si="7"/>
        <v>248.64400000000001</v>
      </c>
      <c r="N29" s="221">
        <f t="shared" si="8"/>
        <v>0</v>
      </c>
      <c r="O29" s="222">
        <f t="shared" si="9"/>
        <v>248.64400000000001</v>
      </c>
      <c r="P29" s="256">
        <f t="shared" si="10"/>
        <v>0</v>
      </c>
    </row>
    <row r="30" spans="2:16" s="45" customFormat="1" ht="20.100000000000001" customHeight="1" thickBot="1">
      <c r="B30" s="311"/>
      <c r="C30" s="157" t="s">
        <v>124</v>
      </c>
      <c r="D30" s="109" t="s">
        <v>53</v>
      </c>
      <c r="E30" s="110">
        <f>64.005+64.005+64.005+102.408</f>
        <v>294.423</v>
      </c>
      <c r="F30" s="223"/>
      <c r="G30" s="203">
        <f t="shared" si="2"/>
        <v>294.423</v>
      </c>
      <c r="H30" s="224"/>
      <c r="I30" s="203">
        <f>+G30-H30</f>
        <v>294.423</v>
      </c>
      <c r="J30" s="219">
        <f>+H30/G30</f>
        <v>0</v>
      </c>
      <c r="K30" s="220">
        <f>+E30</f>
        <v>294.423</v>
      </c>
      <c r="L30" s="221">
        <f>+F30</f>
        <v>0</v>
      </c>
      <c r="M30" s="222">
        <f>+K30+L30</f>
        <v>294.423</v>
      </c>
      <c r="N30" s="221">
        <f>+H30</f>
        <v>0</v>
      </c>
      <c r="O30" s="222">
        <f>+M30-N30</f>
        <v>294.423</v>
      </c>
      <c r="P30" s="256">
        <f t="shared" si="10"/>
        <v>0</v>
      </c>
    </row>
    <row r="31" spans="2:16" s="45" customFormat="1" ht="20.100000000000001" customHeight="1">
      <c r="B31" s="311"/>
      <c r="C31" s="158" t="s">
        <v>193</v>
      </c>
      <c r="D31" s="109" t="s">
        <v>53</v>
      </c>
      <c r="E31" s="143">
        <f>204.816+204.816</f>
        <v>409.63200000000001</v>
      </c>
      <c r="F31" s="225"/>
      <c r="G31" s="203">
        <f t="shared" si="2"/>
        <v>409.63200000000001</v>
      </c>
      <c r="H31" s="226"/>
      <c r="I31" s="203">
        <f>+G31-H31</f>
        <v>409.63200000000001</v>
      </c>
      <c r="J31" s="219">
        <f>+H31/G31</f>
        <v>0</v>
      </c>
      <c r="K31" s="220">
        <f>+E31</f>
        <v>409.63200000000001</v>
      </c>
      <c r="L31" s="221">
        <f>+F31</f>
        <v>0</v>
      </c>
      <c r="M31" s="222">
        <f>+K31+L31</f>
        <v>409.63200000000001</v>
      </c>
      <c r="N31" s="221">
        <f>+H31</f>
        <v>0</v>
      </c>
      <c r="O31" s="222">
        <f>+M31-N31</f>
        <v>409.63200000000001</v>
      </c>
      <c r="P31" s="256">
        <f t="shared" ref="P31:P37" si="11">+N31/M31</f>
        <v>0</v>
      </c>
    </row>
    <row r="32" spans="2:16" s="6" customFormat="1" ht="15.75" thickBot="1">
      <c r="B32" s="20"/>
      <c r="C32" s="23"/>
      <c r="D32" s="22"/>
      <c r="E32" s="87">
        <f>SUM(E17:E31)</f>
        <v>25602.004000000001</v>
      </c>
      <c r="F32" s="207"/>
      <c r="G32" s="207"/>
      <c r="H32" s="207"/>
      <c r="I32" s="207"/>
      <c r="J32" s="208"/>
      <c r="K32" s="227">
        <f>SUM(K17:K31)</f>
        <v>25602.004000000001</v>
      </c>
      <c r="L32" s="228">
        <f>SUM(L17:L31)</f>
        <v>-20658.277000000002</v>
      </c>
      <c r="M32" s="228">
        <f>SUM(M17:M31)</f>
        <v>4943.726999999998</v>
      </c>
      <c r="N32" s="210">
        <f>SUM(N17:N31)</f>
        <v>0</v>
      </c>
      <c r="O32" s="228">
        <f>SUM(O17:O31)</f>
        <v>4943.726999999998</v>
      </c>
      <c r="P32" s="257">
        <f t="shared" si="11"/>
        <v>0</v>
      </c>
    </row>
    <row r="33" spans="2:16" ht="15.75" thickBot="1">
      <c r="B33" s="312" t="s">
        <v>19</v>
      </c>
      <c r="C33" s="148" t="s">
        <v>54</v>
      </c>
      <c r="D33" s="29" t="s">
        <v>53</v>
      </c>
      <c r="E33" s="30">
        <v>4.8810000000000002</v>
      </c>
      <c r="F33" s="230"/>
      <c r="G33" s="230">
        <f>+E33+F33</f>
        <v>4.8810000000000002</v>
      </c>
      <c r="H33" s="230"/>
      <c r="I33" s="230">
        <f>+G33-H33</f>
        <v>4.8810000000000002</v>
      </c>
      <c r="J33" s="231">
        <f>+H33/G33</f>
        <v>0</v>
      </c>
      <c r="K33" s="201">
        <f t="shared" ref="K33:L35" si="12">E33</f>
        <v>4.8810000000000002</v>
      </c>
      <c r="L33" s="202">
        <f t="shared" si="12"/>
        <v>0</v>
      </c>
      <c r="M33" s="202">
        <f>+K33+L33</f>
        <v>4.8810000000000002</v>
      </c>
      <c r="N33" s="202">
        <f>H33</f>
        <v>0</v>
      </c>
      <c r="O33" s="202">
        <f>+M33-N33</f>
        <v>4.8810000000000002</v>
      </c>
      <c r="P33" s="258">
        <f t="shared" si="11"/>
        <v>0</v>
      </c>
    </row>
    <row r="34" spans="2:16" ht="15.75" thickBot="1">
      <c r="B34" s="313"/>
      <c r="C34" s="149" t="s">
        <v>55</v>
      </c>
      <c r="D34" s="29" t="s">
        <v>53</v>
      </c>
      <c r="E34" s="31">
        <v>313.08800000000002</v>
      </c>
      <c r="F34" s="232"/>
      <c r="G34" s="232">
        <f>+E34+F34</f>
        <v>313.08800000000002</v>
      </c>
      <c r="H34" s="233"/>
      <c r="I34" s="232">
        <f>+G34-H34</f>
        <v>313.08800000000002</v>
      </c>
      <c r="J34" s="234">
        <f>+H34/G34</f>
        <v>0</v>
      </c>
      <c r="K34" s="201">
        <f t="shared" si="12"/>
        <v>313.08800000000002</v>
      </c>
      <c r="L34" s="202">
        <f t="shared" si="12"/>
        <v>0</v>
      </c>
      <c r="M34" s="202">
        <f>+K34+L34</f>
        <v>313.08800000000002</v>
      </c>
      <c r="N34" s="202">
        <f>H34</f>
        <v>0</v>
      </c>
      <c r="O34" s="202">
        <f>+M34-N34</f>
        <v>313.08800000000002</v>
      </c>
      <c r="P34" s="258">
        <f t="shared" si="11"/>
        <v>0</v>
      </c>
    </row>
    <row r="35" spans="2:16">
      <c r="B35" s="313"/>
      <c r="C35" s="149" t="s">
        <v>56</v>
      </c>
      <c r="D35" s="29" t="s">
        <v>53</v>
      </c>
      <c r="E35" s="31">
        <v>1167.0309999999999</v>
      </c>
      <c r="F35" s="232"/>
      <c r="G35" s="232">
        <f>+E35+F35</f>
        <v>1167.0309999999999</v>
      </c>
      <c r="H35" s="204"/>
      <c r="I35" s="232">
        <f>+G35-H35</f>
        <v>1167.0309999999999</v>
      </c>
      <c r="J35" s="234">
        <f>+H35/G35</f>
        <v>0</v>
      </c>
      <c r="K35" s="201">
        <f t="shared" si="12"/>
        <v>1167.0309999999999</v>
      </c>
      <c r="L35" s="202">
        <f t="shared" si="12"/>
        <v>0</v>
      </c>
      <c r="M35" s="202">
        <f>+K35+L35</f>
        <v>1167.0309999999999</v>
      </c>
      <c r="N35" s="202">
        <f>H35</f>
        <v>0</v>
      </c>
      <c r="O35" s="202">
        <f>+M35-N35</f>
        <v>1167.0309999999999</v>
      </c>
      <c r="P35" s="258">
        <f t="shared" si="11"/>
        <v>0</v>
      </c>
    </row>
    <row r="36" spans="2:16" s="7" customFormat="1" ht="15.75" thickBot="1">
      <c r="B36" s="24"/>
      <c r="C36" s="25"/>
      <c r="D36" s="22"/>
      <c r="E36" s="87">
        <f>SUM(E33:E35)</f>
        <v>1485</v>
      </c>
      <c r="F36" s="235"/>
      <c r="G36" s="235"/>
      <c r="H36" s="235"/>
      <c r="I36" s="235"/>
      <c r="J36" s="229"/>
      <c r="K36" s="236">
        <f>SUM(K33:K35)</f>
        <v>1485</v>
      </c>
      <c r="L36" s="210">
        <f>SUM(L33:L35)</f>
        <v>0</v>
      </c>
      <c r="M36" s="210">
        <f>SUM(M33:M35)</f>
        <v>1485</v>
      </c>
      <c r="N36" s="210">
        <f>SUM(N33:N35)</f>
        <v>0</v>
      </c>
      <c r="O36" s="210">
        <f>SUM(O33:O35)</f>
        <v>1485</v>
      </c>
      <c r="P36" s="255">
        <f t="shared" si="11"/>
        <v>0</v>
      </c>
    </row>
    <row r="37" spans="2:16">
      <c r="B37" s="306" t="s">
        <v>29</v>
      </c>
      <c r="C37" s="26" t="s">
        <v>57</v>
      </c>
      <c r="D37" s="33" t="s">
        <v>58</v>
      </c>
      <c r="E37" s="30">
        <f>204.947</f>
        <v>204.947</v>
      </c>
      <c r="F37" s="230"/>
      <c r="G37" s="230">
        <f>+E37+F37</f>
        <v>204.947</v>
      </c>
      <c r="H37" s="230"/>
      <c r="I37" s="230">
        <f>+G37-H37</f>
        <v>204.947</v>
      </c>
      <c r="J37" s="237">
        <f>+H37/G37</f>
        <v>0</v>
      </c>
      <c r="K37" s="238">
        <f>+E37</f>
        <v>204.947</v>
      </c>
      <c r="L37" s="239">
        <f>+F37</f>
        <v>0</v>
      </c>
      <c r="M37" s="239">
        <f>+K37+L37</f>
        <v>204.947</v>
      </c>
      <c r="N37" s="202">
        <f t="shared" ref="N37:N45" si="13">+H37</f>
        <v>0</v>
      </c>
      <c r="O37" s="239">
        <f>+M37-N37</f>
        <v>204.947</v>
      </c>
      <c r="P37" s="259">
        <f t="shared" si="11"/>
        <v>0</v>
      </c>
    </row>
    <row r="38" spans="2:16">
      <c r="B38" s="307"/>
      <c r="C38" s="27" t="s">
        <v>41</v>
      </c>
      <c r="D38" s="34" t="s">
        <v>58</v>
      </c>
      <c r="E38" s="31">
        <f>892.307</f>
        <v>892.30700000000002</v>
      </c>
      <c r="F38" s="232"/>
      <c r="G38" s="232">
        <f t="shared" ref="G38:G44" si="14">+E38+F38</f>
        <v>892.30700000000002</v>
      </c>
      <c r="H38" s="232"/>
      <c r="I38" s="232">
        <f t="shared" ref="I38:I44" si="15">+G38-H38</f>
        <v>892.30700000000002</v>
      </c>
      <c r="J38" s="240">
        <f t="shared" ref="J38:J44" si="16">+H38/G38</f>
        <v>0</v>
      </c>
      <c r="K38" s="241">
        <f t="shared" ref="K38:K44" si="17">+E38</f>
        <v>892.30700000000002</v>
      </c>
      <c r="L38" s="242">
        <f>+F38</f>
        <v>0</v>
      </c>
      <c r="M38" s="242">
        <f t="shared" ref="M38:M44" si="18">+K38+L38</f>
        <v>892.30700000000002</v>
      </c>
      <c r="N38" s="243">
        <f t="shared" si="13"/>
        <v>0</v>
      </c>
      <c r="O38" s="242">
        <f t="shared" ref="O38:O44" si="19">+M38-N38</f>
        <v>892.30700000000002</v>
      </c>
      <c r="P38" s="260">
        <f t="shared" ref="P38:P44" si="20">+N38/M38</f>
        <v>0</v>
      </c>
    </row>
    <row r="39" spans="2:16">
      <c r="B39" s="307"/>
      <c r="C39" s="27" t="s">
        <v>48</v>
      </c>
      <c r="D39" s="34" t="s">
        <v>58</v>
      </c>
      <c r="E39" s="31">
        <f>0.15</f>
        <v>0.15</v>
      </c>
      <c r="F39" s="232"/>
      <c r="G39" s="232">
        <f t="shared" si="14"/>
        <v>0.15</v>
      </c>
      <c r="H39" s="232"/>
      <c r="I39" s="232">
        <f t="shared" si="15"/>
        <v>0.15</v>
      </c>
      <c r="J39" s="240">
        <f t="shared" si="16"/>
        <v>0</v>
      </c>
      <c r="K39" s="241">
        <f t="shared" si="17"/>
        <v>0.15</v>
      </c>
      <c r="L39" s="242">
        <f t="shared" ref="L39:L44" si="21">+F39</f>
        <v>0</v>
      </c>
      <c r="M39" s="242">
        <f t="shared" si="18"/>
        <v>0.15</v>
      </c>
      <c r="N39" s="243">
        <f t="shared" si="13"/>
        <v>0</v>
      </c>
      <c r="O39" s="242">
        <f t="shared" si="19"/>
        <v>0.15</v>
      </c>
      <c r="P39" s="260">
        <f t="shared" si="20"/>
        <v>0</v>
      </c>
    </row>
    <row r="40" spans="2:16">
      <c r="B40" s="307"/>
      <c r="C40" s="27" t="s">
        <v>59</v>
      </c>
      <c r="D40" s="34" t="s">
        <v>58</v>
      </c>
      <c r="E40" s="31">
        <f>5.746</f>
        <v>5.7460000000000004</v>
      </c>
      <c r="F40" s="232"/>
      <c r="G40" s="232">
        <f t="shared" si="14"/>
        <v>5.7460000000000004</v>
      </c>
      <c r="H40" s="232"/>
      <c r="I40" s="232">
        <f t="shared" si="15"/>
        <v>5.7460000000000004</v>
      </c>
      <c r="J40" s="240">
        <f t="shared" si="16"/>
        <v>0</v>
      </c>
      <c r="K40" s="241">
        <f t="shared" si="17"/>
        <v>5.7460000000000004</v>
      </c>
      <c r="L40" s="242">
        <f t="shared" si="21"/>
        <v>0</v>
      </c>
      <c r="M40" s="242">
        <f t="shared" si="18"/>
        <v>5.7460000000000004</v>
      </c>
      <c r="N40" s="243">
        <f t="shared" si="13"/>
        <v>0</v>
      </c>
      <c r="O40" s="242">
        <f t="shared" si="19"/>
        <v>5.7460000000000004</v>
      </c>
      <c r="P40" s="260">
        <f t="shared" si="20"/>
        <v>0</v>
      </c>
    </row>
    <row r="41" spans="2:16">
      <c r="B41" s="307"/>
      <c r="C41" s="27" t="s">
        <v>60</v>
      </c>
      <c r="D41" s="34" t="s">
        <v>58</v>
      </c>
      <c r="E41" s="31">
        <f>6.495</f>
        <v>6.4950000000000001</v>
      </c>
      <c r="F41" s="232"/>
      <c r="G41" s="232">
        <f t="shared" si="14"/>
        <v>6.4950000000000001</v>
      </c>
      <c r="H41" s="232"/>
      <c r="I41" s="232">
        <f t="shared" si="15"/>
        <v>6.4950000000000001</v>
      </c>
      <c r="J41" s="240">
        <f t="shared" si="16"/>
        <v>0</v>
      </c>
      <c r="K41" s="241">
        <f t="shared" si="17"/>
        <v>6.4950000000000001</v>
      </c>
      <c r="L41" s="242">
        <f t="shared" si="21"/>
        <v>0</v>
      </c>
      <c r="M41" s="242">
        <f t="shared" si="18"/>
        <v>6.4950000000000001</v>
      </c>
      <c r="N41" s="243">
        <f t="shared" si="13"/>
        <v>0</v>
      </c>
      <c r="O41" s="242">
        <f t="shared" si="19"/>
        <v>6.4950000000000001</v>
      </c>
      <c r="P41" s="260">
        <f t="shared" si="20"/>
        <v>0</v>
      </c>
    </row>
    <row r="42" spans="2:16">
      <c r="B42" s="307"/>
      <c r="C42" s="57" t="s">
        <v>44</v>
      </c>
      <c r="D42" s="34" t="s">
        <v>58</v>
      </c>
      <c r="E42" s="31">
        <f>2.977</f>
        <v>2.9769999999999999</v>
      </c>
      <c r="F42" s="232"/>
      <c r="G42" s="232">
        <f t="shared" si="14"/>
        <v>2.9769999999999999</v>
      </c>
      <c r="H42" s="232"/>
      <c r="I42" s="232">
        <f t="shared" si="15"/>
        <v>2.9769999999999999</v>
      </c>
      <c r="J42" s="240">
        <f t="shared" si="16"/>
        <v>0</v>
      </c>
      <c r="K42" s="241">
        <f t="shared" si="17"/>
        <v>2.9769999999999999</v>
      </c>
      <c r="L42" s="242">
        <f t="shared" si="21"/>
        <v>0</v>
      </c>
      <c r="M42" s="242">
        <f t="shared" si="18"/>
        <v>2.9769999999999999</v>
      </c>
      <c r="N42" s="243">
        <f t="shared" si="13"/>
        <v>0</v>
      </c>
      <c r="O42" s="242">
        <f t="shared" si="19"/>
        <v>2.9769999999999999</v>
      </c>
      <c r="P42" s="260">
        <f t="shared" si="20"/>
        <v>0</v>
      </c>
    </row>
    <row r="43" spans="2:16">
      <c r="B43" s="307"/>
      <c r="C43" s="27" t="s">
        <v>61</v>
      </c>
      <c r="D43" s="34" t="s">
        <v>58</v>
      </c>
      <c r="E43" s="31">
        <f>383.03</f>
        <v>383.03</v>
      </c>
      <c r="F43" s="232">
        <f>-60</f>
        <v>-60</v>
      </c>
      <c r="G43" s="232">
        <f t="shared" si="14"/>
        <v>323.02999999999997</v>
      </c>
      <c r="H43" s="232"/>
      <c r="I43" s="232">
        <f t="shared" si="15"/>
        <v>323.02999999999997</v>
      </c>
      <c r="J43" s="240">
        <f t="shared" si="16"/>
        <v>0</v>
      </c>
      <c r="K43" s="241">
        <f t="shared" si="17"/>
        <v>383.03</v>
      </c>
      <c r="L43" s="242">
        <f t="shared" si="21"/>
        <v>-60</v>
      </c>
      <c r="M43" s="242">
        <f t="shared" si="18"/>
        <v>323.02999999999997</v>
      </c>
      <c r="N43" s="243">
        <f t="shared" si="13"/>
        <v>0</v>
      </c>
      <c r="O43" s="242">
        <f t="shared" si="19"/>
        <v>323.02999999999997</v>
      </c>
      <c r="P43" s="260">
        <f t="shared" si="20"/>
        <v>0</v>
      </c>
    </row>
    <row r="44" spans="2:16">
      <c r="B44" s="307"/>
      <c r="C44" s="27" t="s">
        <v>62</v>
      </c>
      <c r="D44" s="34" t="s">
        <v>58</v>
      </c>
      <c r="E44" s="31">
        <f>2.593</f>
        <v>2.593</v>
      </c>
      <c r="F44" s="232"/>
      <c r="G44" s="232">
        <f t="shared" si="14"/>
        <v>2.593</v>
      </c>
      <c r="H44" s="232"/>
      <c r="I44" s="232">
        <f t="shared" si="15"/>
        <v>2.593</v>
      </c>
      <c r="J44" s="240">
        <f t="shared" si="16"/>
        <v>0</v>
      </c>
      <c r="K44" s="241">
        <f t="shared" si="17"/>
        <v>2.593</v>
      </c>
      <c r="L44" s="242">
        <f t="shared" si="21"/>
        <v>0</v>
      </c>
      <c r="M44" s="242">
        <f t="shared" si="18"/>
        <v>2.593</v>
      </c>
      <c r="N44" s="243">
        <f t="shared" si="13"/>
        <v>0</v>
      </c>
      <c r="O44" s="242">
        <f t="shared" si="19"/>
        <v>2.593</v>
      </c>
      <c r="P44" s="260">
        <f t="shared" si="20"/>
        <v>0</v>
      </c>
    </row>
    <row r="45" spans="2:16" ht="15.75" thickBot="1">
      <c r="B45" s="308"/>
      <c r="C45" s="28" t="s">
        <v>63</v>
      </c>
      <c r="D45" s="35" t="s">
        <v>58</v>
      </c>
      <c r="E45" s="32">
        <f>1.755</f>
        <v>1.7549999999999999</v>
      </c>
      <c r="F45" s="244"/>
      <c r="G45" s="244">
        <f>+E45+F45</f>
        <v>1.7549999999999999</v>
      </c>
      <c r="H45" s="244"/>
      <c r="I45" s="244">
        <f>+G45-H45</f>
        <v>1.7549999999999999</v>
      </c>
      <c r="J45" s="245">
        <f>+H45/G45</f>
        <v>0</v>
      </c>
      <c r="K45" s="246">
        <f>+E45</f>
        <v>1.7549999999999999</v>
      </c>
      <c r="L45" s="247">
        <f>+F45</f>
        <v>0</v>
      </c>
      <c r="M45" s="247">
        <f>+K45+L45</f>
        <v>1.7549999999999999</v>
      </c>
      <c r="N45" s="248">
        <f t="shared" si="13"/>
        <v>0</v>
      </c>
      <c r="O45" s="247">
        <f>+M45-N45</f>
        <v>1.7549999999999999</v>
      </c>
      <c r="P45" s="261">
        <f>+N45/M45</f>
        <v>0</v>
      </c>
    </row>
    <row r="46" spans="2:16">
      <c r="E46" s="71">
        <f>SUM(E37:E45)</f>
        <v>1500.0000000000002</v>
      </c>
      <c r="F46" s="249">
        <f>SUM(F37:F45)</f>
        <v>-60</v>
      </c>
      <c r="G46" s="249"/>
      <c r="H46" s="249"/>
      <c r="I46" s="249"/>
      <c r="J46" s="250"/>
      <c r="K46" s="251">
        <f>SUM(K37:K45)</f>
        <v>1500.0000000000002</v>
      </c>
      <c r="L46" s="251">
        <f>SUM(L37:L45)</f>
        <v>-60</v>
      </c>
      <c r="M46" s="251">
        <f>SUM(M37:M45)</f>
        <v>1440.0000000000002</v>
      </c>
      <c r="N46" s="252">
        <f>SUM(N37:N45)</f>
        <v>0</v>
      </c>
      <c r="O46" s="251">
        <f>SUM(O37:O45)</f>
        <v>1440.0000000000002</v>
      </c>
      <c r="P46" s="262">
        <f>+N46/M46</f>
        <v>0</v>
      </c>
    </row>
    <row r="47" spans="2:16">
      <c r="F47" s="249"/>
      <c r="G47" s="249"/>
      <c r="H47" s="249"/>
      <c r="I47" s="249"/>
      <c r="J47" s="250"/>
      <c r="K47" s="249"/>
      <c r="L47" s="249"/>
      <c r="M47" s="249"/>
      <c r="N47" s="253"/>
      <c r="O47" s="249"/>
      <c r="P47" s="249"/>
    </row>
  </sheetData>
  <sortState ref="C16:C32">
    <sortCondition ref="C16"/>
  </sortState>
  <mergeCells count="9">
    <mergeCell ref="B5:P6"/>
    <mergeCell ref="B7:P7"/>
    <mergeCell ref="H9:J9"/>
    <mergeCell ref="E9:G9"/>
    <mergeCell ref="B37:B45"/>
    <mergeCell ref="K9:P9"/>
    <mergeCell ref="B17:B31"/>
    <mergeCell ref="B33:B35"/>
    <mergeCell ref="B11:B15"/>
  </mergeCells>
  <conditionalFormatting sqref="J11:J45 P11:P46">
    <cfRule type="cellIs" dxfId="1" priority="2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G34 G15 M33 M32:O32 M11 G12 M17:M29 M37:M44 G35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B1:V271"/>
  <sheetViews>
    <sheetView workbookViewId="0">
      <pane ySplit="3" topLeftCell="A4" activePane="bottomLeft" state="frozen"/>
      <selection pane="bottomLeft" activeCell="M19" sqref="M19"/>
    </sheetView>
  </sheetViews>
  <sheetFormatPr baseColWidth="10" defaultRowHeight="15"/>
  <cols>
    <col min="1" max="1" width="4.5703125" style="52" customWidth="1"/>
    <col min="2" max="2" width="9.140625" style="90" bestFit="1" customWidth="1"/>
    <col min="3" max="3" width="13.140625" style="90" customWidth="1"/>
    <col min="4" max="5" width="11.42578125" style="90"/>
    <col min="6" max="6" width="19.85546875" style="90" bestFit="1" customWidth="1"/>
    <col min="7" max="8" width="11.42578125" style="90"/>
    <col min="9" max="9" width="10.42578125" style="90" bestFit="1" customWidth="1"/>
    <col min="10" max="10" width="11.85546875" style="90" bestFit="1" customWidth="1"/>
    <col min="11" max="11" width="12.7109375" style="90" bestFit="1" customWidth="1"/>
    <col min="12" max="13" width="10" style="90" customWidth="1"/>
    <col min="14" max="14" width="13.42578125" style="90" customWidth="1"/>
    <col min="15" max="15" width="13.5703125" style="90" customWidth="1"/>
    <col min="16" max="17" width="11.42578125" style="52"/>
    <col min="18" max="19" width="15" style="52" bestFit="1" customWidth="1"/>
    <col min="20" max="20" width="13" style="52" bestFit="1" customWidth="1"/>
    <col min="21" max="21" width="15" style="52" bestFit="1" customWidth="1"/>
    <col min="22" max="22" width="16.42578125" style="52" bestFit="1" customWidth="1"/>
    <col min="23" max="16384" width="11.42578125" style="52"/>
  </cols>
  <sheetData>
    <row r="1" spans="2:22" ht="15.75" thickBo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22" ht="15.75" thickBot="1">
      <c r="B2" s="52"/>
      <c r="C2" s="52"/>
      <c r="D2" s="52"/>
      <c r="E2" s="52"/>
      <c r="F2" s="52"/>
      <c r="G2" s="52"/>
      <c r="H2" s="331" t="s">
        <v>199</v>
      </c>
      <c r="I2" s="327"/>
      <c r="J2" s="327"/>
      <c r="K2" s="328"/>
      <c r="L2" s="327" t="s">
        <v>200</v>
      </c>
      <c r="M2" s="327"/>
      <c r="N2" s="327"/>
      <c r="O2" s="328"/>
    </row>
    <row r="3" spans="2:22" ht="15.75" thickBot="1">
      <c r="B3" s="52"/>
      <c r="C3" s="52"/>
      <c r="D3" s="52"/>
      <c r="E3" s="52"/>
      <c r="F3" s="52"/>
      <c r="G3" s="52"/>
      <c r="H3" s="88" t="s">
        <v>120</v>
      </c>
      <c r="I3" s="88" t="s">
        <v>121</v>
      </c>
      <c r="J3" s="88" t="s">
        <v>122</v>
      </c>
      <c r="K3" s="88" t="s">
        <v>123</v>
      </c>
      <c r="L3" s="89" t="s">
        <v>120</v>
      </c>
      <c r="M3" s="89" t="s">
        <v>121</v>
      </c>
      <c r="N3" s="89" t="s">
        <v>122</v>
      </c>
      <c r="O3" s="89" t="s">
        <v>123</v>
      </c>
      <c r="S3" s="329" t="s">
        <v>309</v>
      </c>
      <c r="T3" s="330"/>
      <c r="U3" s="330"/>
      <c r="V3" s="330"/>
    </row>
    <row r="4" spans="2:22" ht="30">
      <c r="B4" s="92" t="s">
        <v>115</v>
      </c>
      <c r="C4" s="93" t="s">
        <v>116</v>
      </c>
      <c r="D4" s="94" t="s">
        <v>117</v>
      </c>
      <c r="E4" s="93" t="s">
        <v>22</v>
      </c>
      <c r="F4" s="93" t="s">
        <v>118</v>
      </c>
      <c r="G4" s="93" t="s">
        <v>119</v>
      </c>
      <c r="H4" s="93" t="s">
        <v>107</v>
      </c>
      <c r="I4" s="93" t="s">
        <v>107</v>
      </c>
      <c r="J4" s="93" t="s">
        <v>107</v>
      </c>
      <c r="K4" s="93" t="s">
        <v>107</v>
      </c>
      <c r="L4" s="77" t="s">
        <v>108</v>
      </c>
      <c r="M4" s="77" t="s">
        <v>108</v>
      </c>
      <c r="N4" s="77" t="s">
        <v>108</v>
      </c>
      <c r="O4" s="78" t="s">
        <v>108</v>
      </c>
      <c r="S4" s="80" t="s">
        <v>120</v>
      </c>
      <c r="T4" s="80" t="s">
        <v>121</v>
      </c>
      <c r="U4" s="80" t="s">
        <v>122</v>
      </c>
      <c r="V4" s="80" t="s">
        <v>123</v>
      </c>
    </row>
    <row r="5" spans="2:22" ht="15" hidden="1" customHeight="1">
      <c r="B5" s="119" t="s">
        <v>217</v>
      </c>
      <c r="C5" s="125">
        <v>44624</v>
      </c>
      <c r="D5" s="124">
        <v>576</v>
      </c>
      <c r="E5" s="119" t="s">
        <v>95</v>
      </c>
      <c r="F5" s="119" t="s">
        <v>218</v>
      </c>
      <c r="G5" s="124">
        <v>965747</v>
      </c>
      <c r="H5" s="332">
        <v>90000</v>
      </c>
      <c r="I5" s="145">
        <v>663.36199999999997</v>
      </c>
      <c r="J5" s="332">
        <f>H5-(SUM(I5:I40))</f>
        <v>66918.255000000005</v>
      </c>
      <c r="K5" s="333">
        <f>(SUM(I5:I40))/H5</f>
        <v>0.25646383333333334</v>
      </c>
      <c r="L5" s="124"/>
      <c r="M5" s="124"/>
      <c r="N5" s="124"/>
      <c r="O5" s="124"/>
      <c r="R5" s="82" t="s">
        <v>107</v>
      </c>
      <c r="S5" s="134">
        <f>SUM(H5:H263)</f>
        <v>250169.67199999999</v>
      </c>
      <c r="T5" s="134">
        <f>SUM(I5:I263)</f>
        <v>69277.483999999953</v>
      </c>
      <c r="U5" s="134">
        <f>+S5-T5</f>
        <v>180892.18800000002</v>
      </c>
      <c r="V5" s="49">
        <f>+T5/S5</f>
        <v>0.27692199236684434</v>
      </c>
    </row>
    <row r="6" spans="2:22" ht="15" hidden="1" customHeight="1">
      <c r="B6" s="119" t="s">
        <v>217</v>
      </c>
      <c r="C6" s="125">
        <v>44624</v>
      </c>
      <c r="D6" s="124">
        <v>576</v>
      </c>
      <c r="E6" s="119" t="s">
        <v>95</v>
      </c>
      <c r="F6" s="119" t="s">
        <v>219</v>
      </c>
      <c r="G6" s="124">
        <v>956794</v>
      </c>
      <c r="H6" s="295"/>
      <c r="I6" s="145">
        <v>469.63799999999998</v>
      </c>
      <c r="J6" s="295"/>
      <c r="K6" s="317"/>
      <c r="L6" s="124"/>
      <c r="M6" s="124"/>
      <c r="N6" s="124"/>
      <c r="O6" s="124"/>
      <c r="R6" s="82" t="s">
        <v>128</v>
      </c>
      <c r="S6" s="134">
        <f>L160</f>
        <v>60</v>
      </c>
      <c r="T6" s="134">
        <f>M160+M161+M162</f>
        <v>0</v>
      </c>
      <c r="U6" s="134">
        <f>+S6-T6</f>
        <v>60</v>
      </c>
      <c r="V6" s="49">
        <f>+T6/S6</f>
        <v>0</v>
      </c>
    </row>
    <row r="7" spans="2:22" ht="15" hidden="1" customHeight="1">
      <c r="B7" s="119" t="s">
        <v>217</v>
      </c>
      <c r="C7" s="125">
        <v>44624</v>
      </c>
      <c r="D7" s="124">
        <v>576</v>
      </c>
      <c r="E7" s="119" t="s">
        <v>95</v>
      </c>
      <c r="F7" s="119" t="s">
        <v>220</v>
      </c>
      <c r="G7" s="124">
        <v>963544</v>
      </c>
      <c r="H7" s="295"/>
      <c r="I7" s="145">
        <v>1071.325</v>
      </c>
      <c r="J7" s="295"/>
      <c r="K7" s="317"/>
      <c r="L7" s="124"/>
      <c r="M7" s="124"/>
      <c r="N7" s="124"/>
      <c r="O7" s="124"/>
      <c r="R7" s="82" t="s">
        <v>129</v>
      </c>
      <c r="S7" s="81">
        <f>SUM(S5:S6)</f>
        <v>250229.67199999999</v>
      </c>
      <c r="T7" s="82">
        <f>SUM(T5:T6)</f>
        <v>69277.483999999953</v>
      </c>
      <c r="U7" s="81">
        <f>+S7-T7</f>
        <v>180952.18800000002</v>
      </c>
      <c r="V7" s="83">
        <f>+T7/S7</f>
        <v>0.27685559208981403</v>
      </c>
    </row>
    <row r="8" spans="2:22" ht="15" hidden="1" customHeight="1">
      <c r="B8" s="119" t="s">
        <v>217</v>
      </c>
      <c r="C8" s="125">
        <v>44624</v>
      </c>
      <c r="D8" s="124">
        <v>576</v>
      </c>
      <c r="E8" s="119" t="s">
        <v>95</v>
      </c>
      <c r="F8" s="119" t="s">
        <v>221</v>
      </c>
      <c r="G8" s="124">
        <v>963409</v>
      </c>
      <c r="H8" s="295"/>
      <c r="I8" s="145">
        <v>1108.846</v>
      </c>
      <c r="J8" s="295"/>
      <c r="K8" s="317"/>
      <c r="L8" s="124"/>
      <c r="M8" s="124"/>
      <c r="N8" s="124"/>
      <c r="O8" s="124"/>
      <c r="R8" s="188" t="s">
        <v>298</v>
      </c>
      <c r="S8" s="186">
        <f>H5+H85+H93+H100+H101+H102+H119+H120+H121+H122+H125+H148</f>
        <v>144511.39499999999</v>
      </c>
      <c r="T8" s="186">
        <f>(SUM(I5:I40))+(SUM(I85:I92))+I93+I100+I101+(SUM(I102:I108))+I119+I120+I121+I122+I123+I124+(SUM(I125:I131))+(SUM(I148:I154))</f>
        <v>33103.03</v>
      </c>
      <c r="U8" s="186">
        <f>J5+J85+J93+J100+J101+J102+J119+J120+J121+J122+J125+J148</f>
        <v>111408.36499999999</v>
      </c>
      <c r="V8" s="187">
        <f>T8/S8</f>
        <v>0.22906864887713527</v>
      </c>
    </row>
    <row r="9" spans="2:22" ht="15" hidden="1" customHeight="1">
      <c r="B9" s="119" t="s">
        <v>217</v>
      </c>
      <c r="C9" s="125">
        <v>44624</v>
      </c>
      <c r="D9" s="124">
        <v>576</v>
      </c>
      <c r="E9" s="119" t="s">
        <v>95</v>
      </c>
      <c r="F9" s="119" t="s">
        <v>222</v>
      </c>
      <c r="G9" s="124">
        <v>966363</v>
      </c>
      <c r="H9" s="295"/>
      <c r="I9" s="145">
        <v>623.05499999999995</v>
      </c>
      <c r="J9" s="295"/>
      <c r="K9" s="317"/>
      <c r="L9" s="124"/>
      <c r="M9" s="124"/>
      <c r="N9" s="124"/>
      <c r="O9" s="124"/>
      <c r="R9" s="188" t="s">
        <v>299</v>
      </c>
      <c r="S9" s="186">
        <f>H41+H54</f>
        <v>85000</v>
      </c>
      <c r="T9" s="186">
        <f>(SUM(I41:I53))+(SUM(I54:I67))</f>
        <v>25842.613000000005</v>
      </c>
      <c r="U9" s="186">
        <f>J41+J54</f>
        <v>59157.387000000002</v>
      </c>
      <c r="V9" s="187">
        <f>T9/S9</f>
        <v>0.30403074117647066</v>
      </c>
    </row>
    <row r="10" spans="2:22" ht="15" hidden="1" customHeight="1">
      <c r="B10" s="119" t="s">
        <v>217</v>
      </c>
      <c r="C10" s="125">
        <v>44624</v>
      </c>
      <c r="D10" s="124">
        <v>576</v>
      </c>
      <c r="E10" s="119" t="s">
        <v>95</v>
      </c>
      <c r="F10" s="119" t="s">
        <v>223</v>
      </c>
      <c r="G10" s="124">
        <v>965738</v>
      </c>
      <c r="H10" s="295"/>
      <c r="I10" s="145">
        <v>687.024</v>
      </c>
      <c r="J10" s="295"/>
      <c r="K10" s="317"/>
      <c r="L10" s="124"/>
      <c r="M10" s="124"/>
      <c r="N10" s="124"/>
      <c r="O10" s="124"/>
      <c r="R10" s="188" t="s">
        <v>297</v>
      </c>
      <c r="S10" s="186">
        <f>H109</f>
        <v>8688.277</v>
      </c>
      <c r="T10" s="186">
        <f>(SUM(I109:I118))</f>
        <v>5347.07</v>
      </c>
      <c r="U10" s="186">
        <f>J109</f>
        <v>3341.2070000000003</v>
      </c>
      <c r="V10" s="187">
        <f>T10/S10</f>
        <v>0.6154350281419434</v>
      </c>
    </row>
    <row r="11" spans="2:22" ht="15" hidden="1" customHeight="1">
      <c r="B11" s="119" t="s">
        <v>217</v>
      </c>
      <c r="C11" s="125">
        <v>44624</v>
      </c>
      <c r="D11" s="124">
        <v>576</v>
      </c>
      <c r="E11" s="119" t="s">
        <v>95</v>
      </c>
      <c r="F11" s="119" t="s">
        <v>224</v>
      </c>
      <c r="G11" s="124">
        <v>955856</v>
      </c>
      <c r="H11" s="295"/>
      <c r="I11" s="145">
        <v>340.45</v>
      </c>
      <c r="J11" s="295"/>
      <c r="K11" s="317"/>
      <c r="L11" s="124"/>
      <c r="M11" s="124"/>
      <c r="N11" s="124"/>
      <c r="O11" s="124"/>
      <c r="R11" s="188" t="s">
        <v>300</v>
      </c>
      <c r="S11" s="186">
        <f>H68+H94+H132+H142+H155</f>
        <v>11970</v>
      </c>
      <c r="T11" s="186">
        <f>(SUM(I68:I84))+(SUM(I94:I99))+(SUM(I132:I141))+(SUM(I142:I147))+(SUM(I155:I159))</f>
        <v>4984.7709999999997</v>
      </c>
      <c r="U11" s="186">
        <f>J68+J94+J132+J142+J155</f>
        <v>6985.2289999999994</v>
      </c>
      <c r="V11" s="187">
        <f>T11/S11</f>
        <v>0.41643868003341683</v>
      </c>
    </row>
    <row r="12" spans="2:22" ht="15" hidden="1" customHeight="1">
      <c r="B12" s="119" t="s">
        <v>217</v>
      </c>
      <c r="C12" s="125">
        <v>44624</v>
      </c>
      <c r="D12" s="124">
        <v>576</v>
      </c>
      <c r="E12" s="119" t="s">
        <v>95</v>
      </c>
      <c r="F12" s="119" t="s">
        <v>225</v>
      </c>
      <c r="G12" s="124">
        <v>969249</v>
      </c>
      <c r="H12" s="295"/>
      <c r="I12" s="145">
        <v>711.13</v>
      </c>
      <c r="J12" s="295"/>
      <c r="K12" s="317"/>
      <c r="L12" s="124"/>
      <c r="M12" s="124"/>
      <c r="N12" s="124"/>
      <c r="O12" s="124"/>
    </row>
    <row r="13" spans="2:22" ht="15" hidden="1" customHeight="1">
      <c r="B13" s="119" t="s">
        <v>217</v>
      </c>
      <c r="C13" s="125">
        <v>44624</v>
      </c>
      <c r="D13" s="124">
        <v>576</v>
      </c>
      <c r="E13" s="119" t="s">
        <v>95</v>
      </c>
      <c r="F13" s="119" t="s">
        <v>226</v>
      </c>
      <c r="G13" s="124">
        <v>964506</v>
      </c>
      <c r="H13" s="295"/>
      <c r="I13" s="145"/>
      <c r="J13" s="295"/>
      <c r="K13" s="317"/>
      <c r="L13" s="124"/>
      <c r="M13" s="124"/>
      <c r="N13" s="124"/>
      <c r="O13" s="124"/>
    </row>
    <row r="14" spans="2:22" ht="15" hidden="1" customHeight="1">
      <c r="B14" s="119" t="s">
        <v>217</v>
      </c>
      <c r="C14" s="125">
        <v>44624</v>
      </c>
      <c r="D14" s="124">
        <v>576</v>
      </c>
      <c r="E14" s="119" t="s">
        <v>95</v>
      </c>
      <c r="F14" s="119" t="s">
        <v>227</v>
      </c>
      <c r="G14" s="124">
        <v>967834</v>
      </c>
      <c r="H14" s="295"/>
      <c r="I14" s="123">
        <v>419.28800000000001</v>
      </c>
      <c r="J14" s="295"/>
      <c r="K14" s="317"/>
      <c r="L14" s="124"/>
      <c r="M14" s="124"/>
      <c r="N14" s="124"/>
      <c r="O14" s="124"/>
    </row>
    <row r="15" spans="2:22" ht="15" hidden="1" customHeight="1">
      <c r="B15" s="119" t="s">
        <v>217</v>
      </c>
      <c r="C15" s="125">
        <v>44624</v>
      </c>
      <c r="D15" s="124">
        <v>576</v>
      </c>
      <c r="E15" s="119" t="s">
        <v>95</v>
      </c>
      <c r="F15" s="119" t="s">
        <v>209</v>
      </c>
      <c r="G15" s="124">
        <v>966916</v>
      </c>
      <c r="H15" s="295"/>
      <c r="I15" s="123">
        <v>759.98599999999999</v>
      </c>
      <c r="J15" s="295"/>
      <c r="K15" s="317"/>
      <c r="L15" s="124"/>
      <c r="M15" s="124"/>
      <c r="N15" s="124"/>
      <c r="O15" s="124"/>
    </row>
    <row r="16" spans="2:22" ht="15" hidden="1" customHeight="1">
      <c r="B16" s="119" t="s">
        <v>217</v>
      </c>
      <c r="C16" s="125">
        <v>44624</v>
      </c>
      <c r="D16" s="124">
        <v>576</v>
      </c>
      <c r="E16" s="119" t="s">
        <v>95</v>
      </c>
      <c r="F16" s="119" t="s">
        <v>228</v>
      </c>
      <c r="G16" s="124">
        <v>697783</v>
      </c>
      <c r="H16" s="295"/>
      <c r="I16" s="123"/>
      <c r="J16" s="295"/>
      <c r="K16" s="317"/>
      <c r="L16" s="124"/>
      <c r="M16" s="124"/>
      <c r="N16" s="124"/>
      <c r="O16" s="124"/>
    </row>
    <row r="17" spans="2:15" ht="15" hidden="1" customHeight="1">
      <c r="B17" s="119" t="s">
        <v>217</v>
      </c>
      <c r="C17" s="125">
        <v>44624</v>
      </c>
      <c r="D17" s="124">
        <v>576</v>
      </c>
      <c r="E17" s="119" t="s">
        <v>95</v>
      </c>
      <c r="F17" s="119" t="s">
        <v>229</v>
      </c>
      <c r="G17" s="124">
        <v>697526</v>
      </c>
      <c r="H17" s="295"/>
      <c r="I17" s="123"/>
      <c r="J17" s="295"/>
      <c r="K17" s="317"/>
      <c r="L17" s="124"/>
      <c r="M17" s="124"/>
      <c r="N17" s="124"/>
      <c r="O17" s="124"/>
    </row>
    <row r="18" spans="2:15" ht="15" hidden="1" customHeight="1">
      <c r="B18" s="119" t="s">
        <v>217</v>
      </c>
      <c r="C18" s="125">
        <v>44624</v>
      </c>
      <c r="D18" s="124">
        <v>576</v>
      </c>
      <c r="E18" s="119" t="s">
        <v>95</v>
      </c>
      <c r="F18" s="119" t="s">
        <v>230</v>
      </c>
      <c r="G18" s="124">
        <v>698422</v>
      </c>
      <c r="H18" s="295"/>
      <c r="I18" s="123">
        <v>338.39800000000002</v>
      </c>
      <c r="J18" s="295"/>
      <c r="K18" s="317"/>
      <c r="L18" s="124"/>
      <c r="M18" s="124"/>
      <c r="N18" s="124"/>
      <c r="O18" s="124"/>
    </row>
    <row r="19" spans="2:15" ht="15" hidden="1" customHeight="1">
      <c r="B19" s="119" t="s">
        <v>217</v>
      </c>
      <c r="C19" s="125">
        <v>44624</v>
      </c>
      <c r="D19" s="124">
        <v>576</v>
      </c>
      <c r="E19" s="119" t="s">
        <v>95</v>
      </c>
      <c r="F19" s="119" t="s">
        <v>231</v>
      </c>
      <c r="G19" s="124">
        <v>697319</v>
      </c>
      <c r="H19" s="295"/>
      <c r="I19" s="123">
        <v>389.26799999999997</v>
      </c>
      <c r="J19" s="295"/>
      <c r="K19" s="317"/>
      <c r="L19" s="124"/>
      <c r="M19" s="124"/>
      <c r="N19" s="124"/>
      <c r="O19" s="124"/>
    </row>
    <row r="20" spans="2:15" ht="15" hidden="1" customHeight="1">
      <c r="B20" s="119" t="s">
        <v>217</v>
      </c>
      <c r="C20" s="125">
        <v>44624</v>
      </c>
      <c r="D20" s="124">
        <v>576</v>
      </c>
      <c r="E20" s="119" t="s">
        <v>95</v>
      </c>
      <c r="F20" s="119" t="s">
        <v>232</v>
      </c>
      <c r="G20" s="124">
        <v>952279</v>
      </c>
      <c r="H20" s="295"/>
      <c r="I20" s="123">
        <v>810.58500000000004</v>
      </c>
      <c r="J20" s="295"/>
      <c r="K20" s="317"/>
      <c r="L20" s="124"/>
      <c r="M20" s="124"/>
      <c r="N20" s="124"/>
      <c r="O20" s="124"/>
    </row>
    <row r="21" spans="2:15" ht="15" hidden="1" customHeight="1">
      <c r="B21" s="119" t="s">
        <v>217</v>
      </c>
      <c r="C21" s="125">
        <v>44624</v>
      </c>
      <c r="D21" s="124">
        <v>576</v>
      </c>
      <c r="E21" s="119" t="s">
        <v>95</v>
      </c>
      <c r="F21" s="119" t="s">
        <v>233</v>
      </c>
      <c r="G21" s="124">
        <v>961261</v>
      </c>
      <c r="H21" s="295"/>
      <c r="I21" s="123">
        <v>851.16399999999999</v>
      </c>
      <c r="J21" s="295"/>
      <c r="K21" s="317"/>
      <c r="L21" s="124"/>
      <c r="M21" s="124"/>
      <c r="N21" s="124"/>
      <c r="O21" s="124"/>
    </row>
    <row r="22" spans="2:15" hidden="1">
      <c r="B22" s="119" t="s">
        <v>217</v>
      </c>
      <c r="C22" s="125">
        <v>44624</v>
      </c>
      <c r="D22" s="124">
        <v>576</v>
      </c>
      <c r="E22" s="119" t="s">
        <v>95</v>
      </c>
      <c r="F22" s="147" t="s">
        <v>234</v>
      </c>
      <c r="G22" s="144">
        <v>697514</v>
      </c>
      <c r="H22" s="295"/>
      <c r="I22" s="145">
        <v>1016.259</v>
      </c>
      <c r="J22" s="295"/>
      <c r="K22" s="317"/>
      <c r="L22" s="144"/>
      <c r="M22" s="144"/>
      <c r="N22" s="144"/>
      <c r="O22" s="144"/>
    </row>
    <row r="23" spans="2:15" hidden="1">
      <c r="B23" s="119" t="s">
        <v>217</v>
      </c>
      <c r="C23" s="125">
        <v>44624</v>
      </c>
      <c r="D23" s="124">
        <v>576</v>
      </c>
      <c r="E23" s="119" t="s">
        <v>95</v>
      </c>
      <c r="F23" s="147" t="s">
        <v>227</v>
      </c>
      <c r="G23" s="144">
        <v>913564</v>
      </c>
      <c r="H23" s="295"/>
      <c r="I23" s="145">
        <v>760.77200000000005</v>
      </c>
      <c r="J23" s="295"/>
      <c r="K23" s="317"/>
      <c r="L23" s="144"/>
      <c r="M23" s="144"/>
      <c r="N23" s="144"/>
      <c r="O23" s="144"/>
    </row>
    <row r="24" spans="2:15" hidden="1">
      <c r="B24" s="119" t="s">
        <v>217</v>
      </c>
      <c r="C24" s="125">
        <v>44624</v>
      </c>
      <c r="D24" s="124">
        <v>576</v>
      </c>
      <c r="E24" s="119" t="s">
        <v>95</v>
      </c>
      <c r="F24" s="147" t="s">
        <v>235</v>
      </c>
      <c r="G24" s="144">
        <v>968293</v>
      </c>
      <c r="H24" s="295"/>
      <c r="I24" s="145">
        <v>1052.355</v>
      </c>
      <c r="J24" s="295"/>
      <c r="K24" s="317"/>
      <c r="L24" s="144"/>
      <c r="M24" s="144"/>
      <c r="N24" s="144"/>
      <c r="O24" s="144"/>
    </row>
    <row r="25" spans="2:15" hidden="1">
      <c r="B25" s="119" t="s">
        <v>217</v>
      </c>
      <c r="C25" s="125">
        <v>44624</v>
      </c>
      <c r="D25" s="124">
        <v>576</v>
      </c>
      <c r="E25" s="119" t="s">
        <v>95</v>
      </c>
      <c r="F25" s="147" t="s">
        <v>236</v>
      </c>
      <c r="G25" s="144">
        <v>964503</v>
      </c>
      <c r="H25" s="295"/>
      <c r="I25" s="145">
        <v>1099.155</v>
      </c>
      <c r="J25" s="295"/>
      <c r="K25" s="317"/>
      <c r="L25" s="144"/>
      <c r="M25" s="144"/>
      <c r="N25" s="144"/>
      <c r="O25" s="144"/>
    </row>
    <row r="26" spans="2:15" hidden="1">
      <c r="B26" s="119" t="s">
        <v>217</v>
      </c>
      <c r="C26" s="125">
        <v>44624</v>
      </c>
      <c r="D26" s="124">
        <v>576</v>
      </c>
      <c r="E26" s="119" t="s">
        <v>95</v>
      </c>
      <c r="F26" s="147" t="s">
        <v>210</v>
      </c>
      <c r="G26" s="144">
        <v>913590</v>
      </c>
      <c r="H26" s="295"/>
      <c r="I26" s="145">
        <v>86.91</v>
      </c>
      <c r="J26" s="295"/>
      <c r="K26" s="317"/>
      <c r="L26" s="144"/>
      <c r="M26" s="144"/>
      <c r="N26" s="144"/>
      <c r="O26" s="144"/>
    </row>
    <row r="27" spans="2:15" hidden="1">
      <c r="B27" s="119" t="s">
        <v>217</v>
      </c>
      <c r="C27" s="125">
        <v>44624</v>
      </c>
      <c r="D27" s="124">
        <v>576</v>
      </c>
      <c r="E27" s="119" t="s">
        <v>95</v>
      </c>
      <c r="F27" s="147" t="s">
        <v>237</v>
      </c>
      <c r="G27" s="144">
        <v>698685</v>
      </c>
      <c r="H27" s="295"/>
      <c r="I27" s="145">
        <v>792.274</v>
      </c>
      <c r="J27" s="295"/>
      <c r="K27" s="317"/>
      <c r="L27" s="144"/>
      <c r="M27" s="144"/>
      <c r="N27" s="144"/>
      <c r="O27" s="144"/>
    </row>
    <row r="28" spans="2:15" hidden="1">
      <c r="B28" s="119" t="s">
        <v>217</v>
      </c>
      <c r="C28" s="125">
        <v>44624</v>
      </c>
      <c r="D28" s="124">
        <v>576</v>
      </c>
      <c r="E28" s="119" t="s">
        <v>95</v>
      </c>
      <c r="F28" s="147" t="s">
        <v>238</v>
      </c>
      <c r="G28" s="144">
        <v>952277</v>
      </c>
      <c r="H28" s="295"/>
      <c r="I28" s="145">
        <v>654.39499999999998</v>
      </c>
      <c r="J28" s="295"/>
      <c r="K28" s="317"/>
      <c r="L28" s="144"/>
      <c r="M28" s="144"/>
      <c r="N28" s="144"/>
      <c r="O28" s="144"/>
    </row>
    <row r="29" spans="2:15" hidden="1">
      <c r="B29" s="119" t="s">
        <v>217</v>
      </c>
      <c r="C29" s="125">
        <v>44624</v>
      </c>
      <c r="D29" s="124">
        <v>576</v>
      </c>
      <c r="E29" s="119" t="s">
        <v>95</v>
      </c>
      <c r="F29" s="147" t="s">
        <v>239</v>
      </c>
      <c r="G29" s="144">
        <v>914147</v>
      </c>
      <c r="H29" s="295"/>
      <c r="I29" s="145">
        <v>143.08600000000001</v>
      </c>
      <c r="J29" s="295"/>
      <c r="K29" s="317"/>
      <c r="L29" s="144"/>
      <c r="M29" s="144"/>
      <c r="N29" s="144"/>
      <c r="O29" s="144"/>
    </row>
    <row r="30" spans="2:15" hidden="1">
      <c r="B30" s="119" t="s">
        <v>217</v>
      </c>
      <c r="C30" s="125">
        <v>44624</v>
      </c>
      <c r="D30" s="124">
        <v>576</v>
      </c>
      <c r="E30" s="119" t="s">
        <v>95</v>
      </c>
      <c r="F30" s="147" t="s">
        <v>240</v>
      </c>
      <c r="G30" s="144">
        <v>960140</v>
      </c>
      <c r="H30" s="295"/>
      <c r="I30" s="145">
        <v>1135.039</v>
      </c>
      <c r="J30" s="295"/>
      <c r="K30" s="317"/>
      <c r="L30" s="144"/>
      <c r="M30" s="144"/>
      <c r="N30" s="144"/>
      <c r="O30" s="144"/>
    </row>
    <row r="31" spans="2:15" hidden="1">
      <c r="B31" s="119" t="s">
        <v>217</v>
      </c>
      <c r="C31" s="125">
        <v>44624</v>
      </c>
      <c r="D31" s="124">
        <v>576</v>
      </c>
      <c r="E31" s="119" t="s">
        <v>95</v>
      </c>
      <c r="F31" s="147" t="s">
        <v>241</v>
      </c>
      <c r="G31" s="144">
        <v>953852</v>
      </c>
      <c r="H31" s="295"/>
      <c r="I31" s="145">
        <v>517.96799999999996</v>
      </c>
      <c r="J31" s="295"/>
      <c r="K31" s="317"/>
      <c r="L31" s="144"/>
      <c r="M31" s="144"/>
      <c r="N31" s="144"/>
      <c r="O31" s="144"/>
    </row>
    <row r="32" spans="2:15" hidden="1">
      <c r="B32" s="119" t="s">
        <v>217</v>
      </c>
      <c r="C32" s="125">
        <v>44624</v>
      </c>
      <c r="D32" s="124">
        <v>576</v>
      </c>
      <c r="E32" s="119" t="s">
        <v>95</v>
      </c>
      <c r="F32" s="147" t="s">
        <v>242</v>
      </c>
      <c r="G32" s="144">
        <v>914125</v>
      </c>
      <c r="H32" s="295"/>
      <c r="I32" s="145">
        <v>507.90899999999999</v>
      </c>
      <c r="J32" s="295"/>
      <c r="K32" s="317"/>
      <c r="L32" s="144"/>
      <c r="M32" s="144"/>
      <c r="N32" s="144"/>
      <c r="O32" s="144"/>
    </row>
    <row r="33" spans="2:15" hidden="1">
      <c r="B33" s="119" t="s">
        <v>217</v>
      </c>
      <c r="C33" s="125">
        <v>44624</v>
      </c>
      <c r="D33" s="124">
        <v>576</v>
      </c>
      <c r="E33" s="119" t="s">
        <v>95</v>
      </c>
      <c r="F33" s="147" t="s">
        <v>243</v>
      </c>
      <c r="G33" s="144">
        <v>968795</v>
      </c>
      <c r="H33" s="295"/>
      <c r="I33" s="145">
        <v>592.71299999999997</v>
      </c>
      <c r="J33" s="295"/>
      <c r="K33" s="317"/>
      <c r="L33" s="144"/>
      <c r="M33" s="144"/>
      <c r="N33" s="144"/>
      <c r="O33" s="144"/>
    </row>
    <row r="34" spans="2:15" hidden="1">
      <c r="B34" s="119" t="s">
        <v>217</v>
      </c>
      <c r="C34" s="125">
        <v>44624</v>
      </c>
      <c r="D34" s="124">
        <v>576</v>
      </c>
      <c r="E34" s="119" t="s">
        <v>95</v>
      </c>
      <c r="F34" s="147" t="s">
        <v>244</v>
      </c>
      <c r="G34" s="144">
        <v>698348</v>
      </c>
      <c r="H34" s="295"/>
      <c r="I34" s="145">
        <v>256.67700000000002</v>
      </c>
      <c r="J34" s="295"/>
      <c r="K34" s="317"/>
      <c r="L34" s="144"/>
      <c r="M34" s="144"/>
      <c r="N34" s="144"/>
      <c r="O34" s="144"/>
    </row>
    <row r="35" spans="2:15" hidden="1">
      <c r="B35" s="119" t="s">
        <v>217</v>
      </c>
      <c r="C35" s="125">
        <v>44624</v>
      </c>
      <c r="D35" s="124">
        <v>576</v>
      </c>
      <c r="E35" s="119" t="s">
        <v>95</v>
      </c>
      <c r="F35" s="147" t="s">
        <v>245</v>
      </c>
      <c r="G35" s="144">
        <v>968111</v>
      </c>
      <c r="H35" s="295"/>
      <c r="I35" s="145">
        <v>1131.0250000000001</v>
      </c>
      <c r="J35" s="295"/>
      <c r="K35" s="317"/>
      <c r="L35" s="144"/>
      <c r="M35" s="144"/>
      <c r="N35" s="144"/>
      <c r="O35" s="144"/>
    </row>
    <row r="36" spans="2:15" hidden="1">
      <c r="B36" s="119" t="s">
        <v>217</v>
      </c>
      <c r="C36" s="125">
        <v>44624</v>
      </c>
      <c r="D36" s="124">
        <v>576</v>
      </c>
      <c r="E36" s="119" t="s">
        <v>95</v>
      </c>
      <c r="F36" s="147" t="s">
        <v>246</v>
      </c>
      <c r="G36" s="144">
        <v>963908</v>
      </c>
      <c r="H36" s="295"/>
      <c r="I36" s="145">
        <v>870.67</v>
      </c>
      <c r="J36" s="295"/>
      <c r="K36" s="317"/>
      <c r="L36" s="144"/>
      <c r="M36" s="144"/>
      <c r="N36" s="144"/>
      <c r="O36" s="144"/>
    </row>
    <row r="37" spans="2:15" hidden="1">
      <c r="B37" s="119" t="s">
        <v>217</v>
      </c>
      <c r="C37" s="125">
        <v>44624</v>
      </c>
      <c r="D37" s="124">
        <v>576</v>
      </c>
      <c r="E37" s="119" t="s">
        <v>95</v>
      </c>
      <c r="F37" s="147" t="s">
        <v>247</v>
      </c>
      <c r="G37" s="144">
        <v>914124</v>
      </c>
      <c r="H37" s="295"/>
      <c r="I37" s="145">
        <v>570.77499999999998</v>
      </c>
      <c r="J37" s="295"/>
      <c r="K37" s="317"/>
      <c r="L37" s="144"/>
      <c r="M37" s="144"/>
      <c r="N37" s="144"/>
      <c r="O37" s="144"/>
    </row>
    <row r="38" spans="2:15" hidden="1">
      <c r="B38" s="119" t="s">
        <v>217</v>
      </c>
      <c r="C38" s="125">
        <v>44624</v>
      </c>
      <c r="D38" s="124">
        <v>576</v>
      </c>
      <c r="E38" s="119" t="s">
        <v>95</v>
      </c>
      <c r="F38" s="147" t="s">
        <v>248</v>
      </c>
      <c r="G38" s="144">
        <v>914128</v>
      </c>
      <c r="H38" s="295"/>
      <c r="I38" s="145">
        <v>1019.0549999999999</v>
      </c>
      <c r="J38" s="295"/>
      <c r="K38" s="317"/>
      <c r="L38" s="144"/>
      <c r="M38" s="144"/>
      <c r="N38" s="144"/>
      <c r="O38" s="144"/>
    </row>
    <row r="39" spans="2:15" hidden="1">
      <c r="B39" s="119" t="s">
        <v>217</v>
      </c>
      <c r="C39" s="125">
        <v>44624</v>
      </c>
      <c r="D39" s="124">
        <v>576</v>
      </c>
      <c r="E39" s="119" t="s">
        <v>95</v>
      </c>
      <c r="F39" s="147" t="s">
        <v>249</v>
      </c>
      <c r="G39" s="144">
        <v>961059</v>
      </c>
      <c r="H39" s="295"/>
      <c r="I39" s="145">
        <v>1005.79</v>
      </c>
      <c r="J39" s="295"/>
      <c r="K39" s="317"/>
      <c r="L39" s="144"/>
      <c r="M39" s="144"/>
      <c r="N39" s="144"/>
      <c r="O39" s="144"/>
    </row>
    <row r="40" spans="2:15" hidden="1">
      <c r="B40" s="119" t="s">
        <v>217</v>
      </c>
      <c r="C40" s="125">
        <v>44624</v>
      </c>
      <c r="D40" s="124">
        <v>576</v>
      </c>
      <c r="E40" s="119" t="s">
        <v>95</v>
      </c>
      <c r="F40" s="147" t="s">
        <v>250</v>
      </c>
      <c r="G40" s="144">
        <v>969314</v>
      </c>
      <c r="H40" s="296"/>
      <c r="I40" s="145">
        <v>625.399</v>
      </c>
      <c r="J40" s="296"/>
      <c r="K40" s="318"/>
      <c r="L40" s="144"/>
      <c r="M40" s="144"/>
      <c r="N40" s="144"/>
      <c r="O40" s="144"/>
    </row>
    <row r="41" spans="2:15" hidden="1">
      <c r="B41" s="119" t="s">
        <v>217</v>
      </c>
      <c r="C41" s="125">
        <v>44624</v>
      </c>
      <c r="D41" s="144">
        <v>577</v>
      </c>
      <c r="E41" s="147" t="s">
        <v>10</v>
      </c>
      <c r="F41" s="147" t="s">
        <v>251</v>
      </c>
      <c r="G41" s="144">
        <v>698967</v>
      </c>
      <c r="H41" s="332">
        <v>20000</v>
      </c>
      <c r="I41" s="145">
        <v>150.92500000000001</v>
      </c>
      <c r="J41" s="332">
        <f>H41-(SUM(I41:I53))</f>
        <v>11363.416999999999</v>
      </c>
      <c r="K41" s="333">
        <f>(SUM(I41:I53))/H41</f>
        <v>0.43182915000000005</v>
      </c>
      <c r="L41" s="144"/>
      <c r="M41" s="144"/>
      <c r="N41" s="144"/>
      <c r="O41" s="144"/>
    </row>
    <row r="42" spans="2:15" hidden="1">
      <c r="B42" s="119" t="s">
        <v>217</v>
      </c>
      <c r="C42" s="125">
        <v>44624</v>
      </c>
      <c r="D42" s="144">
        <v>577</v>
      </c>
      <c r="E42" s="147" t="s">
        <v>10</v>
      </c>
      <c r="F42" s="147" t="s">
        <v>252</v>
      </c>
      <c r="G42" s="144">
        <v>967935</v>
      </c>
      <c r="H42" s="295"/>
      <c r="I42" s="145">
        <v>37.28</v>
      </c>
      <c r="J42" s="295"/>
      <c r="K42" s="317"/>
      <c r="L42" s="144"/>
      <c r="M42" s="144"/>
      <c r="N42" s="144"/>
      <c r="O42" s="144"/>
    </row>
    <row r="43" spans="2:15" hidden="1">
      <c r="B43" s="119" t="s">
        <v>217</v>
      </c>
      <c r="C43" s="125">
        <v>44624</v>
      </c>
      <c r="D43" s="144">
        <v>577</v>
      </c>
      <c r="E43" s="147" t="s">
        <v>10</v>
      </c>
      <c r="F43" s="147" t="s">
        <v>253</v>
      </c>
      <c r="G43" s="144">
        <v>968808</v>
      </c>
      <c r="H43" s="295"/>
      <c r="I43" s="145"/>
      <c r="J43" s="295"/>
      <c r="K43" s="317"/>
      <c r="L43" s="144"/>
      <c r="M43" s="144"/>
      <c r="N43" s="144"/>
      <c r="O43" s="144"/>
    </row>
    <row r="44" spans="2:15" hidden="1">
      <c r="B44" s="119" t="s">
        <v>217</v>
      </c>
      <c r="C44" s="125">
        <v>44624</v>
      </c>
      <c r="D44" s="144">
        <v>577</v>
      </c>
      <c r="E44" s="147" t="s">
        <v>10</v>
      </c>
      <c r="F44" s="147" t="s">
        <v>254</v>
      </c>
      <c r="G44" s="144">
        <v>967513</v>
      </c>
      <c r="H44" s="295"/>
      <c r="I44" s="145">
        <v>1389.37</v>
      </c>
      <c r="J44" s="295"/>
      <c r="K44" s="317"/>
      <c r="L44" s="144"/>
      <c r="M44" s="144"/>
      <c r="N44" s="144"/>
      <c r="O44" s="144"/>
    </row>
    <row r="45" spans="2:15" hidden="1">
      <c r="B45" s="119" t="s">
        <v>217</v>
      </c>
      <c r="C45" s="125">
        <v>44624</v>
      </c>
      <c r="D45" s="144">
        <v>577</v>
      </c>
      <c r="E45" s="147" t="s">
        <v>10</v>
      </c>
      <c r="F45" s="147" t="s">
        <v>255</v>
      </c>
      <c r="G45" s="144">
        <v>968789</v>
      </c>
      <c r="H45" s="295"/>
      <c r="I45" s="145">
        <v>659.44</v>
      </c>
      <c r="J45" s="295"/>
      <c r="K45" s="317"/>
      <c r="L45" s="144"/>
      <c r="M45" s="144"/>
      <c r="N45" s="144"/>
      <c r="O45" s="144"/>
    </row>
    <row r="46" spans="2:15" hidden="1">
      <c r="B46" s="119" t="s">
        <v>217</v>
      </c>
      <c r="C46" s="125">
        <v>44624</v>
      </c>
      <c r="D46" s="144">
        <v>577</v>
      </c>
      <c r="E46" s="147" t="s">
        <v>10</v>
      </c>
      <c r="F46" s="147" t="s">
        <v>256</v>
      </c>
      <c r="G46" s="144">
        <v>919387</v>
      </c>
      <c r="H46" s="295"/>
      <c r="I46" s="145">
        <v>389.34</v>
      </c>
      <c r="J46" s="295"/>
      <c r="K46" s="317"/>
      <c r="L46" s="144"/>
      <c r="M46" s="144"/>
      <c r="N46" s="144"/>
      <c r="O46" s="144"/>
    </row>
    <row r="47" spans="2:15" hidden="1">
      <c r="B47" s="119" t="s">
        <v>217</v>
      </c>
      <c r="C47" s="125">
        <v>44624</v>
      </c>
      <c r="D47" s="144">
        <v>577</v>
      </c>
      <c r="E47" s="147" t="s">
        <v>10</v>
      </c>
      <c r="F47" s="147" t="s">
        <v>257</v>
      </c>
      <c r="G47" s="144">
        <v>969203</v>
      </c>
      <c r="H47" s="295"/>
      <c r="I47" s="145">
        <v>1101.2059999999999</v>
      </c>
      <c r="J47" s="295"/>
      <c r="K47" s="317"/>
      <c r="L47" s="144"/>
      <c r="M47" s="144"/>
      <c r="N47" s="144"/>
      <c r="O47" s="144"/>
    </row>
    <row r="48" spans="2:15" hidden="1">
      <c r="B48" s="119" t="s">
        <v>217</v>
      </c>
      <c r="C48" s="125">
        <v>44624</v>
      </c>
      <c r="D48" s="144">
        <v>577</v>
      </c>
      <c r="E48" s="147" t="s">
        <v>10</v>
      </c>
      <c r="F48" s="147" t="s">
        <v>258</v>
      </c>
      <c r="G48" s="144">
        <v>969609</v>
      </c>
      <c r="H48" s="295"/>
      <c r="I48" s="145">
        <v>1191.145</v>
      </c>
      <c r="J48" s="295"/>
      <c r="K48" s="317"/>
      <c r="L48" s="144"/>
      <c r="M48" s="144"/>
      <c r="N48" s="144"/>
      <c r="O48" s="144"/>
    </row>
    <row r="49" spans="2:15" hidden="1">
      <c r="B49" s="119" t="s">
        <v>217</v>
      </c>
      <c r="C49" s="125">
        <v>44624</v>
      </c>
      <c r="D49" s="144">
        <v>577</v>
      </c>
      <c r="E49" s="147" t="s">
        <v>10</v>
      </c>
      <c r="F49" s="147" t="s">
        <v>259</v>
      </c>
      <c r="G49" s="144">
        <v>968831</v>
      </c>
      <c r="H49" s="295"/>
      <c r="I49" s="145">
        <v>359.20299999999997</v>
      </c>
      <c r="J49" s="295"/>
      <c r="K49" s="317"/>
      <c r="L49" s="144"/>
      <c r="M49" s="144"/>
      <c r="N49" s="144"/>
      <c r="O49" s="144"/>
    </row>
    <row r="50" spans="2:15" hidden="1">
      <c r="B50" s="119" t="s">
        <v>217</v>
      </c>
      <c r="C50" s="125">
        <v>44624</v>
      </c>
      <c r="D50" s="144">
        <v>577</v>
      </c>
      <c r="E50" s="147" t="s">
        <v>10</v>
      </c>
      <c r="F50" s="147" t="s">
        <v>260</v>
      </c>
      <c r="G50" s="144">
        <v>966479</v>
      </c>
      <c r="H50" s="295"/>
      <c r="I50" s="145">
        <v>1071.3900000000001</v>
      </c>
      <c r="J50" s="295"/>
      <c r="K50" s="317"/>
      <c r="L50" s="144"/>
      <c r="M50" s="144"/>
      <c r="N50" s="144"/>
      <c r="O50" s="144"/>
    </row>
    <row r="51" spans="2:15" hidden="1">
      <c r="B51" s="119" t="s">
        <v>217</v>
      </c>
      <c r="C51" s="125">
        <v>44624</v>
      </c>
      <c r="D51" s="144">
        <v>577</v>
      </c>
      <c r="E51" s="147" t="s">
        <v>10</v>
      </c>
      <c r="F51" s="147" t="s">
        <v>261</v>
      </c>
      <c r="G51" s="144">
        <v>966548</v>
      </c>
      <c r="H51" s="295"/>
      <c r="I51" s="145">
        <v>1694.7090000000001</v>
      </c>
      <c r="J51" s="295"/>
      <c r="K51" s="317"/>
      <c r="L51" s="144"/>
      <c r="M51" s="144"/>
      <c r="N51" s="144"/>
      <c r="O51" s="144"/>
    </row>
    <row r="52" spans="2:15" hidden="1">
      <c r="B52" s="119" t="s">
        <v>217</v>
      </c>
      <c r="C52" s="125">
        <v>44624</v>
      </c>
      <c r="D52" s="144">
        <v>577</v>
      </c>
      <c r="E52" s="147" t="s">
        <v>10</v>
      </c>
      <c r="F52" s="147" t="s">
        <v>295</v>
      </c>
      <c r="G52" s="144">
        <v>699254</v>
      </c>
      <c r="H52" s="295"/>
      <c r="I52" s="145">
        <v>130.30000000000001</v>
      </c>
      <c r="J52" s="295"/>
      <c r="K52" s="317"/>
      <c r="L52" s="144"/>
      <c r="M52" s="144"/>
      <c r="N52" s="144"/>
      <c r="O52" s="144"/>
    </row>
    <row r="53" spans="2:15" hidden="1">
      <c r="B53" s="119" t="s">
        <v>217</v>
      </c>
      <c r="C53" s="125">
        <v>44624</v>
      </c>
      <c r="D53" s="144">
        <v>577</v>
      </c>
      <c r="E53" s="147" t="s">
        <v>10</v>
      </c>
      <c r="F53" s="147" t="s">
        <v>296</v>
      </c>
      <c r="G53" s="144">
        <v>698811</v>
      </c>
      <c r="H53" s="296"/>
      <c r="I53" s="145">
        <v>462.27499999999998</v>
      </c>
      <c r="J53" s="296"/>
      <c r="K53" s="318"/>
      <c r="L53" s="144"/>
      <c r="M53" s="144"/>
      <c r="N53" s="144"/>
      <c r="O53" s="144"/>
    </row>
    <row r="54" spans="2:15">
      <c r="B54" s="119" t="s">
        <v>217</v>
      </c>
      <c r="C54" s="184">
        <v>44628</v>
      </c>
      <c r="D54" s="144">
        <v>620</v>
      </c>
      <c r="E54" s="147" t="s">
        <v>10</v>
      </c>
      <c r="F54" s="147" t="s">
        <v>262</v>
      </c>
      <c r="G54" s="144">
        <v>967226</v>
      </c>
      <c r="H54" s="334">
        <v>65000</v>
      </c>
      <c r="I54" s="145">
        <v>912.31</v>
      </c>
      <c r="J54" s="334">
        <f>H54-(SUM(I54:I67))</f>
        <v>47793.97</v>
      </c>
      <c r="K54" s="335">
        <f>(SUM(I54:I67))/H54</f>
        <v>0.26470815384615387</v>
      </c>
      <c r="L54" s="144"/>
      <c r="M54" s="144"/>
      <c r="N54" s="144"/>
      <c r="O54" s="144"/>
    </row>
    <row r="55" spans="2:15">
      <c r="B55" s="119" t="s">
        <v>217</v>
      </c>
      <c r="C55" s="184">
        <v>44628</v>
      </c>
      <c r="D55" s="144">
        <v>620</v>
      </c>
      <c r="E55" s="147" t="s">
        <v>10</v>
      </c>
      <c r="F55" s="147" t="s">
        <v>263</v>
      </c>
      <c r="G55" s="144">
        <v>967476</v>
      </c>
      <c r="H55" s="295"/>
      <c r="I55" s="145">
        <v>103.08</v>
      </c>
      <c r="J55" s="295"/>
      <c r="K55" s="317"/>
      <c r="L55" s="144"/>
      <c r="M55" s="144"/>
      <c r="N55" s="144"/>
      <c r="O55" s="144"/>
    </row>
    <row r="56" spans="2:15">
      <c r="B56" s="119" t="s">
        <v>217</v>
      </c>
      <c r="C56" s="184">
        <v>44628</v>
      </c>
      <c r="D56" s="144">
        <v>620</v>
      </c>
      <c r="E56" s="147" t="s">
        <v>10</v>
      </c>
      <c r="F56" s="147" t="s">
        <v>264</v>
      </c>
      <c r="G56" s="144">
        <v>961805</v>
      </c>
      <c r="H56" s="295"/>
      <c r="I56" s="145">
        <v>1234.759</v>
      </c>
      <c r="J56" s="295"/>
      <c r="K56" s="317"/>
      <c r="L56" s="144"/>
      <c r="M56" s="144"/>
      <c r="N56" s="144"/>
      <c r="O56" s="144"/>
    </row>
    <row r="57" spans="2:15">
      <c r="B57" s="119" t="s">
        <v>217</v>
      </c>
      <c r="C57" s="184">
        <v>44628</v>
      </c>
      <c r="D57" s="144">
        <v>620</v>
      </c>
      <c r="E57" s="147" t="s">
        <v>10</v>
      </c>
      <c r="F57" s="147" t="s">
        <v>265</v>
      </c>
      <c r="G57" s="144">
        <v>961948</v>
      </c>
      <c r="H57" s="295"/>
      <c r="I57" s="145">
        <v>1518.6510000000001</v>
      </c>
      <c r="J57" s="295"/>
      <c r="K57" s="317"/>
      <c r="L57" s="144"/>
      <c r="M57" s="144"/>
      <c r="N57" s="144"/>
      <c r="O57" s="144"/>
    </row>
    <row r="58" spans="2:15">
      <c r="B58" s="119" t="s">
        <v>217</v>
      </c>
      <c r="C58" s="184">
        <v>44628</v>
      </c>
      <c r="D58" s="144">
        <v>620</v>
      </c>
      <c r="E58" s="147" t="s">
        <v>10</v>
      </c>
      <c r="F58" s="147" t="s">
        <v>266</v>
      </c>
      <c r="G58" s="144">
        <v>968122</v>
      </c>
      <c r="H58" s="295"/>
      <c r="I58" s="145">
        <v>1552.55</v>
      </c>
      <c r="J58" s="295"/>
      <c r="K58" s="317"/>
      <c r="L58" s="144"/>
      <c r="M58" s="144"/>
      <c r="N58" s="144"/>
      <c r="O58" s="144"/>
    </row>
    <row r="59" spans="2:15">
      <c r="B59" s="119" t="s">
        <v>217</v>
      </c>
      <c r="C59" s="184">
        <v>44628</v>
      </c>
      <c r="D59" s="144">
        <v>620</v>
      </c>
      <c r="E59" s="147" t="s">
        <v>10</v>
      </c>
      <c r="F59" s="147" t="s">
        <v>267</v>
      </c>
      <c r="G59" s="144">
        <v>697302</v>
      </c>
      <c r="H59" s="295"/>
      <c r="I59" s="145">
        <v>809.22500000000002</v>
      </c>
      <c r="J59" s="295"/>
      <c r="K59" s="317"/>
      <c r="L59" s="144"/>
      <c r="M59" s="144"/>
      <c r="N59" s="144"/>
      <c r="O59" s="144"/>
    </row>
    <row r="60" spans="2:15">
      <c r="B60" s="119" t="s">
        <v>217</v>
      </c>
      <c r="C60" s="184">
        <v>44628</v>
      </c>
      <c r="D60" s="144">
        <v>620</v>
      </c>
      <c r="E60" s="147" t="s">
        <v>10</v>
      </c>
      <c r="F60" s="147" t="s">
        <v>268</v>
      </c>
      <c r="G60" s="144">
        <v>919376</v>
      </c>
      <c r="H60" s="295"/>
      <c r="I60" s="145">
        <v>1292.2950000000001</v>
      </c>
      <c r="J60" s="295"/>
      <c r="K60" s="317"/>
      <c r="L60" s="144"/>
      <c r="M60" s="144"/>
      <c r="N60" s="144"/>
      <c r="O60" s="144"/>
    </row>
    <row r="61" spans="2:15">
      <c r="B61" s="119" t="s">
        <v>217</v>
      </c>
      <c r="C61" s="184">
        <v>44628</v>
      </c>
      <c r="D61" s="144">
        <v>620</v>
      </c>
      <c r="E61" s="147" t="s">
        <v>10</v>
      </c>
      <c r="F61" s="147" t="s">
        <v>269</v>
      </c>
      <c r="G61" s="144">
        <v>958248</v>
      </c>
      <c r="H61" s="295"/>
      <c r="I61" s="145">
        <v>1433.43</v>
      </c>
      <c r="J61" s="295"/>
      <c r="K61" s="317"/>
      <c r="L61" s="144"/>
      <c r="M61" s="144"/>
      <c r="N61" s="144"/>
      <c r="O61" s="144"/>
    </row>
    <row r="62" spans="2:15">
      <c r="B62" s="119" t="s">
        <v>217</v>
      </c>
      <c r="C62" s="184">
        <v>44628</v>
      </c>
      <c r="D62" s="144">
        <v>620</v>
      </c>
      <c r="E62" s="147" t="s">
        <v>10</v>
      </c>
      <c r="F62" s="147" t="s">
        <v>270</v>
      </c>
      <c r="G62" s="144">
        <v>966135</v>
      </c>
      <c r="H62" s="295"/>
      <c r="I62" s="145">
        <v>1231.57</v>
      </c>
      <c r="J62" s="295"/>
      <c r="K62" s="317"/>
      <c r="L62" s="144"/>
      <c r="M62" s="144"/>
      <c r="N62" s="144"/>
      <c r="O62" s="144"/>
    </row>
    <row r="63" spans="2:15">
      <c r="B63" s="119" t="s">
        <v>217</v>
      </c>
      <c r="C63" s="184">
        <v>44628</v>
      </c>
      <c r="D63" s="144">
        <v>620</v>
      </c>
      <c r="E63" s="147" t="s">
        <v>10</v>
      </c>
      <c r="F63" s="147" t="s">
        <v>271</v>
      </c>
      <c r="G63" s="144">
        <v>969234</v>
      </c>
      <c r="H63" s="295"/>
      <c r="I63" s="145">
        <v>1182.9949999999999</v>
      </c>
      <c r="J63" s="295"/>
      <c r="K63" s="317"/>
      <c r="L63" s="144"/>
      <c r="M63" s="144"/>
      <c r="N63" s="144"/>
      <c r="O63" s="144"/>
    </row>
    <row r="64" spans="2:15">
      <c r="B64" s="119" t="s">
        <v>217</v>
      </c>
      <c r="C64" s="184">
        <v>44628</v>
      </c>
      <c r="D64" s="144">
        <v>620</v>
      </c>
      <c r="E64" s="147" t="s">
        <v>10</v>
      </c>
      <c r="F64" s="147" t="s">
        <v>272</v>
      </c>
      <c r="G64" s="144">
        <v>698468</v>
      </c>
      <c r="H64" s="295"/>
      <c r="I64" s="145">
        <v>1822.635</v>
      </c>
      <c r="J64" s="295"/>
      <c r="K64" s="317"/>
      <c r="L64" s="144"/>
      <c r="M64" s="144"/>
      <c r="N64" s="144"/>
      <c r="O64" s="144"/>
    </row>
    <row r="65" spans="2:15">
      <c r="B65" s="119" t="s">
        <v>217</v>
      </c>
      <c r="C65" s="184">
        <v>44628</v>
      </c>
      <c r="D65" s="144">
        <v>620</v>
      </c>
      <c r="E65" s="147" t="s">
        <v>10</v>
      </c>
      <c r="F65" s="147" t="s">
        <v>211</v>
      </c>
      <c r="G65" s="144">
        <v>698513</v>
      </c>
      <c r="H65" s="295"/>
      <c r="I65" s="145">
        <v>1457.36</v>
      </c>
      <c r="J65" s="295"/>
      <c r="K65" s="317"/>
      <c r="L65" s="144"/>
      <c r="M65" s="144"/>
      <c r="N65" s="144"/>
      <c r="O65" s="144"/>
    </row>
    <row r="66" spans="2:15">
      <c r="B66" s="119" t="s">
        <v>217</v>
      </c>
      <c r="C66" s="184">
        <v>44628</v>
      </c>
      <c r="D66" s="144">
        <v>620</v>
      </c>
      <c r="E66" s="147" t="s">
        <v>10</v>
      </c>
      <c r="F66" s="147" t="s">
        <v>273</v>
      </c>
      <c r="G66" s="144">
        <v>968960</v>
      </c>
      <c r="H66" s="295"/>
      <c r="I66" s="145">
        <v>1188.405</v>
      </c>
      <c r="J66" s="295"/>
      <c r="K66" s="317"/>
      <c r="L66" s="144"/>
      <c r="M66" s="144"/>
      <c r="N66" s="144"/>
      <c r="O66" s="144"/>
    </row>
    <row r="67" spans="2:15">
      <c r="B67" s="119" t="s">
        <v>217</v>
      </c>
      <c r="C67" s="184">
        <v>44628</v>
      </c>
      <c r="D67" s="144">
        <v>620</v>
      </c>
      <c r="E67" s="147" t="s">
        <v>10</v>
      </c>
      <c r="F67" s="147" t="s">
        <v>274</v>
      </c>
      <c r="G67" s="144">
        <v>968156</v>
      </c>
      <c r="H67" s="296"/>
      <c r="I67" s="145">
        <v>1466.7650000000001</v>
      </c>
      <c r="J67" s="296"/>
      <c r="K67" s="318"/>
      <c r="L67" s="144"/>
      <c r="M67" s="144"/>
      <c r="N67" s="144"/>
      <c r="O67" s="144"/>
    </row>
    <row r="68" spans="2:15" hidden="1">
      <c r="B68" s="147" t="s">
        <v>217</v>
      </c>
      <c r="C68" s="184">
        <v>44676</v>
      </c>
      <c r="D68" s="144">
        <v>817</v>
      </c>
      <c r="E68" s="147" t="s">
        <v>12</v>
      </c>
      <c r="F68" s="147" t="s">
        <v>275</v>
      </c>
      <c r="G68" s="144">
        <v>697578</v>
      </c>
      <c r="H68" s="319">
        <v>9000</v>
      </c>
      <c r="I68" s="145"/>
      <c r="J68" s="319">
        <f>H68-(SUM(I68:I84))</f>
        <v>5402.326</v>
      </c>
      <c r="K68" s="320">
        <f>(SUM(I68:I84))/H68</f>
        <v>0.39974155555555557</v>
      </c>
      <c r="L68" s="144"/>
      <c r="M68" s="144"/>
      <c r="N68" s="144"/>
      <c r="O68" s="144"/>
    </row>
    <row r="69" spans="2:15" hidden="1">
      <c r="B69" s="147" t="s">
        <v>217</v>
      </c>
      <c r="C69" s="184">
        <v>44676</v>
      </c>
      <c r="D69" s="144">
        <v>817</v>
      </c>
      <c r="E69" s="147" t="s">
        <v>12</v>
      </c>
      <c r="F69" s="147" t="s">
        <v>162</v>
      </c>
      <c r="G69" s="144">
        <v>901588</v>
      </c>
      <c r="H69" s="295"/>
      <c r="I69" s="145">
        <v>192.13</v>
      </c>
      <c r="J69" s="295"/>
      <c r="K69" s="317"/>
      <c r="L69" s="144"/>
      <c r="M69" s="144"/>
      <c r="N69" s="144"/>
      <c r="O69" s="144"/>
    </row>
    <row r="70" spans="2:15" hidden="1">
      <c r="B70" s="147" t="s">
        <v>217</v>
      </c>
      <c r="C70" s="184">
        <v>44676</v>
      </c>
      <c r="D70" s="144">
        <v>817</v>
      </c>
      <c r="E70" s="147" t="s">
        <v>12</v>
      </c>
      <c r="F70" s="147" t="s">
        <v>276</v>
      </c>
      <c r="G70" s="144">
        <v>920731</v>
      </c>
      <c r="H70" s="295"/>
      <c r="I70" s="145"/>
      <c r="J70" s="295"/>
      <c r="K70" s="317"/>
      <c r="L70" s="144"/>
      <c r="M70" s="144"/>
      <c r="N70" s="144"/>
      <c r="O70" s="144"/>
    </row>
    <row r="71" spans="2:15" hidden="1">
      <c r="B71" s="147" t="s">
        <v>217</v>
      </c>
      <c r="C71" s="184">
        <v>44676</v>
      </c>
      <c r="D71" s="144">
        <v>817</v>
      </c>
      <c r="E71" s="147" t="s">
        <v>12</v>
      </c>
      <c r="F71" s="147" t="s">
        <v>184</v>
      </c>
      <c r="G71" s="144">
        <v>966397</v>
      </c>
      <c r="H71" s="295"/>
      <c r="I71" s="145">
        <v>299.60399999999998</v>
      </c>
      <c r="J71" s="295"/>
      <c r="K71" s="317"/>
      <c r="L71" s="144"/>
      <c r="M71" s="144"/>
      <c r="N71" s="144"/>
      <c r="O71" s="144"/>
    </row>
    <row r="72" spans="2:15" hidden="1">
      <c r="B72" s="147" t="s">
        <v>217</v>
      </c>
      <c r="C72" s="184">
        <v>44676</v>
      </c>
      <c r="D72" s="144">
        <v>817</v>
      </c>
      <c r="E72" s="147" t="s">
        <v>12</v>
      </c>
      <c r="F72" s="147" t="s">
        <v>146</v>
      </c>
      <c r="G72" s="144">
        <v>964933</v>
      </c>
      <c r="H72" s="295"/>
      <c r="I72" s="145"/>
      <c r="J72" s="295"/>
      <c r="K72" s="317"/>
      <c r="L72" s="144"/>
      <c r="M72" s="144"/>
      <c r="N72" s="144"/>
      <c r="O72" s="144"/>
    </row>
    <row r="73" spans="2:15" hidden="1">
      <c r="B73" s="147" t="s">
        <v>217</v>
      </c>
      <c r="C73" s="184">
        <v>44676</v>
      </c>
      <c r="D73" s="144">
        <v>817</v>
      </c>
      <c r="E73" s="147" t="s">
        <v>12</v>
      </c>
      <c r="F73" s="147" t="s">
        <v>168</v>
      </c>
      <c r="G73" s="144">
        <v>956427</v>
      </c>
      <c r="H73" s="295"/>
      <c r="I73" s="145">
        <v>8.06</v>
      </c>
      <c r="J73" s="295"/>
      <c r="K73" s="317"/>
      <c r="L73" s="144"/>
      <c r="M73" s="144"/>
      <c r="N73" s="144"/>
      <c r="O73" s="144"/>
    </row>
    <row r="74" spans="2:15" hidden="1">
      <c r="B74" s="147" t="s">
        <v>217</v>
      </c>
      <c r="C74" s="184">
        <v>44676</v>
      </c>
      <c r="D74" s="144">
        <v>817</v>
      </c>
      <c r="E74" s="147" t="s">
        <v>12</v>
      </c>
      <c r="F74" s="147" t="s">
        <v>185</v>
      </c>
      <c r="G74" s="144">
        <v>960563</v>
      </c>
      <c r="H74" s="295"/>
      <c r="I74" s="145">
        <v>482.71199999999999</v>
      </c>
      <c r="J74" s="295"/>
      <c r="K74" s="317"/>
      <c r="L74" s="144"/>
      <c r="M74" s="144"/>
      <c r="N74" s="144"/>
      <c r="O74" s="144"/>
    </row>
    <row r="75" spans="2:15" hidden="1">
      <c r="B75" s="147" t="s">
        <v>217</v>
      </c>
      <c r="C75" s="184">
        <v>44676</v>
      </c>
      <c r="D75" s="144">
        <v>817</v>
      </c>
      <c r="E75" s="147" t="s">
        <v>12</v>
      </c>
      <c r="F75" s="147" t="s">
        <v>163</v>
      </c>
      <c r="G75" s="144">
        <v>960673</v>
      </c>
      <c r="H75" s="295"/>
      <c r="I75" s="145">
        <v>116.47199999999999</v>
      </c>
      <c r="J75" s="295"/>
      <c r="K75" s="317"/>
      <c r="L75" s="144"/>
      <c r="M75" s="144"/>
      <c r="N75" s="144"/>
      <c r="O75" s="144"/>
    </row>
    <row r="76" spans="2:15" hidden="1">
      <c r="B76" s="147" t="s">
        <v>217</v>
      </c>
      <c r="C76" s="184">
        <v>44676</v>
      </c>
      <c r="D76" s="144">
        <v>817</v>
      </c>
      <c r="E76" s="147" t="s">
        <v>12</v>
      </c>
      <c r="F76" s="147" t="s">
        <v>188</v>
      </c>
      <c r="G76" s="144">
        <v>968871</v>
      </c>
      <c r="H76" s="295"/>
      <c r="I76" s="145"/>
      <c r="J76" s="295"/>
      <c r="K76" s="317"/>
      <c r="L76" s="144"/>
      <c r="M76" s="144"/>
      <c r="N76" s="144"/>
      <c r="O76" s="144"/>
    </row>
    <row r="77" spans="2:15" hidden="1">
      <c r="B77" s="147" t="s">
        <v>217</v>
      </c>
      <c r="C77" s="184">
        <v>44676</v>
      </c>
      <c r="D77" s="144">
        <v>817</v>
      </c>
      <c r="E77" s="147" t="s">
        <v>12</v>
      </c>
      <c r="F77" s="147" t="s">
        <v>164</v>
      </c>
      <c r="G77" s="144">
        <v>923266</v>
      </c>
      <c r="H77" s="295"/>
      <c r="I77" s="145">
        <v>445.166</v>
      </c>
      <c r="J77" s="295"/>
      <c r="K77" s="317"/>
      <c r="L77" s="144"/>
      <c r="M77" s="144"/>
      <c r="N77" s="144"/>
      <c r="O77" s="144"/>
    </row>
    <row r="78" spans="2:15" hidden="1">
      <c r="B78" s="147" t="s">
        <v>217</v>
      </c>
      <c r="C78" s="184">
        <v>44676</v>
      </c>
      <c r="D78" s="144">
        <v>817</v>
      </c>
      <c r="E78" s="147" t="s">
        <v>12</v>
      </c>
      <c r="F78" s="147" t="s">
        <v>166</v>
      </c>
      <c r="G78" s="144">
        <v>966707</v>
      </c>
      <c r="H78" s="295"/>
      <c r="I78" s="145">
        <v>571.66899999999998</v>
      </c>
      <c r="J78" s="295"/>
      <c r="K78" s="317"/>
      <c r="L78" s="144"/>
      <c r="M78" s="144"/>
      <c r="N78" s="144"/>
      <c r="O78" s="144"/>
    </row>
    <row r="79" spans="2:15" hidden="1">
      <c r="B79" s="147" t="s">
        <v>217</v>
      </c>
      <c r="C79" s="184">
        <v>44676</v>
      </c>
      <c r="D79" s="144">
        <v>817</v>
      </c>
      <c r="E79" s="147" t="s">
        <v>12</v>
      </c>
      <c r="F79" s="147" t="s">
        <v>165</v>
      </c>
      <c r="G79" s="144">
        <v>954989</v>
      </c>
      <c r="H79" s="295"/>
      <c r="I79" s="145">
        <v>441.1</v>
      </c>
      <c r="J79" s="295"/>
      <c r="K79" s="317"/>
      <c r="L79" s="144"/>
      <c r="M79" s="144"/>
      <c r="N79" s="144"/>
      <c r="O79" s="144"/>
    </row>
    <row r="80" spans="2:15" hidden="1">
      <c r="B80" s="147" t="s">
        <v>217</v>
      </c>
      <c r="C80" s="184">
        <v>44676</v>
      </c>
      <c r="D80" s="144">
        <v>817</v>
      </c>
      <c r="E80" s="147" t="s">
        <v>12</v>
      </c>
      <c r="F80" s="147" t="s">
        <v>145</v>
      </c>
      <c r="G80" s="144">
        <v>698592</v>
      </c>
      <c r="H80" s="295"/>
      <c r="I80" s="145">
        <v>317.72300000000001</v>
      </c>
      <c r="J80" s="295"/>
      <c r="K80" s="317"/>
      <c r="L80" s="144"/>
      <c r="M80" s="144"/>
      <c r="N80" s="144"/>
      <c r="O80" s="144"/>
    </row>
    <row r="81" spans="2:15" hidden="1">
      <c r="B81" s="147" t="s">
        <v>217</v>
      </c>
      <c r="C81" s="184">
        <v>44676</v>
      </c>
      <c r="D81" s="144">
        <v>817</v>
      </c>
      <c r="E81" s="147" t="s">
        <v>12</v>
      </c>
      <c r="F81" s="147" t="s">
        <v>186</v>
      </c>
      <c r="G81" s="144">
        <v>958708</v>
      </c>
      <c r="H81" s="295"/>
      <c r="I81" s="145"/>
      <c r="J81" s="295"/>
      <c r="K81" s="317"/>
      <c r="L81" s="144"/>
      <c r="M81" s="144"/>
      <c r="N81" s="144"/>
      <c r="O81" s="144"/>
    </row>
    <row r="82" spans="2:15" hidden="1">
      <c r="B82" s="147" t="s">
        <v>217</v>
      </c>
      <c r="C82" s="184">
        <v>44676</v>
      </c>
      <c r="D82" s="144">
        <v>817</v>
      </c>
      <c r="E82" s="147" t="s">
        <v>12</v>
      </c>
      <c r="F82" s="147" t="s">
        <v>183</v>
      </c>
      <c r="G82" s="144">
        <v>966095</v>
      </c>
      <c r="H82" s="295"/>
      <c r="I82" s="145">
        <v>237.33600000000001</v>
      </c>
      <c r="J82" s="295"/>
      <c r="K82" s="317"/>
      <c r="L82" s="144"/>
      <c r="M82" s="144"/>
      <c r="N82" s="144"/>
      <c r="O82" s="144"/>
    </row>
    <row r="83" spans="2:15" hidden="1">
      <c r="B83" s="147" t="s">
        <v>217</v>
      </c>
      <c r="C83" s="184">
        <v>44676</v>
      </c>
      <c r="D83" s="144">
        <v>817</v>
      </c>
      <c r="E83" s="147" t="s">
        <v>12</v>
      </c>
      <c r="F83" s="147" t="s">
        <v>167</v>
      </c>
      <c r="G83" s="144">
        <v>953023</v>
      </c>
      <c r="H83" s="295"/>
      <c r="I83" s="145">
        <v>201.857</v>
      </c>
      <c r="J83" s="295"/>
      <c r="K83" s="317"/>
      <c r="L83" s="144"/>
      <c r="M83" s="144"/>
      <c r="N83" s="144"/>
      <c r="O83" s="144"/>
    </row>
    <row r="84" spans="2:15" hidden="1">
      <c r="B84" s="147" t="s">
        <v>217</v>
      </c>
      <c r="C84" s="184">
        <v>44676</v>
      </c>
      <c r="D84" s="144">
        <v>817</v>
      </c>
      <c r="E84" s="147" t="s">
        <v>12</v>
      </c>
      <c r="F84" s="147" t="s">
        <v>169</v>
      </c>
      <c r="G84" s="144">
        <v>950875</v>
      </c>
      <c r="H84" s="296"/>
      <c r="I84" s="145">
        <v>283.84500000000003</v>
      </c>
      <c r="J84" s="296"/>
      <c r="K84" s="318"/>
      <c r="L84" s="144"/>
      <c r="M84" s="144"/>
      <c r="N84" s="144"/>
      <c r="O84" s="144"/>
    </row>
    <row r="85" spans="2:15" hidden="1">
      <c r="B85" s="147" t="s">
        <v>217</v>
      </c>
      <c r="C85" s="184">
        <v>44676</v>
      </c>
      <c r="D85" s="144">
        <v>819</v>
      </c>
      <c r="E85" s="119" t="s">
        <v>95</v>
      </c>
      <c r="F85" s="147" t="s">
        <v>277</v>
      </c>
      <c r="G85" s="144">
        <v>699078</v>
      </c>
      <c r="H85" s="319">
        <v>19477.96</v>
      </c>
      <c r="I85" s="145">
        <v>736.505</v>
      </c>
      <c r="J85" s="319">
        <f>H85-(SUM(I85:I92))</f>
        <v>13512.472</v>
      </c>
      <c r="K85" s="320">
        <f>(SUM(I85:I92))/H85</f>
        <v>0.30626862361356116</v>
      </c>
      <c r="L85" s="144"/>
      <c r="M85" s="144"/>
      <c r="N85" s="144"/>
      <c r="O85" s="144"/>
    </row>
    <row r="86" spans="2:15" hidden="1">
      <c r="B86" s="147" t="s">
        <v>217</v>
      </c>
      <c r="C86" s="184">
        <v>44676</v>
      </c>
      <c r="D86" s="144">
        <v>819</v>
      </c>
      <c r="E86" s="119" t="s">
        <v>95</v>
      </c>
      <c r="F86" s="147" t="s">
        <v>278</v>
      </c>
      <c r="G86" s="144">
        <v>967544</v>
      </c>
      <c r="H86" s="295"/>
      <c r="I86" s="145">
        <v>970.31799999999998</v>
      </c>
      <c r="J86" s="295"/>
      <c r="K86" s="317"/>
      <c r="L86" s="144"/>
      <c r="M86" s="144"/>
      <c r="N86" s="144"/>
      <c r="O86" s="144"/>
    </row>
    <row r="87" spans="2:15" hidden="1">
      <c r="B87" s="147" t="s">
        <v>217</v>
      </c>
      <c r="C87" s="184">
        <v>44676</v>
      </c>
      <c r="D87" s="144">
        <v>819</v>
      </c>
      <c r="E87" s="119" t="s">
        <v>95</v>
      </c>
      <c r="F87" s="147" t="s">
        <v>279</v>
      </c>
      <c r="G87" s="144">
        <v>968274</v>
      </c>
      <c r="H87" s="295"/>
      <c r="I87" s="145">
        <v>851.95600000000002</v>
      </c>
      <c r="J87" s="295"/>
      <c r="K87" s="317"/>
      <c r="L87" s="144"/>
      <c r="M87" s="144"/>
      <c r="N87" s="144"/>
      <c r="O87" s="144"/>
    </row>
    <row r="88" spans="2:15" hidden="1">
      <c r="B88" s="147" t="s">
        <v>217</v>
      </c>
      <c r="C88" s="184">
        <v>44676</v>
      </c>
      <c r="D88" s="144">
        <v>819</v>
      </c>
      <c r="E88" s="119" t="s">
        <v>95</v>
      </c>
      <c r="F88" s="147" t="s">
        <v>280</v>
      </c>
      <c r="G88" s="144">
        <v>968447</v>
      </c>
      <c r="H88" s="295"/>
      <c r="I88" s="145">
        <v>1008.325</v>
      </c>
      <c r="J88" s="295"/>
      <c r="K88" s="317"/>
      <c r="L88" s="144"/>
      <c r="M88" s="144"/>
      <c r="N88" s="144"/>
      <c r="O88" s="144"/>
    </row>
    <row r="89" spans="2:15" hidden="1">
      <c r="B89" s="147" t="s">
        <v>217</v>
      </c>
      <c r="C89" s="184">
        <v>44676</v>
      </c>
      <c r="D89" s="144">
        <v>819</v>
      </c>
      <c r="E89" s="119" t="s">
        <v>95</v>
      </c>
      <c r="F89" s="147" t="s">
        <v>281</v>
      </c>
      <c r="G89" s="144">
        <v>968466</v>
      </c>
      <c r="H89" s="295"/>
      <c r="I89" s="145">
        <v>740.06600000000003</v>
      </c>
      <c r="J89" s="295"/>
      <c r="K89" s="317"/>
      <c r="L89" s="144"/>
      <c r="M89" s="144"/>
      <c r="N89" s="144"/>
      <c r="O89" s="144"/>
    </row>
    <row r="90" spans="2:15" hidden="1">
      <c r="B90" s="147" t="s">
        <v>217</v>
      </c>
      <c r="C90" s="184">
        <v>44676</v>
      </c>
      <c r="D90" s="144">
        <v>819</v>
      </c>
      <c r="E90" s="119" t="s">
        <v>95</v>
      </c>
      <c r="F90" s="147" t="s">
        <v>282</v>
      </c>
      <c r="G90" s="144">
        <v>969068</v>
      </c>
      <c r="H90" s="295"/>
      <c r="I90" s="145">
        <v>674.95100000000002</v>
      </c>
      <c r="J90" s="295"/>
      <c r="K90" s="317"/>
      <c r="L90" s="144"/>
      <c r="M90" s="144"/>
      <c r="N90" s="144"/>
      <c r="O90" s="144"/>
    </row>
    <row r="91" spans="2:15" hidden="1">
      <c r="B91" s="147" t="s">
        <v>217</v>
      </c>
      <c r="C91" s="184">
        <v>44676</v>
      </c>
      <c r="D91" s="144">
        <v>819</v>
      </c>
      <c r="E91" s="119" t="s">
        <v>95</v>
      </c>
      <c r="F91" s="147" t="s">
        <v>283</v>
      </c>
      <c r="G91" s="144">
        <v>698940</v>
      </c>
      <c r="H91" s="295"/>
      <c r="I91" s="145">
        <v>738.29300000000001</v>
      </c>
      <c r="J91" s="295"/>
      <c r="K91" s="317"/>
      <c r="L91" s="193"/>
      <c r="M91" s="193"/>
      <c r="N91" s="193"/>
      <c r="O91" s="193"/>
    </row>
    <row r="92" spans="2:15" hidden="1">
      <c r="B92" s="147" t="s">
        <v>217</v>
      </c>
      <c r="C92" s="184">
        <v>44676</v>
      </c>
      <c r="D92" s="144">
        <v>819</v>
      </c>
      <c r="E92" s="119" t="s">
        <v>95</v>
      </c>
      <c r="F92" s="147" t="s">
        <v>294</v>
      </c>
      <c r="G92" s="144">
        <v>699329</v>
      </c>
      <c r="H92" s="296"/>
      <c r="I92" s="145">
        <v>245.07400000000001</v>
      </c>
      <c r="J92" s="296"/>
      <c r="K92" s="318"/>
      <c r="L92" s="144"/>
      <c r="M92" s="144"/>
      <c r="N92" s="144"/>
      <c r="O92" s="144"/>
    </row>
    <row r="93" spans="2:15" hidden="1">
      <c r="B93" s="147" t="s">
        <v>284</v>
      </c>
      <c r="C93" s="184">
        <v>44680</v>
      </c>
      <c r="D93" s="144">
        <v>842</v>
      </c>
      <c r="E93" s="147" t="s">
        <v>285</v>
      </c>
      <c r="F93" s="147" t="s">
        <v>286</v>
      </c>
      <c r="G93" s="144">
        <v>698639</v>
      </c>
      <c r="H93" s="144">
        <v>2000</v>
      </c>
      <c r="I93" s="145">
        <v>253.83</v>
      </c>
      <c r="J93" s="144">
        <f>H93-I93</f>
        <v>1746.17</v>
      </c>
      <c r="K93" s="185">
        <f>I93/H93</f>
        <v>0.126915</v>
      </c>
      <c r="L93" s="144"/>
      <c r="M93" s="144"/>
      <c r="N93" s="144"/>
      <c r="O93" s="144"/>
    </row>
    <row r="94" spans="2:15" hidden="1">
      <c r="B94" s="147" t="s">
        <v>217</v>
      </c>
      <c r="C94" s="184">
        <v>44680</v>
      </c>
      <c r="D94" s="144">
        <v>869</v>
      </c>
      <c r="E94" s="147" t="s">
        <v>12</v>
      </c>
      <c r="F94" s="147" t="s">
        <v>287</v>
      </c>
      <c r="G94" s="144">
        <v>698764</v>
      </c>
      <c r="H94" s="325">
        <v>500</v>
      </c>
      <c r="I94" s="145">
        <v>89.462999999999994</v>
      </c>
      <c r="J94" s="325">
        <f>H94-(I94+I95+I96+I97+I98+I99)</f>
        <v>5.2169999999999845</v>
      </c>
      <c r="K94" s="326">
        <f>(I94+I95+I96+I97+I98+I99)/H94</f>
        <v>0.98956600000000006</v>
      </c>
      <c r="L94" s="144"/>
      <c r="M94" s="144"/>
      <c r="N94" s="144"/>
      <c r="O94" s="144"/>
    </row>
    <row r="95" spans="2:15" hidden="1">
      <c r="B95" s="147" t="s">
        <v>217</v>
      </c>
      <c r="C95" s="184">
        <v>44680</v>
      </c>
      <c r="D95" s="144">
        <v>869</v>
      </c>
      <c r="E95" s="147" t="s">
        <v>12</v>
      </c>
      <c r="F95" s="147" t="s">
        <v>148</v>
      </c>
      <c r="G95" s="144">
        <v>965267</v>
      </c>
      <c r="H95" s="295"/>
      <c r="I95" s="145">
        <v>0</v>
      </c>
      <c r="J95" s="295"/>
      <c r="K95" s="317"/>
      <c r="L95" s="144"/>
      <c r="M95" s="144"/>
      <c r="N95" s="144"/>
      <c r="O95" s="144"/>
    </row>
    <row r="96" spans="2:15" hidden="1">
      <c r="B96" s="147" t="s">
        <v>217</v>
      </c>
      <c r="C96" s="184">
        <v>44680</v>
      </c>
      <c r="D96" s="144">
        <v>869</v>
      </c>
      <c r="E96" s="147" t="s">
        <v>12</v>
      </c>
      <c r="F96" s="147" t="s">
        <v>150</v>
      </c>
      <c r="G96" s="144">
        <v>969425</v>
      </c>
      <c r="H96" s="295"/>
      <c r="I96" s="145">
        <v>97.706000000000003</v>
      </c>
      <c r="J96" s="295"/>
      <c r="K96" s="317"/>
      <c r="L96" s="144"/>
      <c r="M96" s="144"/>
      <c r="N96" s="144"/>
      <c r="O96" s="144"/>
    </row>
    <row r="97" spans="2:15" hidden="1">
      <c r="B97" s="147" t="s">
        <v>217</v>
      </c>
      <c r="C97" s="184">
        <v>44680</v>
      </c>
      <c r="D97" s="144">
        <v>869</v>
      </c>
      <c r="E97" s="147" t="s">
        <v>12</v>
      </c>
      <c r="F97" s="147" t="s">
        <v>152</v>
      </c>
      <c r="G97" s="144">
        <v>968930</v>
      </c>
      <c r="H97" s="295"/>
      <c r="I97" s="145">
        <v>109.595</v>
      </c>
      <c r="J97" s="295"/>
      <c r="K97" s="317"/>
      <c r="L97" s="144"/>
      <c r="M97" s="144"/>
      <c r="N97" s="144"/>
      <c r="O97" s="144"/>
    </row>
    <row r="98" spans="2:15" hidden="1">
      <c r="B98" s="147" t="s">
        <v>217</v>
      </c>
      <c r="C98" s="184">
        <v>44680</v>
      </c>
      <c r="D98" s="144">
        <v>869</v>
      </c>
      <c r="E98" s="147" t="s">
        <v>12</v>
      </c>
      <c r="F98" s="147" t="s">
        <v>153</v>
      </c>
      <c r="G98" s="144">
        <v>968704</v>
      </c>
      <c r="H98" s="295"/>
      <c r="I98" s="145">
        <v>97.207999999999998</v>
      </c>
      <c r="J98" s="295"/>
      <c r="K98" s="317"/>
      <c r="L98" s="144"/>
      <c r="M98" s="144"/>
      <c r="N98" s="144"/>
      <c r="O98" s="144"/>
    </row>
    <row r="99" spans="2:15" hidden="1">
      <c r="B99" s="147" t="s">
        <v>217</v>
      </c>
      <c r="C99" s="184">
        <v>44680</v>
      </c>
      <c r="D99" s="144">
        <v>869</v>
      </c>
      <c r="E99" s="147" t="s">
        <v>12</v>
      </c>
      <c r="F99" s="147" t="s">
        <v>154</v>
      </c>
      <c r="G99" s="144">
        <v>957378</v>
      </c>
      <c r="H99" s="296"/>
      <c r="I99" s="145">
        <v>100.81100000000001</v>
      </c>
      <c r="J99" s="296"/>
      <c r="K99" s="318"/>
      <c r="L99" s="144"/>
      <c r="M99" s="144"/>
      <c r="N99" s="144"/>
      <c r="O99" s="144"/>
    </row>
    <row r="100" spans="2:15" hidden="1">
      <c r="B100" s="147" t="s">
        <v>284</v>
      </c>
      <c r="C100" s="184">
        <v>44683</v>
      </c>
      <c r="D100" s="144">
        <v>876</v>
      </c>
      <c r="E100" s="147" t="s">
        <v>288</v>
      </c>
      <c r="F100" s="147" t="s">
        <v>289</v>
      </c>
      <c r="G100" s="144">
        <v>967665</v>
      </c>
      <c r="H100" s="144">
        <v>1000</v>
      </c>
      <c r="I100" s="145">
        <v>152.78899999999999</v>
      </c>
      <c r="J100" s="144">
        <f>H100-I100</f>
        <v>847.21100000000001</v>
      </c>
      <c r="K100" s="185">
        <f>I100/H100</f>
        <v>0.15278899999999998</v>
      </c>
      <c r="L100" s="144"/>
      <c r="M100" s="144"/>
      <c r="N100" s="144"/>
      <c r="O100" s="144"/>
    </row>
    <row r="101" spans="2:15" hidden="1">
      <c r="B101" s="147" t="s">
        <v>284</v>
      </c>
      <c r="C101" s="184">
        <v>44683</v>
      </c>
      <c r="D101" s="144">
        <v>877</v>
      </c>
      <c r="E101" s="147" t="s">
        <v>288</v>
      </c>
      <c r="F101" s="147" t="s">
        <v>290</v>
      </c>
      <c r="G101" s="144">
        <v>699168</v>
      </c>
      <c r="H101" s="144">
        <v>1000</v>
      </c>
      <c r="I101" s="145">
        <v>89.11</v>
      </c>
      <c r="J101" s="144">
        <f>H101-I101</f>
        <v>910.89</v>
      </c>
      <c r="K101" s="185">
        <f>I101/H101</f>
        <v>8.9109999999999995E-2</v>
      </c>
      <c r="L101" s="144"/>
      <c r="M101" s="144"/>
      <c r="N101" s="144"/>
      <c r="O101" s="144"/>
    </row>
    <row r="102" spans="2:15" hidden="1">
      <c r="B102" s="147" t="s">
        <v>217</v>
      </c>
      <c r="C102" s="184">
        <v>44683</v>
      </c>
      <c r="D102" s="144">
        <v>878</v>
      </c>
      <c r="E102" s="119" t="s">
        <v>95</v>
      </c>
      <c r="F102" s="147" t="s">
        <v>277</v>
      </c>
      <c r="G102" s="144">
        <v>699078</v>
      </c>
      <c r="H102" s="319">
        <v>10000</v>
      </c>
      <c r="I102" s="145"/>
      <c r="J102" s="319">
        <f>H102-(SUM(I102:I108))</f>
        <v>10000</v>
      </c>
      <c r="K102" s="320">
        <f>(SUM(I102:I108))/H102</f>
        <v>0</v>
      </c>
      <c r="L102" s="144"/>
      <c r="M102" s="144"/>
      <c r="N102" s="144"/>
      <c r="O102" s="144"/>
    </row>
    <row r="103" spans="2:15" hidden="1">
      <c r="B103" s="147" t="s">
        <v>217</v>
      </c>
      <c r="C103" s="184">
        <v>44683</v>
      </c>
      <c r="D103" s="144">
        <v>878</v>
      </c>
      <c r="E103" s="119" t="s">
        <v>95</v>
      </c>
      <c r="F103" s="147" t="s">
        <v>278</v>
      </c>
      <c r="G103" s="144">
        <v>967544</v>
      </c>
      <c r="H103" s="295"/>
      <c r="I103" s="145"/>
      <c r="J103" s="295"/>
      <c r="K103" s="317"/>
      <c r="L103" s="144"/>
      <c r="M103" s="144"/>
      <c r="N103" s="144"/>
      <c r="O103" s="144"/>
    </row>
    <row r="104" spans="2:15" hidden="1">
      <c r="B104" s="147" t="s">
        <v>217</v>
      </c>
      <c r="C104" s="184">
        <v>44683</v>
      </c>
      <c r="D104" s="144">
        <v>878</v>
      </c>
      <c r="E104" s="119" t="s">
        <v>95</v>
      </c>
      <c r="F104" s="147" t="s">
        <v>279</v>
      </c>
      <c r="G104" s="144">
        <v>968274</v>
      </c>
      <c r="H104" s="295"/>
      <c r="I104" s="145"/>
      <c r="J104" s="295"/>
      <c r="K104" s="317"/>
      <c r="L104" s="144"/>
      <c r="M104" s="144"/>
      <c r="N104" s="144"/>
      <c r="O104" s="144"/>
    </row>
    <row r="105" spans="2:15" hidden="1">
      <c r="B105" s="147" t="s">
        <v>217</v>
      </c>
      <c r="C105" s="184">
        <v>44683</v>
      </c>
      <c r="D105" s="144">
        <v>878</v>
      </c>
      <c r="E105" s="119" t="s">
        <v>95</v>
      </c>
      <c r="F105" s="147" t="s">
        <v>280</v>
      </c>
      <c r="G105" s="144">
        <v>968447</v>
      </c>
      <c r="H105" s="295"/>
      <c r="I105" s="145"/>
      <c r="J105" s="295"/>
      <c r="K105" s="317"/>
      <c r="L105" s="144"/>
      <c r="M105" s="144"/>
      <c r="N105" s="144"/>
      <c r="O105" s="144"/>
    </row>
    <row r="106" spans="2:15" hidden="1">
      <c r="B106" s="147" t="s">
        <v>217</v>
      </c>
      <c r="C106" s="184">
        <v>44683</v>
      </c>
      <c r="D106" s="144">
        <v>878</v>
      </c>
      <c r="E106" s="119" t="s">
        <v>95</v>
      </c>
      <c r="F106" s="147" t="s">
        <v>281</v>
      </c>
      <c r="G106" s="144">
        <v>968466</v>
      </c>
      <c r="H106" s="295"/>
      <c r="I106" s="145"/>
      <c r="J106" s="295"/>
      <c r="K106" s="317"/>
      <c r="L106" s="144"/>
      <c r="M106" s="144"/>
      <c r="N106" s="144"/>
      <c r="O106" s="144"/>
    </row>
    <row r="107" spans="2:15" hidden="1">
      <c r="B107" s="147" t="s">
        <v>217</v>
      </c>
      <c r="C107" s="184">
        <v>44683</v>
      </c>
      <c r="D107" s="144">
        <v>878</v>
      </c>
      <c r="E107" s="119" t="s">
        <v>95</v>
      </c>
      <c r="F107" s="147" t="s">
        <v>282</v>
      </c>
      <c r="G107" s="144">
        <v>969068</v>
      </c>
      <c r="H107" s="295"/>
      <c r="I107" s="145"/>
      <c r="J107" s="295"/>
      <c r="K107" s="317"/>
      <c r="L107" s="144"/>
      <c r="M107" s="144"/>
      <c r="N107" s="144"/>
      <c r="O107" s="144"/>
    </row>
    <row r="108" spans="2:15" hidden="1">
      <c r="B108" s="147" t="s">
        <v>217</v>
      </c>
      <c r="C108" s="184">
        <v>44683</v>
      </c>
      <c r="D108" s="144">
        <v>878</v>
      </c>
      <c r="E108" s="119" t="s">
        <v>95</v>
      </c>
      <c r="F108" s="147" t="s">
        <v>283</v>
      </c>
      <c r="G108" s="144">
        <v>698940</v>
      </c>
      <c r="H108" s="296"/>
      <c r="I108" s="145"/>
      <c r="J108" s="296"/>
      <c r="K108" s="318"/>
      <c r="L108" s="144"/>
      <c r="M108" s="144"/>
      <c r="N108" s="144"/>
      <c r="O108" s="144"/>
    </row>
    <row r="109" spans="2:15" hidden="1">
      <c r="B109" s="147" t="s">
        <v>217</v>
      </c>
      <c r="C109" s="184">
        <v>44683</v>
      </c>
      <c r="D109" s="144">
        <v>879</v>
      </c>
      <c r="E109" s="147" t="s">
        <v>11</v>
      </c>
      <c r="F109" s="147" t="s">
        <v>173</v>
      </c>
      <c r="G109" s="144">
        <v>950657</v>
      </c>
      <c r="H109" s="323">
        <v>8688.277</v>
      </c>
      <c r="I109" s="145">
        <v>384.15</v>
      </c>
      <c r="J109" s="323">
        <f>H109-(SUM(I109:I118))</f>
        <v>3341.2070000000003</v>
      </c>
      <c r="K109" s="324">
        <f>(SUM(I109:I118))/H109</f>
        <v>0.6154350281419434</v>
      </c>
      <c r="L109" s="144"/>
      <c r="M109" s="144"/>
      <c r="N109" s="144"/>
      <c r="O109" s="144"/>
    </row>
    <row r="110" spans="2:15" hidden="1">
      <c r="B110" s="147" t="s">
        <v>217</v>
      </c>
      <c r="C110" s="184">
        <v>44683</v>
      </c>
      <c r="D110" s="144">
        <v>879</v>
      </c>
      <c r="E110" s="147" t="s">
        <v>11</v>
      </c>
      <c r="F110" s="147" t="s">
        <v>291</v>
      </c>
      <c r="G110" s="144">
        <v>969394</v>
      </c>
      <c r="H110" s="295"/>
      <c r="I110" s="145">
        <v>746</v>
      </c>
      <c r="J110" s="295"/>
      <c r="K110" s="317"/>
      <c r="L110" s="144"/>
      <c r="M110" s="144"/>
      <c r="N110" s="144"/>
      <c r="O110" s="144"/>
    </row>
    <row r="111" spans="2:15" hidden="1">
      <c r="B111" s="147" t="s">
        <v>217</v>
      </c>
      <c r="C111" s="184">
        <v>44683</v>
      </c>
      <c r="D111" s="144">
        <v>879</v>
      </c>
      <c r="E111" s="147" t="s">
        <v>11</v>
      </c>
      <c r="F111" s="147" t="s">
        <v>292</v>
      </c>
      <c r="G111" s="144">
        <v>960352</v>
      </c>
      <c r="H111" s="295"/>
      <c r="I111" s="145">
        <v>318</v>
      </c>
      <c r="J111" s="295"/>
      <c r="K111" s="317"/>
      <c r="L111" s="144"/>
      <c r="M111" s="144"/>
      <c r="N111" s="144"/>
      <c r="O111" s="144"/>
    </row>
    <row r="112" spans="2:15" hidden="1">
      <c r="B112" s="147" t="s">
        <v>217</v>
      </c>
      <c r="C112" s="184">
        <v>44683</v>
      </c>
      <c r="D112" s="144">
        <v>879</v>
      </c>
      <c r="E112" s="147" t="s">
        <v>11</v>
      </c>
      <c r="F112" s="147" t="s">
        <v>208</v>
      </c>
      <c r="G112" s="144">
        <v>961267</v>
      </c>
      <c r="H112" s="295"/>
      <c r="I112" s="145">
        <v>82</v>
      </c>
      <c r="J112" s="295"/>
      <c r="K112" s="317"/>
      <c r="L112" s="144"/>
      <c r="M112" s="144"/>
      <c r="N112" s="144"/>
      <c r="O112" s="144"/>
    </row>
    <row r="113" spans="2:15" hidden="1">
      <c r="B113" s="147" t="s">
        <v>217</v>
      </c>
      <c r="C113" s="184">
        <v>44683</v>
      </c>
      <c r="D113" s="144">
        <v>879</v>
      </c>
      <c r="E113" s="147" t="s">
        <v>11</v>
      </c>
      <c r="F113" s="147" t="s">
        <v>192</v>
      </c>
      <c r="G113" s="144">
        <v>969269</v>
      </c>
      <c r="H113" s="295"/>
      <c r="I113" s="145">
        <v>457</v>
      </c>
      <c r="J113" s="295"/>
      <c r="K113" s="317"/>
      <c r="L113" s="144"/>
      <c r="M113" s="144"/>
      <c r="N113" s="144"/>
      <c r="O113" s="144"/>
    </row>
    <row r="114" spans="2:15" hidden="1">
      <c r="B114" s="147" t="s">
        <v>217</v>
      </c>
      <c r="C114" s="184">
        <v>44683</v>
      </c>
      <c r="D114" s="144">
        <v>879</v>
      </c>
      <c r="E114" s="147" t="s">
        <v>11</v>
      </c>
      <c r="F114" s="147" t="s">
        <v>175</v>
      </c>
      <c r="G114" s="144">
        <v>963710</v>
      </c>
      <c r="H114" s="295"/>
      <c r="I114" s="145">
        <v>754.85</v>
      </c>
      <c r="J114" s="295"/>
      <c r="K114" s="317"/>
      <c r="L114" s="144"/>
      <c r="M114" s="144"/>
      <c r="N114" s="144"/>
      <c r="O114" s="144"/>
    </row>
    <row r="115" spans="2:15" hidden="1">
      <c r="B115" s="147" t="s">
        <v>217</v>
      </c>
      <c r="C115" s="184">
        <v>44683</v>
      </c>
      <c r="D115" s="144">
        <v>879</v>
      </c>
      <c r="E115" s="147" t="s">
        <v>11</v>
      </c>
      <c r="F115" s="147" t="s">
        <v>177</v>
      </c>
      <c r="G115" s="144">
        <v>699245</v>
      </c>
      <c r="H115" s="295"/>
      <c r="I115" s="145">
        <v>562.07000000000005</v>
      </c>
      <c r="J115" s="295"/>
      <c r="K115" s="317"/>
      <c r="L115" s="144"/>
      <c r="M115" s="144"/>
      <c r="N115" s="144"/>
      <c r="O115" s="144"/>
    </row>
    <row r="116" spans="2:15" hidden="1">
      <c r="B116" s="147" t="s">
        <v>217</v>
      </c>
      <c r="C116" s="184">
        <v>44683</v>
      </c>
      <c r="D116" s="144">
        <v>879</v>
      </c>
      <c r="E116" s="147" t="s">
        <v>11</v>
      </c>
      <c r="F116" s="147" t="s">
        <v>178</v>
      </c>
      <c r="G116" s="144">
        <v>967677</v>
      </c>
      <c r="H116" s="295"/>
      <c r="I116" s="145">
        <v>660</v>
      </c>
      <c r="J116" s="295"/>
      <c r="K116" s="317"/>
      <c r="L116" s="144"/>
      <c r="M116" s="144"/>
      <c r="N116" s="144"/>
      <c r="O116" s="144"/>
    </row>
    <row r="117" spans="2:15" hidden="1">
      <c r="B117" s="147" t="s">
        <v>217</v>
      </c>
      <c r="C117" s="184">
        <v>44683</v>
      </c>
      <c r="D117" s="144">
        <v>879</v>
      </c>
      <c r="E117" s="147" t="s">
        <v>11</v>
      </c>
      <c r="F117" s="147" t="s">
        <v>180</v>
      </c>
      <c r="G117" s="144">
        <v>955847</v>
      </c>
      <c r="H117" s="295"/>
      <c r="I117" s="145">
        <v>517</v>
      </c>
      <c r="J117" s="295"/>
      <c r="K117" s="317"/>
      <c r="L117" s="144"/>
      <c r="M117" s="144"/>
      <c r="N117" s="144"/>
      <c r="O117" s="144"/>
    </row>
    <row r="118" spans="2:15" hidden="1">
      <c r="B118" s="147" t="s">
        <v>217</v>
      </c>
      <c r="C118" s="184">
        <v>44683</v>
      </c>
      <c r="D118" s="144">
        <v>879</v>
      </c>
      <c r="E118" s="147" t="s">
        <v>11</v>
      </c>
      <c r="F118" s="147" t="s">
        <v>182</v>
      </c>
      <c r="G118" s="144">
        <v>955947</v>
      </c>
      <c r="H118" s="296"/>
      <c r="I118" s="145">
        <v>866</v>
      </c>
      <c r="J118" s="296"/>
      <c r="K118" s="318"/>
      <c r="L118" s="144"/>
      <c r="M118" s="144"/>
      <c r="N118" s="144"/>
      <c r="O118" s="144"/>
    </row>
    <row r="119" spans="2:15" hidden="1">
      <c r="B119" s="147" t="s">
        <v>284</v>
      </c>
      <c r="C119" s="184">
        <v>44684</v>
      </c>
      <c r="D119" s="144">
        <v>892</v>
      </c>
      <c r="E119" s="119" t="s">
        <v>95</v>
      </c>
      <c r="F119" s="147" t="s">
        <v>219</v>
      </c>
      <c r="G119" s="144">
        <v>956794</v>
      </c>
      <c r="H119" s="144">
        <v>3000</v>
      </c>
      <c r="I119" s="145">
        <v>1022.353</v>
      </c>
      <c r="J119" s="144">
        <f>H119-I119</f>
        <v>1977.6469999999999</v>
      </c>
      <c r="K119" s="185">
        <f>I119/H119</f>
        <v>0.3407843333333333</v>
      </c>
      <c r="L119" s="144"/>
      <c r="M119" s="144"/>
      <c r="N119" s="144"/>
      <c r="O119" s="144"/>
    </row>
    <row r="120" spans="2:15" hidden="1">
      <c r="B120" s="147" t="s">
        <v>284</v>
      </c>
      <c r="C120" s="184">
        <v>44684</v>
      </c>
      <c r="D120" s="144">
        <v>892</v>
      </c>
      <c r="E120" s="119" t="s">
        <v>95</v>
      </c>
      <c r="F120" s="147" t="s">
        <v>293</v>
      </c>
      <c r="G120" s="144">
        <v>699260</v>
      </c>
      <c r="H120" s="144">
        <v>5500</v>
      </c>
      <c r="I120" s="145">
        <v>974.13499999999999</v>
      </c>
      <c r="J120" s="144">
        <f>H120-I120</f>
        <v>4525.8649999999998</v>
      </c>
      <c r="K120" s="185">
        <f>I120/H120</f>
        <v>0.17711545454545455</v>
      </c>
      <c r="L120" s="144"/>
      <c r="M120" s="144"/>
      <c r="N120" s="144"/>
      <c r="O120" s="144"/>
    </row>
    <row r="121" spans="2:15" hidden="1">
      <c r="B121" s="147" t="s">
        <v>284</v>
      </c>
      <c r="C121" s="184">
        <v>44684</v>
      </c>
      <c r="D121" s="144">
        <v>893</v>
      </c>
      <c r="E121" s="147" t="s">
        <v>288</v>
      </c>
      <c r="F121" s="147" t="s">
        <v>294</v>
      </c>
      <c r="G121" s="144">
        <v>699329</v>
      </c>
      <c r="H121" s="144">
        <v>2000</v>
      </c>
      <c r="I121" s="145">
        <v>215.84</v>
      </c>
      <c r="J121" s="144">
        <f>H121-I121</f>
        <v>1784.16</v>
      </c>
      <c r="K121" s="185">
        <f>I121/H121</f>
        <v>0.10792</v>
      </c>
      <c r="L121" s="144"/>
      <c r="M121" s="144"/>
      <c r="N121" s="144"/>
      <c r="O121" s="144"/>
    </row>
    <row r="122" spans="2:15" hidden="1">
      <c r="B122" s="147" t="s">
        <v>217</v>
      </c>
      <c r="C122" s="184">
        <v>44687</v>
      </c>
      <c r="D122" s="144">
        <v>929</v>
      </c>
      <c r="E122" s="147" t="s">
        <v>288</v>
      </c>
      <c r="F122" s="147" t="s">
        <v>224</v>
      </c>
      <c r="G122" s="144">
        <v>955856</v>
      </c>
      <c r="H122" s="315">
        <v>5000</v>
      </c>
      <c r="I122" s="144"/>
      <c r="J122" s="315">
        <f>H122-(I122+I123+I124)</f>
        <v>5000</v>
      </c>
      <c r="K122" s="316">
        <f>(I122+I123+I124)/H122</f>
        <v>0</v>
      </c>
      <c r="L122" s="144"/>
      <c r="M122" s="144"/>
      <c r="N122" s="144"/>
      <c r="O122" s="144"/>
    </row>
    <row r="123" spans="2:15" hidden="1">
      <c r="B123" s="147" t="s">
        <v>217</v>
      </c>
      <c r="C123" s="184">
        <v>44687</v>
      </c>
      <c r="D123" s="144">
        <v>929</v>
      </c>
      <c r="E123" s="147" t="s">
        <v>288</v>
      </c>
      <c r="F123" s="147" t="s">
        <v>225</v>
      </c>
      <c r="G123" s="144">
        <v>969249</v>
      </c>
      <c r="H123" s="295"/>
      <c r="I123" s="144"/>
      <c r="J123" s="295"/>
      <c r="K123" s="317"/>
      <c r="L123" s="144"/>
      <c r="M123" s="144"/>
      <c r="N123" s="144"/>
      <c r="O123" s="144"/>
    </row>
    <row r="124" spans="2:15" hidden="1">
      <c r="B124" s="147" t="s">
        <v>217</v>
      </c>
      <c r="C124" s="184">
        <v>44687</v>
      </c>
      <c r="D124" s="144">
        <v>929</v>
      </c>
      <c r="E124" s="147" t="s">
        <v>288</v>
      </c>
      <c r="F124" s="147" t="s">
        <v>235</v>
      </c>
      <c r="G124" s="144">
        <v>968293</v>
      </c>
      <c r="H124" s="296"/>
      <c r="I124" s="144"/>
      <c r="J124" s="296"/>
      <c r="K124" s="318"/>
      <c r="L124" s="144"/>
      <c r="M124" s="144"/>
      <c r="N124" s="144"/>
      <c r="O124" s="144"/>
    </row>
    <row r="125" spans="2:15" hidden="1">
      <c r="B125" s="147" t="s">
        <v>217</v>
      </c>
      <c r="C125" s="184">
        <v>44693</v>
      </c>
      <c r="D125" s="144">
        <v>955</v>
      </c>
      <c r="E125" s="147" t="s">
        <v>288</v>
      </c>
      <c r="F125" s="119" t="s">
        <v>220</v>
      </c>
      <c r="G125" s="124">
        <v>963544</v>
      </c>
      <c r="H125" s="319">
        <v>1734.1659999999999</v>
      </c>
      <c r="I125" s="145"/>
      <c r="J125" s="319">
        <f>H125-(SUM(I125:I131))</f>
        <v>1734.1659999999999</v>
      </c>
      <c r="K125" s="320">
        <f>(SUM(I125:I131))/H125</f>
        <v>0</v>
      </c>
      <c r="L125" s="144"/>
      <c r="M125" s="144"/>
      <c r="N125" s="144"/>
      <c r="O125" s="144"/>
    </row>
    <row r="126" spans="2:15" hidden="1">
      <c r="B126" s="147" t="s">
        <v>217</v>
      </c>
      <c r="C126" s="184">
        <v>44693</v>
      </c>
      <c r="D126" s="144">
        <v>955</v>
      </c>
      <c r="E126" s="147" t="s">
        <v>288</v>
      </c>
      <c r="F126" s="119" t="s">
        <v>221</v>
      </c>
      <c r="G126" s="124">
        <v>963409</v>
      </c>
      <c r="H126" s="295"/>
      <c r="I126" s="145"/>
      <c r="J126" s="295"/>
      <c r="K126" s="317"/>
      <c r="L126" s="144"/>
      <c r="M126" s="144"/>
      <c r="N126" s="144"/>
      <c r="O126" s="144"/>
    </row>
    <row r="127" spans="2:15" hidden="1">
      <c r="B127" s="147" t="s">
        <v>217</v>
      </c>
      <c r="C127" s="184">
        <v>44693</v>
      </c>
      <c r="D127" s="144">
        <v>955</v>
      </c>
      <c r="E127" s="147" t="s">
        <v>288</v>
      </c>
      <c r="F127" s="147" t="s">
        <v>239</v>
      </c>
      <c r="G127" s="144">
        <v>914147</v>
      </c>
      <c r="H127" s="295"/>
      <c r="I127" s="145"/>
      <c r="J127" s="295"/>
      <c r="K127" s="317"/>
      <c r="L127" s="144"/>
      <c r="M127" s="144"/>
      <c r="N127" s="144"/>
      <c r="O127" s="144"/>
    </row>
    <row r="128" spans="2:15" hidden="1">
      <c r="B128" s="147" t="s">
        <v>217</v>
      </c>
      <c r="C128" s="184">
        <v>44693</v>
      </c>
      <c r="D128" s="144">
        <v>955</v>
      </c>
      <c r="E128" s="147" t="s">
        <v>288</v>
      </c>
      <c r="F128" s="147" t="s">
        <v>306</v>
      </c>
      <c r="G128" s="144">
        <v>914125</v>
      </c>
      <c r="H128" s="295"/>
      <c r="I128" s="145"/>
      <c r="J128" s="295"/>
      <c r="K128" s="317"/>
      <c r="L128" s="144"/>
      <c r="M128" s="144"/>
      <c r="N128" s="144"/>
      <c r="O128" s="144"/>
    </row>
    <row r="129" spans="2:15" hidden="1">
      <c r="B129" s="147" t="s">
        <v>217</v>
      </c>
      <c r="C129" s="184">
        <v>44693</v>
      </c>
      <c r="D129" s="144">
        <v>955</v>
      </c>
      <c r="E129" s="147" t="s">
        <v>288</v>
      </c>
      <c r="F129" s="147" t="s">
        <v>307</v>
      </c>
      <c r="G129" s="144">
        <v>964706</v>
      </c>
      <c r="H129" s="295"/>
      <c r="I129" s="145"/>
      <c r="J129" s="295"/>
      <c r="K129" s="317"/>
      <c r="L129" s="144"/>
      <c r="M129" s="144"/>
      <c r="N129" s="144"/>
      <c r="O129" s="144"/>
    </row>
    <row r="130" spans="2:15" hidden="1">
      <c r="B130" s="147" t="s">
        <v>217</v>
      </c>
      <c r="C130" s="184">
        <v>44693</v>
      </c>
      <c r="D130" s="144">
        <v>955</v>
      </c>
      <c r="E130" s="147" t="s">
        <v>288</v>
      </c>
      <c r="F130" s="147" t="s">
        <v>247</v>
      </c>
      <c r="G130" s="144">
        <v>914124</v>
      </c>
      <c r="H130" s="295"/>
      <c r="I130" s="145"/>
      <c r="J130" s="295"/>
      <c r="K130" s="317"/>
      <c r="L130" s="144"/>
      <c r="M130" s="144"/>
      <c r="N130" s="144"/>
      <c r="O130" s="144"/>
    </row>
    <row r="131" spans="2:15" hidden="1">
      <c r="B131" s="147" t="s">
        <v>217</v>
      </c>
      <c r="C131" s="184">
        <v>44693</v>
      </c>
      <c r="D131" s="144">
        <v>955</v>
      </c>
      <c r="E131" s="147" t="s">
        <v>288</v>
      </c>
      <c r="F131" s="147" t="s">
        <v>243</v>
      </c>
      <c r="G131" s="144">
        <v>968795</v>
      </c>
      <c r="H131" s="296"/>
      <c r="I131" s="145"/>
      <c r="J131" s="296"/>
      <c r="K131" s="318"/>
      <c r="L131" s="144"/>
      <c r="M131" s="144"/>
      <c r="N131" s="144"/>
      <c r="O131" s="144"/>
    </row>
    <row r="132" spans="2:15" hidden="1">
      <c r="B132" s="147" t="s">
        <v>217</v>
      </c>
      <c r="C132" s="184">
        <v>44698</v>
      </c>
      <c r="D132" s="144">
        <v>989</v>
      </c>
      <c r="E132" s="147" t="s">
        <v>12</v>
      </c>
      <c r="F132" s="147" t="s">
        <v>148</v>
      </c>
      <c r="G132" s="144">
        <v>965267</v>
      </c>
      <c r="H132" s="323">
        <v>1500</v>
      </c>
      <c r="I132" s="145">
        <v>201.39699999999999</v>
      </c>
      <c r="J132" s="323">
        <f>H132-(SUM(I132:I141))</f>
        <v>607.68600000000015</v>
      </c>
      <c r="K132" s="324">
        <f>(SUM(I132:I141))/H132</f>
        <v>0.59487599999999985</v>
      </c>
      <c r="L132" s="144"/>
      <c r="M132" s="144"/>
      <c r="N132" s="144"/>
      <c r="O132" s="144"/>
    </row>
    <row r="133" spans="2:15" hidden="1">
      <c r="B133" s="147" t="s">
        <v>217</v>
      </c>
      <c r="C133" s="184">
        <v>44698</v>
      </c>
      <c r="D133" s="144">
        <v>989</v>
      </c>
      <c r="E133" s="147" t="s">
        <v>12</v>
      </c>
      <c r="F133" s="147" t="s">
        <v>150</v>
      </c>
      <c r="G133" s="144">
        <v>969425</v>
      </c>
      <c r="H133" s="295"/>
      <c r="I133" s="145">
        <v>164.70699999999999</v>
      </c>
      <c r="J133" s="295"/>
      <c r="K133" s="317"/>
      <c r="L133" s="144"/>
      <c r="M133" s="144"/>
      <c r="N133" s="144"/>
      <c r="O133" s="144"/>
    </row>
    <row r="134" spans="2:15" hidden="1">
      <c r="B134" s="147" t="s">
        <v>217</v>
      </c>
      <c r="C134" s="184">
        <v>44698</v>
      </c>
      <c r="D134" s="144">
        <v>989</v>
      </c>
      <c r="E134" s="147" t="s">
        <v>12</v>
      </c>
      <c r="F134" s="147" t="s">
        <v>154</v>
      </c>
      <c r="G134" s="144">
        <v>957378</v>
      </c>
      <c r="H134" s="295"/>
      <c r="I134" s="145">
        <v>210.499</v>
      </c>
      <c r="J134" s="295"/>
      <c r="K134" s="317"/>
      <c r="L134" s="144"/>
      <c r="M134" s="144"/>
      <c r="N134" s="144"/>
      <c r="O134" s="144"/>
    </row>
    <row r="135" spans="2:15" hidden="1">
      <c r="B135" s="147" t="s">
        <v>217</v>
      </c>
      <c r="C135" s="184">
        <v>44698</v>
      </c>
      <c r="D135" s="144">
        <v>989</v>
      </c>
      <c r="E135" s="147" t="s">
        <v>12</v>
      </c>
      <c r="F135" s="147" t="s">
        <v>153</v>
      </c>
      <c r="G135" s="144">
        <v>968704</v>
      </c>
      <c r="H135" s="295"/>
      <c r="I135" s="145">
        <v>149.59200000000001</v>
      </c>
      <c r="J135" s="295"/>
      <c r="K135" s="317"/>
      <c r="L135" s="144"/>
      <c r="M135" s="144"/>
      <c r="N135" s="144"/>
      <c r="O135" s="144"/>
    </row>
    <row r="136" spans="2:15" hidden="1">
      <c r="B136" s="147" t="s">
        <v>217</v>
      </c>
      <c r="C136" s="184">
        <v>44698</v>
      </c>
      <c r="D136" s="144">
        <v>989</v>
      </c>
      <c r="E136" s="147" t="s">
        <v>12</v>
      </c>
      <c r="F136" s="147" t="s">
        <v>151</v>
      </c>
      <c r="G136" s="144">
        <v>967553</v>
      </c>
      <c r="H136" s="295"/>
      <c r="I136" s="145"/>
      <c r="J136" s="295"/>
      <c r="K136" s="317"/>
      <c r="L136" s="144"/>
      <c r="M136" s="144"/>
      <c r="N136" s="144"/>
      <c r="O136" s="144"/>
    </row>
    <row r="137" spans="2:15" hidden="1">
      <c r="B137" s="147" t="s">
        <v>217</v>
      </c>
      <c r="C137" s="184">
        <v>44698</v>
      </c>
      <c r="D137" s="144">
        <v>989</v>
      </c>
      <c r="E137" s="147" t="s">
        <v>12</v>
      </c>
      <c r="F137" s="147" t="s">
        <v>152</v>
      </c>
      <c r="G137" s="144">
        <v>968930</v>
      </c>
      <c r="H137" s="295"/>
      <c r="I137" s="145">
        <v>121.79</v>
      </c>
      <c r="J137" s="295"/>
      <c r="K137" s="317"/>
      <c r="L137" s="144"/>
      <c r="M137" s="144"/>
      <c r="N137" s="144"/>
      <c r="O137" s="144"/>
    </row>
    <row r="138" spans="2:15" hidden="1">
      <c r="B138" s="147" t="s">
        <v>217</v>
      </c>
      <c r="C138" s="184">
        <v>44698</v>
      </c>
      <c r="D138" s="144">
        <v>989</v>
      </c>
      <c r="E138" s="147" t="s">
        <v>12</v>
      </c>
      <c r="F138" s="147" t="s">
        <v>310</v>
      </c>
      <c r="G138" s="144">
        <v>964853</v>
      </c>
      <c r="H138" s="295"/>
      <c r="I138" s="145"/>
      <c r="J138" s="295"/>
      <c r="K138" s="317"/>
      <c r="L138" s="144"/>
      <c r="M138" s="144"/>
      <c r="N138" s="144"/>
      <c r="O138" s="144"/>
    </row>
    <row r="139" spans="2:15" hidden="1">
      <c r="B139" s="147" t="s">
        <v>217</v>
      </c>
      <c r="C139" s="184">
        <v>44698</v>
      </c>
      <c r="D139" s="144">
        <v>989</v>
      </c>
      <c r="E139" s="147" t="s">
        <v>12</v>
      </c>
      <c r="F139" s="147" t="s">
        <v>147</v>
      </c>
      <c r="G139" s="144">
        <v>955952</v>
      </c>
      <c r="H139" s="295"/>
      <c r="I139" s="145"/>
      <c r="J139" s="295"/>
      <c r="K139" s="317"/>
      <c r="L139" s="144"/>
      <c r="M139" s="144"/>
      <c r="N139" s="144"/>
      <c r="O139" s="144"/>
    </row>
    <row r="140" spans="2:15" hidden="1">
      <c r="B140" s="147" t="s">
        <v>217</v>
      </c>
      <c r="C140" s="184">
        <v>44698</v>
      </c>
      <c r="D140" s="144">
        <v>989</v>
      </c>
      <c r="E140" s="147" t="s">
        <v>12</v>
      </c>
      <c r="F140" s="147" t="s">
        <v>287</v>
      </c>
      <c r="G140" s="144">
        <v>698764</v>
      </c>
      <c r="H140" s="295"/>
      <c r="I140" s="145">
        <v>44.329000000000001</v>
      </c>
      <c r="J140" s="295"/>
      <c r="K140" s="317"/>
      <c r="L140" s="144"/>
      <c r="M140" s="144"/>
      <c r="N140" s="144"/>
      <c r="O140" s="144"/>
    </row>
    <row r="141" spans="2:15" hidden="1">
      <c r="B141" s="147" t="s">
        <v>217</v>
      </c>
      <c r="C141" s="184">
        <v>44698</v>
      </c>
      <c r="D141" s="144">
        <v>989</v>
      </c>
      <c r="E141" s="147" t="s">
        <v>12</v>
      </c>
      <c r="F141" s="147" t="s">
        <v>155</v>
      </c>
      <c r="G141" s="144">
        <v>969467</v>
      </c>
      <c r="H141" s="296"/>
      <c r="I141" s="145"/>
      <c r="J141" s="296"/>
      <c r="K141" s="318"/>
      <c r="L141" s="144"/>
      <c r="M141" s="144"/>
      <c r="N141" s="144"/>
      <c r="O141" s="144"/>
    </row>
    <row r="142" spans="2:15" hidden="1">
      <c r="B142" s="147" t="s">
        <v>217</v>
      </c>
      <c r="C142" s="184">
        <v>44698</v>
      </c>
      <c r="D142" s="144">
        <v>990</v>
      </c>
      <c r="E142" s="147" t="s">
        <v>12</v>
      </c>
      <c r="F142" s="147" t="s">
        <v>287</v>
      </c>
      <c r="G142" s="144">
        <v>698764</v>
      </c>
      <c r="H142" s="325">
        <v>500</v>
      </c>
      <c r="I142" s="145"/>
      <c r="J142" s="325">
        <f>H142-(I142+I143+I144+I145+I146+I147)</f>
        <v>500</v>
      </c>
      <c r="K142" s="326">
        <f>(I142+I143+I144+I145+I146+I147)/H142</f>
        <v>0</v>
      </c>
      <c r="L142" s="144"/>
      <c r="M142" s="144"/>
      <c r="N142" s="144"/>
      <c r="O142" s="144"/>
    </row>
    <row r="143" spans="2:15" hidden="1">
      <c r="B143" s="147" t="s">
        <v>217</v>
      </c>
      <c r="C143" s="184">
        <v>44698</v>
      </c>
      <c r="D143" s="144">
        <v>990</v>
      </c>
      <c r="E143" s="147" t="s">
        <v>12</v>
      </c>
      <c r="F143" s="147" t="s">
        <v>148</v>
      </c>
      <c r="G143" s="144">
        <v>965267</v>
      </c>
      <c r="H143" s="295"/>
      <c r="I143" s="145"/>
      <c r="J143" s="295"/>
      <c r="K143" s="317"/>
      <c r="L143" s="144"/>
      <c r="M143" s="144"/>
      <c r="N143" s="144"/>
      <c r="O143" s="144"/>
    </row>
    <row r="144" spans="2:15" hidden="1">
      <c r="B144" s="147" t="s">
        <v>217</v>
      </c>
      <c r="C144" s="184">
        <v>44698</v>
      </c>
      <c r="D144" s="144">
        <v>990</v>
      </c>
      <c r="E144" s="147" t="s">
        <v>12</v>
      </c>
      <c r="F144" s="147" t="s">
        <v>150</v>
      </c>
      <c r="G144" s="144">
        <v>969425</v>
      </c>
      <c r="H144" s="295"/>
      <c r="I144" s="145"/>
      <c r="J144" s="295"/>
      <c r="K144" s="317"/>
      <c r="L144" s="144"/>
      <c r="M144" s="144"/>
      <c r="N144" s="144"/>
      <c r="O144" s="144"/>
    </row>
    <row r="145" spans="2:15" hidden="1">
      <c r="B145" s="147" t="s">
        <v>217</v>
      </c>
      <c r="C145" s="184">
        <v>44698</v>
      </c>
      <c r="D145" s="144">
        <v>990</v>
      </c>
      <c r="E145" s="147" t="s">
        <v>12</v>
      </c>
      <c r="F145" s="147" t="s">
        <v>152</v>
      </c>
      <c r="G145" s="144">
        <v>968930</v>
      </c>
      <c r="H145" s="295"/>
      <c r="I145" s="145"/>
      <c r="J145" s="295"/>
      <c r="K145" s="317"/>
      <c r="L145" s="144"/>
      <c r="M145" s="144"/>
      <c r="N145" s="144"/>
      <c r="O145" s="144"/>
    </row>
    <row r="146" spans="2:15" hidden="1">
      <c r="B146" s="147" t="s">
        <v>217</v>
      </c>
      <c r="C146" s="184">
        <v>44698</v>
      </c>
      <c r="D146" s="144">
        <v>990</v>
      </c>
      <c r="E146" s="147" t="s">
        <v>12</v>
      </c>
      <c r="F146" s="147" t="s">
        <v>153</v>
      </c>
      <c r="G146" s="144">
        <v>968704</v>
      </c>
      <c r="H146" s="295"/>
      <c r="I146" s="145"/>
      <c r="J146" s="295"/>
      <c r="K146" s="317"/>
      <c r="L146" s="144"/>
      <c r="M146" s="144"/>
      <c r="N146" s="144"/>
      <c r="O146" s="144"/>
    </row>
    <row r="147" spans="2:15" hidden="1">
      <c r="B147" s="147" t="s">
        <v>217</v>
      </c>
      <c r="C147" s="184">
        <v>44698</v>
      </c>
      <c r="D147" s="144">
        <v>990</v>
      </c>
      <c r="E147" s="147" t="s">
        <v>12</v>
      </c>
      <c r="F147" s="147" t="s">
        <v>154</v>
      </c>
      <c r="G147" s="144">
        <v>957378</v>
      </c>
      <c r="H147" s="296"/>
      <c r="I147" s="145"/>
      <c r="J147" s="296"/>
      <c r="K147" s="318"/>
      <c r="L147" s="144"/>
      <c r="M147" s="144"/>
      <c r="N147" s="144"/>
      <c r="O147" s="144"/>
    </row>
    <row r="148" spans="2:15" hidden="1">
      <c r="B148" s="147" t="s">
        <v>217</v>
      </c>
      <c r="C148" s="184">
        <v>44699</v>
      </c>
      <c r="D148" s="144">
        <v>1004</v>
      </c>
      <c r="E148" s="147" t="s">
        <v>288</v>
      </c>
      <c r="F148" s="119" t="s">
        <v>220</v>
      </c>
      <c r="G148" s="124">
        <v>963544</v>
      </c>
      <c r="H148" s="319">
        <v>3799.2689999999998</v>
      </c>
      <c r="I148" s="145">
        <v>410.92500000000001</v>
      </c>
      <c r="J148" s="319">
        <f>H148-(SUM(I148:I154))</f>
        <v>2451.5289999999995</v>
      </c>
      <c r="K148" s="320">
        <f>(SUM(I148:I154))/H148</f>
        <v>0.35473666118403308</v>
      </c>
      <c r="L148" s="144"/>
      <c r="M148" s="144"/>
      <c r="N148" s="144"/>
      <c r="O148" s="144"/>
    </row>
    <row r="149" spans="2:15" hidden="1">
      <c r="B149" s="147" t="s">
        <v>217</v>
      </c>
      <c r="C149" s="184">
        <v>44699</v>
      </c>
      <c r="D149" s="144">
        <v>1004</v>
      </c>
      <c r="E149" s="147" t="s">
        <v>288</v>
      </c>
      <c r="F149" s="119" t="s">
        <v>221</v>
      </c>
      <c r="G149" s="124">
        <v>963409</v>
      </c>
      <c r="H149" s="295"/>
      <c r="I149" s="145">
        <v>410.95499999999998</v>
      </c>
      <c r="J149" s="295"/>
      <c r="K149" s="317"/>
      <c r="L149" s="144"/>
      <c r="M149" s="144"/>
      <c r="N149" s="144"/>
      <c r="O149" s="144"/>
    </row>
    <row r="150" spans="2:15" hidden="1">
      <c r="B150" s="147" t="s">
        <v>217</v>
      </c>
      <c r="C150" s="184">
        <v>44699</v>
      </c>
      <c r="D150" s="144">
        <v>1004</v>
      </c>
      <c r="E150" s="147" t="s">
        <v>288</v>
      </c>
      <c r="F150" s="147" t="s">
        <v>239</v>
      </c>
      <c r="G150" s="144">
        <v>914147</v>
      </c>
      <c r="H150" s="295"/>
      <c r="I150" s="145"/>
      <c r="J150" s="295"/>
      <c r="K150" s="317"/>
      <c r="L150" s="144"/>
      <c r="M150" s="144"/>
      <c r="N150" s="144"/>
      <c r="O150" s="144"/>
    </row>
    <row r="151" spans="2:15" hidden="1">
      <c r="B151" s="147" t="s">
        <v>217</v>
      </c>
      <c r="C151" s="184">
        <v>44699</v>
      </c>
      <c r="D151" s="144">
        <v>1004</v>
      </c>
      <c r="E151" s="147" t="s">
        <v>288</v>
      </c>
      <c r="F151" s="147" t="s">
        <v>306</v>
      </c>
      <c r="G151" s="144">
        <v>914125</v>
      </c>
      <c r="H151" s="295"/>
      <c r="I151" s="145">
        <v>214.43</v>
      </c>
      <c r="J151" s="295"/>
      <c r="K151" s="317"/>
      <c r="L151" s="144"/>
      <c r="M151" s="144"/>
      <c r="N151" s="144"/>
      <c r="O151" s="144"/>
    </row>
    <row r="152" spans="2:15" hidden="1">
      <c r="B152" s="147" t="s">
        <v>217</v>
      </c>
      <c r="C152" s="184">
        <v>44699</v>
      </c>
      <c r="D152" s="144">
        <v>1004</v>
      </c>
      <c r="E152" s="147" t="s">
        <v>288</v>
      </c>
      <c r="F152" s="147" t="s">
        <v>307</v>
      </c>
      <c r="G152" s="144">
        <v>964706</v>
      </c>
      <c r="H152" s="295"/>
      <c r="I152" s="145"/>
      <c r="J152" s="295"/>
      <c r="K152" s="317"/>
      <c r="L152" s="144"/>
      <c r="M152" s="144"/>
      <c r="N152" s="144"/>
      <c r="O152" s="144"/>
    </row>
    <row r="153" spans="2:15" hidden="1">
      <c r="B153" s="147" t="s">
        <v>217</v>
      </c>
      <c r="C153" s="184">
        <v>44699</v>
      </c>
      <c r="D153" s="144">
        <v>1004</v>
      </c>
      <c r="E153" s="147" t="s">
        <v>288</v>
      </c>
      <c r="F153" s="147" t="s">
        <v>247</v>
      </c>
      <c r="G153" s="144">
        <v>914124</v>
      </c>
      <c r="H153" s="295"/>
      <c r="I153" s="145">
        <v>311.43</v>
      </c>
      <c r="J153" s="295"/>
      <c r="K153" s="317"/>
      <c r="L153" s="144"/>
      <c r="M153" s="144"/>
      <c r="N153" s="144"/>
      <c r="O153" s="144"/>
    </row>
    <row r="154" spans="2:15" hidden="1">
      <c r="B154" s="147" t="s">
        <v>217</v>
      </c>
      <c r="C154" s="184">
        <v>44699</v>
      </c>
      <c r="D154" s="144">
        <v>1004</v>
      </c>
      <c r="E154" s="147" t="s">
        <v>288</v>
      </c>
      <c r="F154" s="147" t="s">
        <v>243</v>
      </c>
      <c r="G154" s="144">
        <v>968795</v>
      </c>
      <c r="H154" s="296"/>
      <c r="I154" s="145"/>
      <c r="J154" s="296"/>
      <c r="K154" s="318"/>
      <c r="L154" s="144"/>
      <c r="M154" s="144"/>
      <c r="N154" s="144"/>
      <c r="O154" s="144"/>
    </row>
    <row r="155" spans="2:15" hidden="1">
      <c r="B155" s="147" t="s">
        <v>217</v>
      </c>
      <c r="C155" s="184">
        <v>44699</v>
      </c>
      <c r="D155" s="144">
        <v>1005</v>
      </c>
      <c r="E155" s="147" t="s">
        <v>12</v>
      </c>
      <c r="F155" s="147" t="s">
        <v>148</v>
      </c>
      <c r="G155" s="144">
        <v>965267</v>
      </c>
      <c r="H155" s="321">
        <v>470</v>
      </c>
      <c r="I155" s="144"/>
      <c r="J155" s="321">
        <f>H155-(I155+I156+I157+I158+I159)</f>
        <v>470</v>
      </c>
      <c r="K155" s="322">
        <f>(I155+I156+I157+I158+I159)/H155</f>
        <v>0</v>
      </c>
      <c r="L155" s="144"/>
      <c r="M155" s="144"/>
      <c r="N155" s="144"/>
      <c r="O155" s="144"/>
    </row>
    <row r="156" spans="2:15" hidden="1">
      <c r="B156" s="147" t="s">
        <v>217</v>
      </c>
      <c r="C156" s="184">
        <v>44699</v>
      </c>
      <c r="D156" s="144">
        <v>1005</v>
      </c>
      <c r="E156" s="147" t="s">
        <v>12</v>
      </c>
      <c r="F156" s="147" t="s">
        <v>150</v>
      </c>
      <c r="G156" s="144">
        <v>969425</v>
      </c>
      <c r="H156" s="295"/>
      <c r="I156" s="144"/>
      <c r="J156" s="295"/>
      <c r="K156" s="317"/>
      <c r="L156" s="144"/>
      <c r="M156" s="144"/>
      <c r="N156" s="144"/>
      <c r="O156" s="144"/>
    </row>
    <row r="157" spans="2:15" hidden="1">
      <c r="B157" s="147" t="s">
        <v>217</v>
      </c>
      <c r="C157" s="184">
        <v>44699</v>
      </c>
      <c r="D157" s="144">
        <v>1005</v>
      </c>
      <c r="E157" s="147" t="s">
        <v>12</v>
      </c>
      <c r="F157" s="147" t="s">
        <v>152</v>
      </c>
      <c r="G157" s="144">
        <v>968930</v>
      </c>
      <c r="H157" s="295"/>
      <c r="I157" s="144"/>
      <c r="J157" s="295"/>
      <c r="K157" s="317"/>
      <c r="L157" s="144"/>
      <c r="M157" s="144"/>
      <c r="N157" s="144"/>
      <c r="O157" s="144"/>
    </row>
    <row r="158" spans="2:15" hidden="1">
      <c r="B158" s="147" t="s">
        <v>217</v>
      </c>
      <c r="C158" s="184">
        <v>44699</v>
      </c>
      <c r="D158" s="144">
        <v>1005</v>
      </c>
      <c r="E158" s="147" t="s">
        <v>12</v>
      </c>
      <c r="F158" s="147" t="s">
        <v>153</v>
      </c>
      <c r="G158" s="144">
        <v>968704</v>
      </c>
      <c r="H158" s="295"/>
      <c r="I158" s="144"/>
      <c r="J158" s="295"/>
      <c r="K158" s="317"/>
      <c r="L158" s="144"/>
      <c r="M158" s="144"/>
      <c r="N158" s="144"/>
      <c r="O158" s="144"/>
    </row>
    <row r="159" spans="2:15" hidden="1">
      <c r="B159" s="147" t="s">
        <v>217</v>
      </c>
      <c r="C159" s="184">
        <v>44699</v>
      </c>
      <c r="D159" s="144">
        <v>1005</v>
      </c>
      <c r="E159" s="147" t="s">
        <v>12</v>
      </c>
      <c r="F159" s="147" t="s">
        <v>154</v>
      </c>
      <c r="G159" s="144">
        <v>957378</v>
      </c>
      <c r="H159" s="296"/>
      <c r="I159" s="144"/>
      <c r="J159" s="296"/>
      <c r="K159" s="318"/>
      <c r="L159" s="144"/>
      <c r="M159" s="144"/>
      <c r="N159" s="144"/>
      <c r="O159" s="144"/>
    </row>
    <row r="160" spans="2:15" hidden="1">
      <c r="B160" s="147" t="s">
        <v>217</v>
      </c>
      <c r="C160" s="184">
        <v>44712</v>
      </c>
      <c r="D160" s="144">
        <v>1108</v>
      </c>
      <c r="E160" s="147" t="s">
        <v>12</v>
      </c>
      <c r="F160" s="147" t="s">
        <v>148</v>
      </c>
      <c r="G160" s="144">
        <v>965267</v>
      </c>
      <c r="H160" s="144"/>
      <c r="I160" s="144"/>
      <c r="J160" s="144"/>
      <c r="K160" s="144"/>
      <c r="L160" s="315">
        <v>60</v>
      </c>
      <c r="M160" s="144"/>
      <c r="N160" s="315">
        <f>L160-(M160+M161+M162)</f>
        <v>60</v>
      </c>
      <c r="O160" s="316">
        <f>(M160+M161+M162)/L160</f>
        <v>0</v>
      </c>
    </row>
    <row r="161" spans="2:15" hidden="1">
      <c r="B161" s="147" t="s">
        <v>217</v>
      </c>
      <c r="C161" s="184">
        <v>44712</v>
      </c>
      <c r="D161" s="144">
        <v>1108</v>
      </c>
      <c r="E161" s="147" t="s">
        <v>12</v>
      </c>
      <c r="F161" s="147" t="s">
        <v>150</v>
      </c>
      <c r="G161" s="144">
        <v>969425</v>
      </c>
      <c r="H161" s="144"/>
      <c r="I161" s="144"/>
      <c r="J161" s="144"/>
      <c r="K161" s="144"/>
      <c r="L161" s="295"/>
      <c r="M161" s="144"/>
      <c r="N161" s="295"/>
      <c r="O161" s="317"/>
    </row>
    <row r="162" spans="2:15" hidden="1">
      <c r="B162" s="147" t="s">
        <v>217</v>
      </c>
      <c r="C162" s="184">
        <v>44712</v>
      </c>
      <c r="D162" s="144">
        <v>1108</v>
      </c>
      <c r="E162" s="147" t="s">
        <v>12</v>
      </c>
      <c r="F162" s="147" t="s">
        <v>154</v>
      </c>
      <c r="G162" s="144">
        <v>957378</v>
      </c>
      <c r="H162" s="144"/>
      <c r="I162" s="144"/>
      <c r="J162" s="144"/>
      <c r="K162" s="144"/>
      <c r="L162" s="296"/>
      <c r="M162" s="144"/>
      <c r="N162" s="296"/>
      <c r="O162" s="318"/>
    </row>
    <row r="163" spans="2:15"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</row>
    <row r="164" spans="2:15"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</row>
    <row r="165" spans="2:15"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</row>
    <row r="166" spans="2:15"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</row>
    <row r="167" spans="2:15"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</row>
    <row r="168" spans="2:15"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</row>
    <row r="169" spans="2:15"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</row>
    <row r="170" spans="2:15"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</row>
    <row r="171" spans="2:15"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</row>
    <row r="172" spans="2:15"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</row>
    <row r="173" spans="2:15"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</row>
    <row r="174" spans="2:15"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</row>
    <row r="175" spans="2:15"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</row>
    <row r="176" spans="2:15"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</row>
    <row r="177" spans="2:15"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</row>
    <row r="178" spans="2:15"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</row>
    <row r="179" spans="2:15"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</row>
    <row r="180" spans="2:15"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</row>
    <row r="181" spans="2:15"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</row>
    <row r="182" spans="2:15"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</row>
    <row r="183" spans="2:15"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</row>
    <row r="184" spans="2:15"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</row>
    <row r="185" spans="2:15"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</row>
    <row r="186" spans="2:15"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</row>
    <row r="187" spans="2:15"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</row>
    <row r="188" spans="2:15"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</row>
    <row r="189" spans="2:15"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</row>
    <row r="190" spans="2:15"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</row>
    <row r="191" spans="2:15"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</row>
    <row r="192" spans="2:15"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</row>
    <row r="193" spans="2:15"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</row>
    <row r="194" spans="2:15"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</row>
    <row r="195" spans="2:15"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</row>
    <row r="196" spans="2:15"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</row>
    <row r="197" spans="2:15"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</row>
    <row r="198" spans="2:15"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</row>
    <row r="199" spans="2:15"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</row>
    <row r="200" spans="2:15"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</row>
    <row r="201" spans="2:15"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</row>
    <row r="202" spans="2:15"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</row>
    <row r="203" spans="2:15"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</row>
    <row r="204" spans="2:15"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</row>
    <row r="205" spans="2:15"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</row>
    <row r="206" spans="2:15"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</row>
    <row r="207" spans="2:15"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</row>
    <row r="208" spans="2:15"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</row>
    <row r="209" spans="2:15"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</row>
    <row r="210" spans="2:15"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</row>
    <row r="211" spans="2:15"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</row>
    <row r="212" spans="2:15"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</row>
    <row r="213" spans="2:15"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</row>
    <row r="214" spans="2:15"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</row>
    <row r="215" spans="2:15"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</row>
    <row r="216" spans="2:15"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</row>
    <row r="217" spans="2:15"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</row>
    <row r="218" spans="2:15"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</row>
    <row r="219" spans="2:15"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</row>
    <row r="220" spans="2:15"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</row>
    <row r="221" spans="2:15"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</row>
    <row r="222" spans="2:15"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</row>
    <row r="223" spans="2:15"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</row>
    <row r="224" spans="2:15"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</row>
    <row r="225" spans="2:15"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</row>
    <row r="226" spans="2:15"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</row>
    <row r="227" spans="2:15"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</row>
    <row r="228" spans="2:15"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</row>
    <row r="229" spans="2:15"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</row>
    <row r="230" spans="2:15"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</row>
    <row r="231" spans="2:15"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</row>
    <row r="232" spans="2:15"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</row>
    <row r="233" spans="2:15"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</row>
    <row r="234" spans="2:15"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</row>
    <row r="235" spans="2:15"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</row>
    <row r="236" spans="2:15"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</row>
    <row r="237" spans="2:15"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</row>
    <row r="238" spans="2:15"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</row>
    <row r="239" spans="2:15"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</row>
    <row r="240" spans="2:15"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</row>
    <row r="241" spans="2:15"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</row>
    <row r="242" spans="2:15"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</row>
    <row r="243" spans="2:15"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</row>
    <row r="244" spans="2:15"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</row>
    <row r="245" spans="2:15"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</row>
    <row r="246" spans="2:15"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</row>
    <row r="247" spans="2:15"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</row>
    <row r="248" spans="2:15"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</row>
    <row r="249" spans="2:15"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</row>
    <row r="250" spans="2:15"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</row>
    <row r="251" spans="2:15"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</row>
    <row r="252" spans="2:15"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</row>
    <row r="253" spans="2:15"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</row>
    <row r="254" spans="2:15"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</row>
    <row r="255" spans="2:15"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</row>
    <row r="256" spans="2:15"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</row>
    <row r="257" spans="2:15"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</row>
    <row r="258" spans="2:15"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</row>
    <row r="259" spans="2:15"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</row>
    <row r="260" spans="2:15"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</row>
    <row r="261" spans="2:15"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</row>
    <row r="262" spans="2:15"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</row>
    <row r="263" spans="2:15"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</row>
    <row r="264" spans="2:15"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</row>
    <row r="265" spans="2:15"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</row>
    <row r="266" spans="2:15"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</row>
    <row r="267" spans="2:15"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</row>
    <row r="268" spans="2:15"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</row>
    <row r="269" spans="2:15"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</row>
    <row r="270" spans="2:15"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</row>
    <row r="271" spans="2:15"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</row>
  </sheetData>
  <autoFilter ref="A4:V162">
    <filterColumn colId="3">
      <filters>
        <filter val="620"/>
      </filters>
    </filterColumn>
  </autoFilter>
  <mergeCells count="48">
    <mergeCell ref="H132:H141"/>
    <mergeCell ref="J132:J141"/>
    <mergeCell ref="K132:K141"/>
    <mergeCell ref="H142:H147"/>
    <mergeCell ref="J142:J147"/>
    <mergeCell ref="K142:K147"/>
    <mergeCell ref="H54:H67"/>
    <mergeCell ref="J54:J67"/>
    <mergeCell ref="K54:K67"/>
    <mergeCell ref="H41:H53"/>
    <mergeCell ref="J41:J53"/>
    <mergeCell ref="K41:K53"/>
    <mergeCell ref="L2:O2"/>
    <mergeCell ref="S3:V3"/>
    <mergeCell ref="H2:K2"/>
    <mergeCell ref="H5:H40"/>
    <mergeCell ref="J5:J40"/>
    <mergeCell ref="K5:K40"/>
    <mergeCell ref="H68:H84"/>
    <mergeCell ref="J68:J84"/>
    <mergeCell ref="K68:K84"/>
    <mergeCell ref="H85:H92"/>
    <mergeCell ref="J85:J92"/>
    <mergeCell ref="K85:K92"/>
    <mergeCell ref="H109:H118"/>
    <mergeCell ref="J109:J118"/>
    <mergeCell ref="K109:K118"/>
    <mergeCell ref="J94:J99"/>
    <mergeCell ref="K94:K99"/>
    <mergeCell ref="H102:H108"/>
    <mergeCell ref="J102:J108"/>
    <mergeCell ref="K102:K108"/>
    <mergeCell ref="H94:H99"/>
    <mergeCell ref="H125:H131"/>
    <mergeCell ref="J125:J131"/>
    <mergeCell ref="K125:K131"/>
    <mergeCell ref="H122:H124"/>
    <mergeCell ref="J122:J124"/>
    <mergeCell ref="K122:K124"/>
    <mergeCell ref="L160:L162"/>
    <mergeCell ref="N160:N162"/>
    <mergeCell ref="O160:O162"/>
    <mergeCell ref="H148:H154"/>
    <mergeCell ref="J148:J154"/>
    <mergeCell ref="K148:K154"/>
    <mergeCell ref="H155:H159"/>
    <mergeCell ref="J155:J159"/>
    <mergeCell ref="K155:K159"/>
  </mergeCells>
  <conditionalFormatting sqref="O5:O21 K5">
    <cfRule type="cellIs" dxfId="0" priority="8" operator="greaterThan">
      <formula>0.9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2"/>
  <sheetViews>
    <sheetView topLeftCell="A4" workbookViewId="0">
      <selection activeCell="G15" sqref="G15"/>
    </sheetView>
  </sheetViews>
  <sheetFormatPr baseColWidth="10" defaultRowHeight="15"/>
  <cols>
    <col min="1" max="1" width="11.42578125" style="52"/>
    <col min="2" max="2" width="20.7109375" style="52" customWidth="1"/>
    <col min="3" max="3" width="15.5703125" style="52" customWidth="1"/>
    <col min="4" max="5" width="18.42578125" style="52" customWidth="1"/>
    <col min="6" max="6" width="13.42578125" style="52" customWidth="1"/>
    <col min="7" max="7" width="11.42578125" style="52"/>
    <col min="8" max="8" width="14.42578125" style="52" customWidth="1"/>
    <col min="9" max="16384" width="11.42578125" style="52"/>
  </cols>
  <sheetData>
    <row r="3" spans="2:16">
      <c r="C3" s="336" t="s">
        <v>201</v>
      </c>
      <c r="D3" s="336"/>
      <c r="E3" s="336"/>
      <c r="F3" s="336"/>
      <c r="G3" s="336"/>
      <c r="H3" s="336"/>
    </row>
    <row r="4" spans="2:16">
      <c r="B4" s="115"/>
      <c r="C4" s="337">
        <f>Resumen!C4</f>
        <v>44725</v>
      </c>
      <c r="D4" s="337"/>
      <c r="E4" s="337"/>
      <c r="F4" s="337"/>
      <c r="G4" s="337"/>
      <c r="H4" s="337"/>
      <c r="I4" s="115"/>
      <c r="J4" s="115"/>
      <c r="O4" s="336" t="s">
        <v>134</v>
      </c>
      <c r="P4" s="336"/>
    </row>
    <row r="5" spans="2:16">
      <c r="B5" s="116" t="s">
        <v>142</v>
      </c>
      <c r="C5" s="116" t="s">
        <v>118</v>
      </c>
      <c r="D5" s="116" t="s">
        <v>119</v>
      </c>
      <c r="E5" s="116" t="s">
        <v>22</v>
      </c>
      <c r="F5" s="116" t="s">
        <v>109</v>
      </c>
      <c r="G5" s="116" t="s">
        <v>143</v>
      </c>
      <c r="H5" s="116" t="s">
        <v>6</v>
      </c>
      <c r="I5" s="116" t="s">
        <v>7</v>
      </c>
      <c r="J5" s="114"/>
      <c r="O5" s="118" t="s">
        <v>107</v>
      </c>
      <c r="P5" s="119">
        <f>+H9+H19+H26+H33+H42</f>
        <v>0</v>
      </c>
    </row>
    <row r="6" spans="2:16">
      <c r="B6" s="121">
        <v>94</v>
      </c>
      <c r="C6" s="122" t="s">
        <v>208</v>
      </c>
      <c r="D6" s="119">
        <v>961267</v>
      </c>
      <c r="E6" s="119" t="s">
        <v>30</v>
      </c>
      <c r="F6" s="119" t="s">
        <v>107</v>
      </c>
      <c r="G6" s="119">
        <v>8</v>
      </c>
      <c r="H6" s="123">
        <v>1.7999999999999999E-2</v>
      </c>
      <c r="I6" s="119">
        <f>G6-H6</f>
        <v>7.9820000000000002</v>
      </c>
      <c r="J6" s="117"/>
      <c r="O6" s="118" t="s">
        <v>128</v>
      </c>
      <c r="P6" s="113"/>
    </row>
    <row r="7" spans="2:16">
      <c r="B7" s="121">
        <v>94</v>
      </c>
      <c r="C7" s="122" t="s">
        <v>145</v>
      </c>
      <c r="D7" s="119">
        <v>698592</v>
      </c>
      <c r="E7" s="119" t="s">
        <v>27</v>
      </c>
      <c r="F7" s="119" t="s">
        <v>107</v>
      </c>
      <c r="G7" s="119">
        <v>8</v>
      </c>
      <c r="H7" s="123">
        <v>3.7999999999999999E-2</v>
      </c>
      <c r="I7" s="119">
        <f>G7-H7</f>
        <v>7.9619999999999997</v>
      </c>
      <c r="J7" s="117"/>
    </row>
    <row r="8" spans="2:16">
      <c r="B8" s="121">
        <v>32</v>
      </c>
      <c r="C8" s="122" t="s">
        <v>209</v>
      </c>
      <c r="D8" s="119">
        <v>966916</v>
      </c>
      <c r="E8" s="119" t="s">
        <v>212</v>
      </c>
      <c r="F8" s="119" t="s">
        <v>107</v>
      </c>
      <c r="G8" s="119">
        <v>10</v>
      </c>
      <c r="H8" s="123"/>
      <c r="I8" s="119">
        <f t="shared" ref="I8:I13" si="0">G8-H8</f>
        <v>10</v>
      </c>
      <c r="J8" s="117"/>
    </row>
    <row r="9" spans="2:16">
      <c r="B9" s="121">
        <v>390</v>
      </c>
      <c r="C9" s="122" t="s">
        <v>210</v>
      </c>
      <c r="D9" s="119">
        <v>913590</v>
      </c>
      <c r="E9" s="119" t="s">
        <v>212</v>
      </c>
      <c r="F9" s="119" t="s">
        <v>107</v>
      </c>
      <c r="G9" s="119">
        <v>10</v>
      </c>
      <c r="H9" s="123"/>
      <c r="I9" s="119">
        <f t="shared" si="0"/>
        <v>10</v>
      </c>
      <c r="J9" s="115"/>
    </row>
    <row r="10" spans="2:16">
      <c r="B10" s="121">
        <v>32</v>
      </c>
      <c r="C10" s="122" t="s">
        <v>210</v>
      </c>
      <c r="D10" s="119">
        <v>913590</v>
      </c>
      <c r="E10" s="119" t="s">
        <v>213</v>
      </c>
      <c r="F10" s="119" t="s">
        <v>107</v>
      </c>
      <c r="G10" s="119">
        <v>10</v>
      </c>
      <c r="H10" s="123"/>
      <c r="I10" s="119">
        <f t="shared" si="0"/>
        <v>10</v>
      </c>
      <c r="J10" s="115"/>
    </row>
    <row r="11" spans="2:16">
      <c r="B11" s="121">
        <v>390</v>
      </c>
      <c r="C11" s="122" t="s">
        <v>211</v>
      </c>
      <c r="D11" s="119">
        <v>222596</v>
      </c>
      <c r="E11" s="119" t="s">
        <v>214</v>
      </c>
      <c r="F11" s="119" t="s">
        <v>107</v>
      </c>
      <c r="G11" s="119">
        <v>10</v>
      </c>
      <c r="H11" s="123"/>
      <c r="I11" s="119">
        <f t="shared" si="0"/>
        <v>10</v>
      </c>
      <c r="J11" s="115"/>
    </row>
    <row r="12" spans="2:16">
      <c r="B12" s="121">
        <v>93</v>
      </c>
      <c r="C12" s="119" t="s">
        <v>188</v>
      </c>
      <c r="D12" s="119">
        <v>968871</v>
      </c>
      <c r="E12" s="119" t="s">
        <v>216</v>
      </c>
      <c r="F12" s="119" t="s">
        <v>107</v>
      </c>
      <c r="G12" s="119">
        <v>5</v>
      </c>
      <c r="H12" s="123"/>
      <c r="I12" s="119">
        <f t="shared" si="0"/>
        <v>5</v>
      </c>
      <c r="J12" s="115"/>
    </row>
    <row r="13" spans="2:16">
      <c r="B13" s="121">
        <v>93</v>
      </c>
      <c r="C13" s="122" t="s">
        <v>215</v>
      </c>
      <c r="D13" s="119">
        <v>961259</v>
      </c>
      <c r="E13" s="119" t="s">
        <v>216</v>
      </c>
      <c r="F13" s="119" t="s">
        <v>107</v>
      </c>
      <c r="G13" s="119"/>
      <c r="H13" s="123"/>
      <c r="I13" s="119">
        <f t="shared" si="0"/>
        <v>0</v>
      </c>
      <c r="J13" s="115"/>
    </row>
    <row r="14" spans="2:16">
      <c r="B14" s="121"/>
      <c r="C14" s="122"/>
      <c r="D14" s="119"/>
      <c r="E14" s="119"/>
      <c r="F14" s="119"/>
      <c r="G14" s="119"/>
      <c r="H14" s="123"/>
      <c r="I14" s="119"/>
      <c r="J14" s="91"/>
    </row>
    <row r="15" spans="2:16">
      <c r="B15" s="121"/>
      <c r="C15" s="146"/>
      <c r="D15" s="147"/>
      <c r="E15" s="119"/>
      <c r="F15" s="119"/>
      <c r="G15" s="119"/>
      <c r="H15" s="123"/>
      <c r="I15" s="119"/>
      <c r="J15" s="91"/>
    </row>
    <row r="16" spans="2:16">
      <c r="B16" s="121"/>
      <c r="C16" s="146"/>
      <c r="D16" s="147"/>
      <c r="E16" s="119"/>
      <c r="F16" s="119"/>
      <c r="G16" s="119"/>
      <c r="H16" s="123"/>
      <c r="I16" s="119"/>
      <c r="J16" s="91"/>
    </row>
    <row r="17" spans="2:10">
      <c r="B17" s="95"/>
      <c r="C17" s="95"/>
      <c r="D17" s="115"/>
      <c r="E17" s="115"/>
      <c r="F17" s="115"/>
      <c r="G17" s="115"/>
      <c r="H17" s="115"/>
      <c r="I17" s="115"/>
      <c r="J17" s="91"/>
    </row>
    <row r="18" spans="2:10">
      <c r="B18" s="95"/>
      <c r="C18" s="95"/>
      <c r="D18" s="115"/>
      <c r="E18" s="115"/>
      <c r="F18" s="115"/>
      <c r="G18" s="115"/>
      <c r="H18" s="115"/>
      <c r="I18" s="115"/>
      <c r="J18" s="91"/>
    </row>
    <row r="19" spans="2:10">
      <c r="B19" s="95"/>
      <c r="C19" s="95"/>
      <c r="D19" s="115"/>
      <c r="E19" s="115"/>
      <c r="F19" s="115"/>
      <c r="G19" s="115"/>
      <c r="H19" s="115"/>
      <c r="I19" s="115"/>
      <c r="J19" s="115"/>
    </row>
    <row r="20" spans="2:10">
      <c r="B20" s="115"/>
      <c r="C20" s="115"/>
      <c r="D20" s="115"/>
      <c r="E20" s="115"/>
      <c r="F20" s="115"/>
      <c r="G20" s="115"/>
      <c r="H20" s="115"/>
      <c r="I20" s="115"/>
      <c r="J20" s="115"/>
    </row>
    <row r="21" spans="2:10">
      <c r="B21" s="115"/>
      <c r="C21" s="115"/>
      <c r="D21" s="115"/>
      <c r="E21" s="115"/>
      <c r="F21" s="115"/>
      <c r="G21" s="115"/>
      <c r="H21" s="115"/>
      <c r="I21" s="115"/>
      <c r="J21" s="115"/>
    </row>
    <row r="22" spans="2:10">
      <c r="B22" s="115"/>
      <c r="C22" s="115"/>
      <c r="D22" s="115"/>
      <c r="E22" s="115"/>
      <c r="F22" s="115"/>
      <c r="G22" s="115"/>
      <c r="H22" s="115"/>
      <c r="I22" s="115"/>
      <c r="J22" s="115"/>
    </row>
    <row r="23" spans="2:10">
      <c r="B23" s="114"/>
      <c r="C23" s="114"/>
      <c r="D23" s="114"/>
      <c r="E23" s="114"/>
      <c r="F23" s="114"/>
      <c r="G23" s="114"/>
      <c r="H23" s="114"/>
      <c r="I23" s="114"/>
      <c r="J23" s="114"/>
    </row>
    <row r="24" spans="2:10">
      <c r="B24" s="120"/>
      <c r="C24" s="95"/>
      <c r="D24" s="115"/>
      <c r="E24" s="115"/>
      <c r="F24" s="115"/>
      <c r="G24" s="115"/>
      <c r="H24" s="115"/>
      <c r="I24" s="115"/>
      <c r="J24" s="117"/>
    </row>
    <row r="25" spans="2:10">
      <c r="B25" s="120"/>
      <c r="C25" s="95"/>
      <c r="D25" s="115"/>
      <c r="E25" s="115"/>
      <c r="F25" s="115"/>
      <c r="G25" s="115"/>
      <c r="H25" s="115"/>
      <c r="I25" s="115"/>
      <c r="J25" s="117"/>
    </row>
    <row r="26" spans="2:10">
      <c r="B26" s="115"/>
      <c r="C26" s="115"/>
      <c r="D26" s="115"/>
      <c r="E26" s="115"/>
      <c r="F26" s="115"/>
      <c r="G26" s="115"/>
      <c r="H26" s="115"/>
      <c r="I26" s="115"/>
      <c r="J26" s="115"/>
    </row>
    <row r="27" spans="2:10">
      <c r="B27" s="115"/>
      <c r="C27" s="115"/>
      <c r="D27" s="115"/>
      <c r="E27" s="115"/>
      <c r="F27" s="115"/>
      <c r="G27" s="115"/>
      <c r="H27" s="115"/>
      <c r="I27" s="115"/>
      <c r="J27" s="115"/>
    </row>
    <row r="28" spans="2:10">
      <c r="B28" s="115"/>
      <c r="C28" s="115"/>
      <c r="D28" s="115"/>
      <c r="E28" s="115"/>
      <c r="F28" s="115"/>
      <c r="G28" s="115"/>
      <c r="H28" s="115"/>
      <c r="I28" s="115"/>
      <c r="J28" s="115"/>
    </row>
    <row r="29" spans="2:10">
      <c r="B29" s="115"/>
      <c r="C29" s="115"/>
      <c r="D29" s="115"/>
      <c r="E29" s="115"/>
      <c r="F29" s="115"/>
      <c r="G29" s="115"/>
      <c r="H29" s="115"/>
      <c r="I29" s="115"/>
      <c r="J29" s="115"/>
    </row>
    <row r="30" spans="2:10">
      <c r="B30" s="114"/>
      <c r="C30" s="114"/>
      <c r="D30" s="114"/>
      <c r="E30" s="114"/>
      <c r="F30" s="114"/>
      <c r="G30" s="114"/>
      <c r="H30" s="114"/>
      <c r="I30" s="114"/>
      <c r="J30" s="114"/>
    </row>
    <row r="31" spans="2:10">
      <c r="B31" s="120"/>
      <c r="C31" s="95"/>
      <c r="D31" s="115"/>
      <c r="E31" s="115"/>
      <c r="F31" s="115"/>
      <c r="G31" s="115"/>
      <c r="H31" s="115"/>
      <c r="I31" s="115"/>
      <c r="J31" s="117"/>
    </row>
    <row r="32" spans="2:10">
      <c r="B32" s="120"/>
      <c r="C32" s="95"/>
      <c r="D32" s="115"/>
      <c r="E32" s="115"/>
      <c r="F32" s="115"/>
      <c r="G32" s="115"/>
      <c r="H32" s="115"/>
      <c r="I32" s="115"/>
      <c r="J32" s="117"/>
    </row>
    <row r="33" spans="2:10">
      <c r="B33" s="115"/>
      <c r="C33" s="115"/>
      <c r="D33" s="115"/>
      <c r="E33" s="115"/>
      <c r="F33" s="115"/>
      <c r="G33" s="115"/>
      <c r="H33" s="115"/>
      <c r="I33" s="115"/>
      <c r="J33" s="115"/>
    </row>
    <row r="34" spans="2:10">
      <c r="B34" s="115"/>
      <c r="C34" s="115"/>
      <c r="D34" s="115"/>
      <c r="E34" s="115"/>
      <c r="F34" s="115"/>
      <c r="G34" s="115"/>
      <c r="H34" s="115"/>
      <c r="I34" s="115"/>
      <c r="J34" s="115"/>
    </row>
    <row r="35" spans="2:10">
      <c r="B35" s="115"/>
      <c r="C35" s="115"/>
      <c r="D35" s="115"/>
      <c r="E35" s="115"/>
      <c r="F35" s="115"/>
      <c r="G35" s="115"/>
      <c r="H35" s="115"/>
      <c r="I35" s="115"/>
      <c r="J35" s="115"/>
    </row>
    <row r="36" spans="2:10">
      <c r="B36" s="115"/>
      <c r="C36" s="115"/>
      <c r="D36" s="115"/>
      <c r="E36" s="115"/>
      <c r="F36" s="115"/>
      <c r="G36" s="115"/>
      <c r="H36" s="115"/>
      <c r="I36" s="115"/>
      <c r="J36" s="115"/>
    </row>
    <row r="37" spans="2:10">
      <c r="B37" s="114"/>
      <c r="C37" s="114"/>
      <c r="D37" s="114"/>
      <c r="E37" s="114"/>
      <c r="F37" s="114"/>
      <c r="G37" s="114"/>
      <c r="H37" s="114"/>
      <c r="I37" s="114"/>
      <c r="J37" s="114"/>
    </row>
    <row r="38" spans="2:10">
      <c r="B38" s="95"/>
      <c r="C38" s="95"/>
      <c r="D38" s="115"/>
      <c r="E38" s="115"/>
      <c r="F38" s="115"/>
      <c r="G38" s="115"/>
      <c r="H38" s="115"/>
      <c r="I38" s="115"/>
      <c r="J38" s="91"/>
    </row>
    <row r="39" spans="2:10">
      <c r="B39" s="95"/>
      <c r="C39" s="95"/>
      <c r="D39" s="115"/>
      <c r="E39" s="115"/>
      <c r="F39" s="115"/>
      <c r="G39" s="115"/>
      <c r="H39" s="115"/>
      <c r="I39" s="115"/>
      <c r="J39" s="91"/>
    </row>
    <row r="40" spans="2:10">
      <c r="B40" s="95"/>
      <c r="C40" s="95"/>
      <c r="D40" s="115"/>
      <c r="E40" s="115"/>
      <c r="F40" s="115"/>
      <c r="G40" s="115"/>
      <c r="H40" s="115"/>
      <c r="I40" s="115"/>
      <c r="J40" s="91"/>
    </row>
    <row r="41" spans="2:10">
      <c r="B41" s="95"/>
      <c r="C41" s="95"/>
      <c r="D41" s="115"/>
      <c r="E41" s="115"/>
      <c r="F41" s="115"/>
      <c r="G41" s="115"/>
      <c r="H41" s="115"/>
      <c r="I41" s="115"/>
      <c r="J41" s="91"/>
    </row>
    <row r="42" spans="2:10">
      <c r="B42" s="115"/>
      <c r="C42" s="115"/>
      <c r="D42" s="115"/>
      <c r="E42" s="115"/>
      <c r="F42" s="115"/>
      <c r="G42" s="115"/>
      <c r="H42" s="115"/>
      <c r="I42" s="115"/>
      <c r="J42" s="115"/>
    </row>
  </sheetData>
  <mergeCells count="3">
    <mergeCell ref="C3:H3"/>
    <mergeCell ref="C4:H4"/>
    <mergeCell ref="O4:P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13"/>
  <sheetViews>
    <sheetView workbookViewId="0">
      <selection activeCell="D4" sqref="D4:H4"/>
    </sheetView>
  </sheetViews>
  <sheetFormatPr baseColWidth="10" defaultRowHeight="15"/>
  <cols>
    <col min="4" max="4" width="13.7109375" customWidth="1"/>
    <col min="6" max="6" width="12.7109375" customWidth="1"/>
    <col min="7" max="7" width="12.42578125" customWidth="1"/>
  </cols>
  <sheetData>
    <row r="3" spans="4:8">
      <c r="D3" s="338" t="s">
        <v>202</v>
      </c>
      <c r="E3" s="338"/>
      <c r="F3" s="338"/>
      <c r="G3" s="338"/>
      <c r="H3" s="338"/>
    </row>
    <row r="4" spans="4:8">
      <c r="D4" s="339">
        <f>Resumen!C4</f>
        <v>44725</v>
      </c>
      <c r="E4" s="339"/>
      <c r="F4" s="339"/>
      <c r="G4" s="339"/>
      <c r="H4" s="339"/>
    </row>
    <row r="6" spans="4:8" ht="30">
      <c r="D6" s="112" t="s">
        <v>138</v>
      </c>
      <c r="E6" s="112" t="s">
        <v>109</v>
      </c>
      <c r="F6" s="112" t="s">
        <v>139</v>
      </c>
      <c r="G6" s="112" t="s">
        <v>140</v>
      </c>
      <c r="H6" s="112" t="s">
        <v>141</v>
      </c>
    </row>
    <row r="7" spans="4:8">
      <c r="D7" s="46"/>
      <c r="E7" s="46"/>
      <c r="F7" s="46"/>
      <c r="G7" s="46"/>
      <c r="H7" s="46"/>
    </row>
    <row r="8" spans="4:8">
      <c r="D8" s="46"/>
      <c r="E8" s="46"/>
      <c r="F8" s="46"/>
      <c r="G8" s="46"/>
      <c r="H8" s="46"/>
    </row>
    <row r="9" spans="4:8">
      <c r="D9" s="46"/>
      <c r="E9" s="46"/>
      <c r="F9" s="46"/>
      <c r="G9" s="46"/>
      <c r="H9" s="46"/>
    </row>
    <row r="10" spans="4:8">
      <c r="D10" s="46"/>
      <c r="E10" s="46"/>
      <c r="F10" s="46"/>
      <c r="G10" s="46"/>
      <c r="H10" s="46"/>
    </row>
    <row r="11" spans="4:8">
      <c r="D11" s="46"/>
      <c r="E11" s="46"/>
      <c r="F11" s="46"/>
      <c r="G11" s="46"/>
      <c r="H11" s="46"/>
    </row>
    <row r="12" spans="4:8">
      <c r="D12" s="46"/>
      <c r="E12" s="46"/>
      <c r="F12" s="46"/>
      <c r="G12" s="46"/>
      <c r="H12" s="46"/>
    </row>
    <row r="13" spans="4:8">
      <c r="D13" s="46"/>
      <c r="E13" s="46"/>
      <c r="F13" s="46"/>
      <c r="G13" s="46"/>
      <c r="H13" s="46"/>
    </row>
  </sheetData>
  <mergeCells count="2">
    <mergeCell ref="D3:H3"/>
    <mergeCell ref="D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Resumen</vt:lpstr>
      <vt:lpstr>Artesanal Anchoveta XV-IV</vt:lpstr>
      <vt:lpstr>Remanente Anchoveta</vt:lpstr>
      <vt:lpstr>Remanente Ces. Ind. Anchoveta </vt:lpstr>
      <vt:lpstr>Artesanal S.española XV-IV</vt:lpstr>
      <vt:lpstr>Industrial</vt:lpstr>
      <vt:lpstr>Cesiones ind y colec</vt:lpstr>
      <vt:lpstr>P. Investigación</vt:lpstr>
      <vt:lpstr>Consumo humano</vt:lpstr>
      <vt:lpstr>Publicacion web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ZULETA ESPINOZA, GERALDINE</cp:lastModifiedBy>
  <dcterms:created xsi:type="dcterms:W3CDTF">2019-10-16T16:01:09Z</dcterms:created>
  <dcterms:modified xsi:type="dcterms:W3CDTF">2022-06-16T20:09:52Z</dcterms:modified>
</cp:coreProperties>
</file>