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maeleon\Control_cuota\1_Planillas_control_cuotas\2022\2.- Pelagicos\Anchoveta y Sardina 2022\"/>
    </mc:Choice>
  </mc:AlternateContent>
  <bookViews>
    <workbookView xWindow="-120" yWindow="-120" windowWidth="20730" windowHeight="11160" tabRatio="782"/>
  </bookViews>
  <sheets>
    <sheet name="Resumen" sheetId="1" r:id="rId1"/>
    <sheet name="Artesanal Anchoveta XV-IV" sheetId="2" r:id="rId2"/>
    <sheet name="Remanente Anchoveta" sheetId="9" r:id="rId3"/>
    <sheet name="Remanente Ces. Ind. Anchoveta " sheetId="13" r:id="rId4"/>
    <sheet name="Artesanal S.española XV-IV" sheetId="7" r:id="rId5"/>
    <sheet name="Industrial" sheetId="3" r:id="rId6"/>
    <sheet name="Cesiones ind y colec" sheetId="5" r:id="rId7"/>
    <sheet name="P. Investigación" sheetId="4" r:id="rId8"/>
    <sheet name="Consumo humano" sheetId="8" r:id="rId9"/>
    <sheet name="Publicacion web" sheetId="6" r:id="rId10"/>
  </sheets>
  <definedNames>
    <definedName name="_xlnm._FilterDatabase" localSheetId="6" hidden="1">'Cesiones ind y colec'!$B$4:$O$284</definedName>
    <definedName name="_xlnm._FilterDatabase" localSheetId="9" hidden="1">'Publicacion web'!$A$1:$Q$56</definedName>
  </definedNames>
  <calcPr calcId="162913"/>
</workbook>
</file>

<file path=xl/calcChain.xml><?xml version="1.0" encoding="utf-8"?>
<calcChain xmlns="http://schemas.openxmlformats.org/spreadsheetml/2006/main">
  <c r="I57" i="5" l="1"/>
  <c r="I49" i="5"/>
  <c r="I219" i="5"/>
  <c r="I27" i="5" l="1"/>
  <c r="F15" i="3" l="1"/>
  <c r="F12" i="3" l="1"/>
  <c r="K224" i="5" l="1"/>
  <c r="J224" i="5"/>
  <c r="K229" i="5"/>
  <c r="J229" i="5"/>
  <c r="K220" i="5"/>
  <c r="J220" i="5"/>
  <c r="T5" i="5" l="1"/>
  <c r="S5" i="5"/>
  <c r="K284" i="5"/>
  <c r="J284" i="5"/>
  <c r="K283" i="5"/>
  <c r="J283" i="5"/>
  <c r="K273" i="5" l="1"/>
  <c r="J273" i="5"/>
  <c r="F14" i="3"/>
  <c r="K272" i="5" l="1"/>
  <c r="J272" i="5"/>
  <c r="K263" i="5" l="1"/>
  <c r="J263" i="5"/>
  <c r="K262" i="5"/>
  <c r="J262" i="5"/>
  <c r="S11" i="5" l="1"/>
  <c r="T8" i="5"/>
  <c r="S8" i="5"/>
  <c r="K261" i="5" l="1"/>
  <c r="J261" i="5"/>
  <c r="J252" i="5"/>
  <c r="K252" i="5"/>
  <c r="F13" i="3"/>
  <c r="J5" i="5"/>
  <c r="K251" i="5"/>
  <c r="J251" i="5"/>
  <c r="O38" i="6"/>
  <c r="H37" i="6"/>
  <c r="I37" i="6"/>
  <c r="K37" i="6"/>
  <c r="H38" i="6"/>
  <c r="I38" i="6"/>
  <c r="K38" i="6"/>
  <c r="E37" i="6"/>
  <c r="E38" i="6"/>
  <c r="F47" i="3"/>
  <c r="N46" i="3"/>
  <c r="F46" i="3"/>
  <c r="L46" i="3" s="1"/>
  <c r="E46" i="3"/>
  <c r="G46" i="3" s="1"/>
  <c r="J37" i="6" s="1"/>
  <c r="O23" i="6"/>
  <c r="H22" i="6"/>
  <c r="K22" i="6"/>
  <c r="H23" i="6"/>
  <c r="I23" i="6"/>
  <c r="K23" i="6"/>
  <c r="E22" i="6"/>
  <c r="E23" i="6"/>
  <c r="E21" i="6"/>
  <c r="N31" i="3"/>
  <c r="F31" i="3"/>
  <c r="L31" i="3" s="1"/>
  <c r="E31" i="3"/>
  <c r="K31" i="3" s="1"/>
  <c r="F27" i="3"/>
  <c r="T11" i="5"/>
  <c r="S10" i="5"/>
  <c r="K5" i="5"/>
  <c r="K245" i="5"/>
  <c r="J245" i="5"/>
  <c r="F28" i="3"/>
  <c r="G31" i="3" l="1"/>
  <c r="I22" i="6"/>
  <c r="J46" i="3"/>
  <c r="M37" i="6" s="1"/>
  <c r="I46" i="3"/>
  <c r="L37" i="6" s="1"/>
  <c r="K46" i="3"/>
  <c r="M46" i="3" s="1"/>
  <c r="M31" i="3"/>
  <c r="O31" i="3" s="1"/>
  <c r="J31" i="3"/>
  <c r="M22" i="6" s="1"/>
  <c r="K233" i="5"/>
  <c r="J233" i="5"/>
  <c r="F22" i="3"/>
  <c r="U11" i="5"/>
  <c r="T10" i="5"/>
  <c r="U10" i="5" s="1"/>
  <c r="I14" i="1" s="1"/>
  <c r="U8" i="5"/>
  <c r="S9" i="5"/>
  <c r="P31" i="3" l="1"/>
  <c r="I31" i="3"/>
  <c r="L22" i="6" s="1"/>
  <c r="J22" i="6"/>
  <c r="O46" i="3"/>
  <c r="P46" i="3"/>
  <c r="F17" i="3"/>
  <c r="F30" i="3"/>
  <c r="F29" i="3"/>
  <c r="F27" i="1"/>
  <c r="G7" i="2"/>
  <c r="K219" i="5"/>
  <c r="J219" i="5"/>
  <c r="K218" i="5"/>
  <c r="J218" i="5"/>
  <c r="K203" i="5"/>
  <c r="J203" i="5"/>
  <c r="F18" i="3"/>
  <c r="K199" i="5"/>
  <c r="J199" i="5"/>
  <c r="K195" i="5"/>
  <c r="J195" i="5"/>
  <c r="F20" i="3"/>
  <c r="K180" i="5" l="1"/>
  <c r="J180" i="5"/>
  <c r="K179" i="5" l="1"/>
  <c r="J179" i="5"/>
  <c r="K178" i="5"/>
  <c r="J178" i="5"/>
  <c r="F24" i="3"/>
  <c r="K177" i="5"/>
  <c r="J177" i="5"/>
  <c r="F26" i="3"/>
  <c r="K176" i="5"/>
  <c r="J176" i="5"/>
  <c r="F19" i="3"/>
  <c r="T6" i="5" l="1"/>
  <c r="S6" i="5"/>
  <c r="O173" i="5"/>
  <c r="N173" i="5"/>
  <c r="F44" i="3"/>
  <c r="N8" i="2"/>
  <c r="K168" i="5" l="1"/>
  <c r="J168" i="5"/>
  <c r="K161" i="5"/>
  <c r="J161" i="5"/>
  <c r="F11" i="3"/>
  <c r="K155" i="5"/>
  <c r="J155" i="5"/>
  <c r="K145" i="5"/>
  <c r="J145" i="5"/>
  <c r="K138" i="5" l="1"/>
  <c r="J138" i="5"/>
  <c r="G16" i="1"/>
  <c r="G14" i="1"/>
  <c r="G12" i="1"/>
  <c r="G10" i="1"/>
  <c r="H16" i="1"/>
  <c r="H14" i="1"/>
  <c r="T9" i="5"/>
  <c r="V8" i="5"/>
  <c r="J10" i="1" s="1"/>
  <c r="H12" i="1" l="1"/>
  <c r="U9" i="5"/>
  <c r="V9" i="5"/>
  <c r="J12" i="1" s="1"/>
  <c r="V10" i="5"/>
  <c r="J14" i="1" s="1"/>
  <c r="V11" i="5"/>
  <c r="J16" i="1" s="1"/>
  <c r="H10" i="1"/>
  <c r="K135" i="5" l="1"/>
  <c r="J135" i="5"/>
  <c r="K134" i="5"/>
  <c r="J134" i="5"/>
  <c r="J133" i="5"/>
  <c r="K133" i="5"/>
  <c r="K132" i="5"/>
  <c r="J132" i="5"/>
  <c r="K122" i="5"/>
  <c r="J122" i="5"/>
  <c r="J115" i="5"/>
  <c r="K115" i="5"/>
  <c r="K114" i="5"/>
  <c r="J114" i="5"/>
  <c r="K113" i="5"/>
  <c r="J113" i="5"/>
  <c r="K107" i="5" l="1"/>
  <c r="J107" i="5"/>
  <c r="K106" i="5"/>
  <c r="J106" i="5"/>
  <c r="K96" i="5"/>
  <c r="J96" i="5"/>
  <c r="K79" i="5"/>
  <c r="J79" i="5"/>
  <c r="H18" i="13"/>
  <c r="I16" i="1" l="1"/>
  <c r="K65" i="5"/>
  <c r="J65" i="5"/>
  <c r="K49" i="5"/>
  <c r="J49" i="5"/>
  <c r="I12" i="1" l="1"/>
  <c r="I8" i="4"/>
  <c r="I9" i="4"/>
  <c r="I10" i="4"/>
  <c r="I11" i="4"/>
  <c r="I12" i="4"/>
  <c r="I13" i="4"/>
  <c r="I7" i="4"/>
  <c r="I6" i="4"/>
  <c r="I10" i="1" l="1"/>
  <c r="O47" i="6"/>
  <c r="K47" i="6"/>
  <c r="I47" i="6"/>
  <c r="H47" i="6"/>
  <c r="E47" i="6"/>
  <c r="O12" i="2"/>
  <c r="Q12" i="2"/>
  <c r="H12" i="2"/>
  <c r="L12" i="2" s="1"/>
  <c r="M47" i="6" s="1"/>
  <c r="N12" i="2"/>
  <c r="I71" i="13"/>
  <c r="H71" i="13"/>
  <c r="I54" i="13"/>
  <c r="H54" i="13"/>
  <c r="I49" i="13"/>
  <c r="H49" i="13"/>
  <c r="I42" i="13"/>
  <c r="H42" i="13"/>
  <c r="I33" i="13"/>
  <c r="H33" i="13"/>
  <c r="I18" i="13"/>
  <c r="I3" i="13"/>
  <c r="H3" i="13"/>
  <c r="J47" i="6" l="1"/>
  <c r="P12" i="2"/>
  <c r="R12" i="2" s="1"/>
  <c r="K12" i="2"/>
  <c r="L47" i="6" s="1"/>
  <c r="K35" i="3"/>
  <c r="L35" i="3"/>
  <c r="M35" i="3" s="1"/>
  <c r="N35" i="3"/>
  <c r="K36" i="3"/>
  <c r="L36" i="3"/>
  <c r="N36" i="3"/>
  <c r="N34" i="3"/>
  <c r="L34" i="3"/>
  <c r="K34" i="3"/>
  <c r="H9" i="2"/>
  <c r="L12" i="3"/>
  <c r="N12" i="3"/>
  <c r="L13" i="3"/>
  <c r="N13" i="3"/>
  <c r="L14" i="3"/>
  <c r="N14" i="3"/>
  <c r="K15" i="3"/>
  <c r="L15" i="3"/>
  <c r="N15" i="3"/>
  <c r="N11" i="3"/>
  <c r="L11" i="3"/>
  <c r="E45" i="3"/>
  <c r="E44" i="3"/>
  <c r="E43" i="3"/>
  <c r="E42" i="3"/>
  <c r="E41" i="3"/>
  <c r="E40" i="3"/>
  <c r="E39" i="3"/>
  <c r="E38" i="3"/>
  <c r="E28" i="3"/>
  <c r="E22" i="3"/>
  <c r="E26" i="3"/>
  <c r="E17" i="3"/>
  <c r="E30" i="3"/>
  <c r="E24" i="3"/>
  <c r="E25" i="3"/>
  <c r="E19" i="3"/>
  <c r="E20" i="3"/>
  <c r="E27" i="3"/>
  <c r="E21" i="3"/>
  <c r="E23" i="3"/>
  <c r="E29" i="3"/>
  <c r="E18" i="3"/>
  <c r="K12" i="3"/>
  <c r="K13" i="3"/>
  <c r="K14" i="3"/>
  <c r="K11" i="3"/>
  <c r="B4" i="2"/>
  <c r="O35" i="3" l="1"/>
  <c r="M14" i="3"/>
  <c r="O14" i="3" s="1"/>
  <c r="S12" i="2"/>
  <c r="M12" i="3"/>
  <c r="O12" i="3" s="1"/>
  <c r="M15" i="3"/>
  <c r="P15" i="3" s="1"/>
  <c r="M13" i="3"/>
  <c r="O13" i="3" s="1"/>
  <c r="M36" i="3"/>
  <c r="O36" i="3" s="1"/>
  <c r="P35" i="3"/>
  <c r="P36" i="3"/>
  <c r="E16" i="3"/>
  <c r="E31" i="1" s="1"/>
  <c r="F35" i="1"/>
  <c r="P14" i="3" l="1"/>
  <c r="O15" i="3"/>
  <c r="P12" i="3"/>
  <c r="P13" i="3"/>
  <c r="O22" i="6"/>
  <c r="L32" i="3"/>
  <c r="N32" i="3"/>
  <c r="G32" i="3" l="1"/>
  <c r="J23" i="6" s="1"/>
  <c r="K32" i="3"/>
  <c r="M32" i="3" s="1"/>
  <c r="J32" i="3" l="1"/>
  <c r="M23" i="6" s="1"/>
  <c r="I32" i="3"/>
  <c r="L23" i="6" s="1"/>
  <c r="O32" i="3"/>
  <c r="P32" i="3"/>
  <c r="P8" i="7" l="1"/>
  <c r="N8" i="7"/>
  <c r="M8" i="7"/>
  <c r="P7" i="7"/>
  <c r="N7" i="7"/>
  <c r="M7" i="7"/>
  <c r="E19" i="1" s="1"/>
  <c r="Q8" i="2"/>
  <c r="O8" i="2"/>
  <c r="Q7" i="2"/>
  <c r="O7" i="2"/>
  <c r="N7" i="2"/>
  <c r="P7" i="2" l="1"/>
  <c r="F36" i="1" l="1"/>
  <c r="G6" i="9" l="1"/>
  <c r="H6" i="9"/>
  <c r="G7" i="9"/>
  <c r="H7" i="9"/>
  <c r="B3" i="9" l="1"/>
  <c r="N42" i="6" l="1"/>
  <c r="E9" i="1" l="1"/>
  <c r="F9" i="1"/>
  <c r="H9" i="1"/>
  <c r="H41" i="6" l="1"/>
  <c r="I41" i="6"/>
  <c r="K41" i="6"/>
  <c r="G9" i="1"/>
  <c r="R7" i="2" l="1"/>
  <c r="I9" i="1" s="1"/>
  <c r="J41" i="6"/>
  <c r="S7" i="2"/>
  <c r="J9" i="1" s="1"/>
  <c r="C4" i="4" l="1"/>
  <c r="D4" i="8" l="1"/>
  <c r="G29" i="1"/>
  <c r="J29" i="1" s="1"/>
  <c r="G26" i="1"/>
  <c r="J26" i="1" s="1"/>
  <c r="I26" i="1" l="1"/>
  <c r="I29" i="1"/>
  <c r="O4" i="6"/>
  <c r="O5" i="6"/>
  <c r="K5" i="6"/>
  <c r="I5" i="6"/>
  <c r="K4" i="6"/>
  <c r="I4" i="6"/>
  <c r="H4" i="6"/>
  <c r="H5" i="6"/>
  <c r="O21" i="6"/>
  <c r="I21" i="6"/>
  <c r="K21" i="6"/>
  <c r="L30" i="3"/>
  <c r="N30" i="3"/>
  <c r="H21" i="6"/>
  <c r="G30" i="3" l="1"/>
  <c r="J21" i="6" s="1"/>
  <c r="G14" i="3"/>
  <c r="I14" i="3" s="1"/>
  <c r="E33" i="3"/>
  <c r="G13" i="3"/>
  <c r="I13" i="3" s="1"/>
  <c r="K30" i="3"/>
  <c r="M30" i="3" s="1"/>
  <c r="P30" i="3" s="1"/>
  <c r="J14" i="3" l="1"/>
  <c r="M5" i="6" s="1"/>
  <c r="J13" i="3"/>
  <c r="M4" i="6" s="1"/>
  <c r="L5" i="6"/>
  <c r="J4" i="6"/>
  <c r="J5" i="6"/>
  <c r="J30" i="3"/>
  <c r="M21" i="6" s="1"/>
  <c r="I30" i="3"/>
  <c r="L21" i="6" s="1"/>
  <c r="O30" i="3"/>
  <c r="L4" i="6"/>
  <c r="G36" i="1" l="1"/>
  <c r="E48" i="3"/>
  <c r="E37" i="3"/>
  <c r="H28" i="1"/>
  <c r="G30" i="1"/>
  <c r="G28" i="1"/>
  <c r="G27" i="1"/>
  <c r="F24" i="1"/>
  <c r="H24" i="1"/>
  <c r="F23" i="1"/>
  <c r="H23" i="1"/>
  <c r="E24" i="1"/>
  <c r="E23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H21" i="1" s="1"/>
  <c r="M12" i="7"/>
  <c r="N12" i="7"/>
  <c r="P12" i="7"/>
  <c r="H12" i="7"/>
  <c r="K12" i="7" s="1"/>
  <c r="H9" i="7"/>
  <c r="G23" i="1" s="1"/>
  <c r="O13" i="2"/>
  <c r="Q13" i="2"/>
  <c r="N13" i="2"/>
  <c r="O9" i="2"/>
  <c r="Q9" i="2"/>
  <c r="N9" i="2"/>
  <c r="H13" i="2"/>
  <c r="P13" i="2" s="1"/>
  <c r="G17" i="1"/>
  <c r="H36" i="1"/>
  <c r="H35" i="1"/>
  <c r="E55" i="6"/>
  <c r="I55" i="6"/>
  <c r="K55" i="6"/>
  <c r="H55" i="6"/>
  <c r="I53" i="6"/>
  <c r="K53" i="6"/>
  <c r="E53" i="6"/>
  <c r="H53" i="6"/>
  <c r="I51" i="6"/>
  <c r="K51" i="6"/>
  <c r="H51" i="6"/>
  <c r="E51" i="6"/>
  <c r="E49" i="6"/>
  <c r="I49" i="6"/>
  <c r="K49" i="6"/>
  <c r="H49" i="6"/>
  <c r="P11" i="7"/>
  <c r="H22" i="1" s="1"/>
  <c r="N11" i="7"/>
  <c r="F22" i="1" s="1"/>
  <c r="M11" i="7"/>
  <c r="E22" i="1" s="1"/>
  <c r="H11" i="7"/>
  <c r="H10" i="7"/>
  <c r="J53" i="6" s="1"/>
  <c r="H20" i="1"/>
  <c r="F20" i="1"/>
  <c r="H8" i="7"/>
  <c r="J8" i="7" s="1"/>
  <c r="H19" i="1"/>
  <c r="F19" i="1"/>
  <c r="H7" i="7"/>
  <c r="J7" i="7" s="1"/>
  <c r="B4" i="7"/>
  <c r="K11" i="7" l="1"/>
  <c r="M55" i="6" s="1"/>
  <c r="E33" i="1"/>
  <c r="H28" i="6"/>
  <c r="O7" i="7"/>
  <c r="G19" i="1" s="1"/>
  <c r="I19" i="1" s="1"/>
  <c r="O8" i="7"/>
  <c r="G20" i="1" s="1"/>
  <c r="I20" i="1" s="1"/>
  <c r="I52" i="6"/>
  <c r="I56" i="6"/>
  <c r="G24" i="1"/>
  <c r="J24" i="1" s="1"/>
  <c r="P5" i="4"/>
  <c r="J10" i="7"/>
  <c r="L53" i="6" s="1"/>
  <c r="L51" i="6"/>
  <c r="J51" i="6"/>
  <c r="R13" i="2"/>
  <c r="L9" i="2"/>
  <c r="S13" i="2"/>
  <c r="O11" i="7"/>
  <c r="R11" i="7" s="1"/>
  <c r="M56" i="6" s="1"/>
  <c r="H50" i="6"/>
  <c r="H52" i="6"/>
  <c r="J55" i="6"/>
  <c r="H56" i="6"/>
  <c r="E20" i="1"/>
  <c r="L13" i="2"/>
  <c r="J9" i="7"/>
  <c r="K9" i="7"/>
  <c r="O9" i="7"/>
  <c r="Q9" i="7" s="1"/>
  <c r="G18" i="1"/>
  <c r="J18" i="1" s="1"/>
  <c r="K10" i="7"/>
  <c r="M53" i="6" s="1"/>
  <c r="J11" i="7"/>
  <c r="L55" i="6" s="1"/>
  <c r="L49" i="6"/>
  <c r="J49" i="6"/>
  <c r="K50" i="6"/>
  <c r="I50" i="6"/>
  <c r="I54" i="6"/>
  <c r="K9" i="2"/>
  <c r="K13" i="2"/>
  <c r="P9" i="2"/>
  <c r="R9" i="2" s="1"/>
  <c r="J12" i="7"/>
  <c r="O12" i="7"/>
  <c r="R12" i="7" s="1"/>
  <c r="O10" i="7"/>
  <c r="R10" i="7" s="1"/>
  <c r="M54" i="6" s="1"/>
  <c r="K56" i="6"/>
  <c r="I17" i="1"/>
  <c r="I23" i="1"/>
  <c r="J17" i="1"/>
  <c r="J23" i="1"/>
  <c r="I28" i="1"/>
  <c r="J28" i="1"/>
  <c r="H25" i="1"/>
  <c r="V6" i="5"/>
  <c r="J36" i="1" s="1"/>
  <c r="T7" i="5"/>
  <c r="U6" i="5"/>
  <c r="I36" i="1" s="1"/>
  <c r="K54" i="6"/>
  <c r="K52" i="6"/>
  <c r="H54" i="6"/>
  <c r="E21" i="1"/>
  <c r="K7" i="7"/>
  <c r="M49" i="6" s="1"/>
  <c r="K8" i="7"/>
  <c r="M51" i="6" s="1"/>
  <c r="I34" i="6"/>
  <c r="I11" i="6"/>
  <c r="B7" i="3"/>
  <c r="K47" i="3"/>
  <c r="G25" i="1"/>
  <c r="I46" i="6"/>
  <c r="K46" i="6"/>
  <c r="H46" i="6"/>
  <c r="H44" i="6"/>
  <c r="I44" i="6"/>
  <c r="K44" i="6"/>
  <c r="I42" i="6"/>
  <c r="K42" i="6"/>
  <c r="H42" i="6"/>
  <c r="I40" i="6"/>
  <c r="K40" i="6"/>
  <c r="H40" i="6"/>
  <c r="I29" i="6"/>
  <c r="K29" i="6"/>
  <c r="I30" i="6"/>
  <c r="K30" i="6"/>
  <c r="I31" i="6"/>
  <c r="K31" i="6"/>
  <c r="I32" i="6"/>
  <c r="K32" i="6"/>
  <c r="I33" i="6"/>
  <c r="K33" i="6"/>
  <c r="K34" i="6"/>
  <c r="I35" i="6"/>
  <c r="K35" i="6"/>
  <c r="I36" i="6"/>
  <c r="K36" i="6"/>
  <c r="H30" i="6"/>
  <c r="H31" i="6"/>
  <c r="H32" i="6"/>
  <c r="H33" i="6"/>
  <c r="H34" i="6"/>
  <c r="H35" i="6"/>
  <c r="H36" i="6"/>
  <c r="H29" i="6"/>
  <c r="I27" i="6"/>
  <c r="K27" i="6"/>
  <c r="H27" i="6"/>
  <c r="I26" i="6"/>
  <c r="K26" i="6"/>
  <c r="H26" i="6"/>
  <c r="I25" i="6"/>
  <c r="K25" i="6"/>
  <c r="H25" i="6"/>
  <c r="I8" i="6"/>
  <c r="K8" i="6"/>
  <c r="I9" i="6"/>
  <c r="K9" i="6"/>
  <c r="I10" i="6"/>
  <c r="K10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H9" i="6"/>
  <c r="H10" i="6"/>
  <c r="H11" i="6"/>
  <c r="H12" i="6"/>
  <c r="H13" i="6"/>
  <c r="H14" i="6"/>
  <c r="H15" i="6"/>
  <c r="H16" i="6"/>
  <c r="H17" i="6"/>
  <c r="H18" i="6"/>
  <c r="H19" i="6"/>
  <c r="H20" i="6"/>
  <c r="H8" i="6"/>
  <c r="I6" i="6"/>
  <c r="K6" i="6"/>
  <c r="H6" i="6"/>
  <c r="I3" i="6"/>
  <c r="K3" i="6"/>
  <c r="H3" i="6"/>
  <c r="I2" i="6"/>
  <c r="K2" i="6"/>
  <c r="H2" i="6"/>
  <c r="O3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9" i="6"/>
  <c r="O40" i="6"/>
  <c r="O41" i="6"/>
  <c r="O42" i="6"/>
  <c r="O43" i="6"/>
  <c r="O44" i="6"/>
  <c r="O45" i="6"/>
  <c r="O46" i="6"/>
  <c r="O48" i="6"/>
  <c r="O49" i="6"/>
  <c r="O50" i="6"/>
  <c r="O51" i="6"/>
  <c r="O52" i="6"/>
  <c r="O53" i="6"/>
  <c r="O54" i="6"/>
  <c r="O55" i="6"/>
  <c r="O56" i="6"/>
  <c r="O2" i="6"/>
  <c r="E46" i="6"/>
  <c r="E44" i="6"/>
  <c r="E42" i="6"/>
  <c r="E40" i="6"/>
  <c r="E30" i="6"/>
  <c r="E31" i="6"/>
  <c r="E32" i="6"/>
  <c r="E33" i="6"/>
  <c r="E34" i="6"/>
  <c r="E35" i="6"/>
  <c r="E36" i="6"/>
  <c r="E29" i="6"/>
  <c r="E27" i="6"/>
  <c r="E26" i="6"/>
  <c r="E25" i="6"/>
  <c r="E18" i="6"/>
  <c r="E19" i="6"/>
  <c r="E20" i="6"/>
  <c r="E9" i="6"/>
  <c r="E10" i="6"/>
  <c r="E11" i="6"/>
  <c r="E12" i="6"/>
  <c r="E13" i="6"/>
  <c r="E14" i="6"/>
  <c r="E15" i="6"/>
  <c r="E16" i="6"/>
  <c r="E17" i="6"/>
  <c r="E8" i="6"/>
  <c r="E6" i="6"/>
  <c r="E3" i="6"/>
  <c r="E2" i="6"/>
  <c r="N40" i="3"/>
  <c r="N39" i="3"/>
  <c r="N38" i="3"/>
  <c r="N41" i="3"/>
  <c r="N42" i="3"/>
  <c r="N43" i="3"/>
  <c r="N44" i="3"/>
  <c r="N45" i="3"/>
  <c r="N47" i="3"/>
  <c r="L40" i="3"/>
  <c r="L41" i="3"/>
  <c r="L42" i="3"/>
  <c r="L43" i="3"/>
  <c r="L44" i="3"/>
  <c r="L45" i="3"/>
  <c r="L47" i="3"/>
  <c r="L39" i="3"/>
  <c r="L38" i="3"/>
  <c r="K39" i="3"/>
  <c r="K40" i="3"/>
  <c r="K41" i="3"/>
  <c r="K42" i="3"/>
  <c r="K43" i="3"/>
  <c r="K44" i="3"/>
  <c r="K45" i="3"/>
  <c r="K38" i="3"/>
  <c r="N17" i="3"/>
  <c r="K18" i="3"/>
  <c r="L18" i="3"/>
  <c r="N18" i="3"/>
  <c r="K19" i="3"/>
  <c r="L19" i="3"/>
  <c r="N19" i="3"/>
  <c r="K20" i="3"/>
  <c r="N20" i="3"/>
  <c r="K21" i="3"/>
  <c r="L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7" i="3"/>
  <c r="K17" i="3"/>
  <c r="G39" i="3"/>
  <c r="J30" i="6" s="1"/>
  <c r="G40" i="3"/>
  <c r="I40" i="3" s="1"/>
  <c r="L31" i="6" s="1"/>
  <c r="G41" i="3"/>
  <c r="J32" i="6" s="1"/>
  <c r="G42" i="3"/>
  <c r="I42" i="3" s="1"/>
  <c r="L33" i="6" s="1"/>
  <c r="G43" i="3"/>
  <c r="J34" i="6" s="1"/>
  <c r="G44" i="3"/>
  <c r="I44" i="3" s="1"/>
  <c r="L35" i="6" s="1"/>
  <c r="G45" i="3"/>
  <c r="J36" i="6" s="1"/>
  <c r="G47" i="3"/>
  <c r="G38" i="3"/>
  <c r="I38" i="3" s="1"/>
  <c r="L29" i="6" s="1"/>
  <c r="G36" i="3"/>
  <c r="J36" i="3" s="1"/>
  <c r="M27" i="6" s="1"/>
  <c r="G35" i="3"/>
  <c r="J26" i="6" s="1"/>
  <c r="G34" i="3"/>
  <c r="J25" i="6" s="1"/>
  <c r="G18" i="3"/>
  <c r="I18" i="3" s="1"/>
  <c r="L9" i="6" s="1"/>
  <c r="G19" i="3"/>
  <c r="J19" i="3" s="1"/>
  <c r="M10" i="6" s="1"/>
  <c r="G21" i="3"/>
  <c r="I21" i="3" s="1"/>
  <c r="L12" i="6" s="1"/>
  <c r="G22" i="3"/>
  <c r="I22" i="3" s="1"/>
  <c r="L13" i="6" s="1"/>
  <c r="G23" i="3"/>
  <c r="J23" i="3" s="1"/>
  <c r="M14" i="6" s="1"/>
  <c r="G24" i="3"/>
  <c r="I24" i="3" s="1"/>
  <c r="L15" i="6" s="1"/>
  <c r="G25" i="3"/>
  <c r="I25" i="3" s="1"/>
  <c r="L16" i="6" s="1"/>
  <c r="G26" i="3"/>
  <c r="M17" i="6" s="1"/>
  <c r="G27" i="3"/>
  <c r="I27" i="3" s="1"/>
  <c r="L18" i="6" s="1"/>
  <c r="G28" i="3"/>
  <c r="I28" i="3" s="1"/>
  <c r="L19" i="6" s="1"/>
  <c r="G29" i="3"/>
  <c r="J29" i="3" s="1"/>
  <c r="M20" i="6" s="1"/>
  <c r="G17" i="3"/>
  <c r="I17" i="3" s="1"/>
  <c r="L8" i="6" s="1"/>
  <c r="G15" i="3"/>
  <c r="J15" i="3" s="1"/>
  <c r="M6" i="6" s="1"/>
  <c r="G12" i="3"/>
  <c r="I12" i="3" s="1"/>
  <c r="G11" i="3"/>
  <c r="J11" i="3" s="1"/>
  <c r="M2" i="6" s="1"/>
  <c r="Q10" i="2"/>
  <c r="K45" i="6" s="1"/>
  <c r="O10" i="2"/>
  <c r="F13" i="1" s="1"/>
  <c r="Q11" i="2"/>
  <c r="H15" i="1" s="1"/>
  <c r="O11" i="2"/>
  <c r="N11" i="2"/>
  <c r="E15" i="1" s="1"/>
  <c r="H48" i="6" s="1"/>
  <c r="N10" i="2"/>
  <c r="H45" i="6" s="1"/>
  <c r="H11" i="1"/>
  <c r="I43" i="6"/>
  <c r="H43" i="6"/>
  <c r="H11" i="2"/>
  <c r="J46" i="6" s="1"/>
  <c r="H10" i="2"/>
  <c r="K10" i="2" s="1"/>
  <c r="L44" i="6" s="1"/>
  <c r="H8" i="2"/>
  <c r="L8" i="2" s="1"/>
  <c r="M42" i="6" s="1"/>
  <c r="H7" i="2"/>
  <c r="K7" i="2" s="1"/>
  <c r="J47" i="3" l="1"/>
  <c r="M38" i="6" s="1"/>
  <c r="J38" i="6"/>
  <c r="F15" i="1"/>
  <c r="I48" i="6" s="1"/>
  <c r="P11" i="2"/>
  <c r="G15" i="1" s="1"/>
  <c r="M42" i="3"/>
  <c r="O42" i="3" s="1"/>
  <c r="J41" i="3"/>
  <c r="M32" i="6" s="1"/>
  <c r="M45" i="3"/>
  <c r="O45" i="3" s="1"/>
  <c r="M34" i="3"/>
  <c r="O34" i="3" s="1"/>
  <c r="M44" i="3"/>
  <c r="P44" i="3" s="1"/>
  <c r="M40" i="3"/>
  <c r="O40" i="3" s="1"/>
  <c r="M41" i="3"/>
  <c r="P41" i="3" s="1"/>
  <c r="J54" i="6"/>
  <c r="J50" i="6"/>
  <c r="Q11" i="7"/>
  <c r="L56" i="6" s="1"/>
  <c r="Q7" i="7"/>
  <c r="L50" i="6" s="1"/>
  <c r="J19" i="1"/>
  <c r="J42" i="3"/>
  <c r="M33" i="6" s="1"/>
  <c r="J40" i="3"/>
  <c r="M31" i="6" s="1"/>
  <c r="J39" i="3"/>
  <c r="M30" i="6" s="1"/>
  <c r="R7" i="7"/>
  <c r="M50" i="6" s="1"/>
  <c r="J20" i="1"/>
  <c r="M27" i="3"/>
  <c r="P27" i="3" s="1"/>
  <c r="R8" i="7"/>
  <c r="M52" i="6" s="1"/>
  <c r="Q12" i="7"/>
  <c r="Q8" i="7"/>
  <c r="L52" i="6" s="1"/>
  <c r="J52" i="6"/>
  <c r="M23" i="3"/>
  <c r="P23" i="3" s="1"/>
  <c r="K16" i="3"/>
  <c r="H7" i="6" s="1"/>
  <c r="I24" i="1"/>
  <c r="Q10" i="7"/>
  <c r="L54" i="6" s="1"/>
  <c r="I18" i="1"/>
  <c r="J38" i="3"/>
  <c r="M29" i="6" s="1"/>
  <c r="J27" i="6"/>
  <c r="G21" i="1"/>
  <c r="I21" i="1" s="1"/>
  <c r="I34" i="3"/>
  <c r="J34" i="3"/>
  <c r="M25" i="6" s="1"/>
  <c r="K37" i="3"/>
  <c r="L37" i="3"/>
  <c r="F33" i="1" s="1"/>
  <c r="J33" i="6"/>
  <c r="M47" i="3"/>
  <c r="O47" i="3" s="1"/>
  <c r="S9" i="2"/>
  <c r="L7" i="2"/>
  <c r="M40" i="6" s="1"/>
  <c r="J44" i="3"/>
  <c r="M35" i="6" s="1"/>
  <c r="M28" i="3"/>
  <c r="M26" i="3"/>
  <c r="M21" i="3"/>
  <c r="M19" i="3"/>
  <c r="P19" i="3" s="1"/>
  <c r="N33" i="3"/>
  <c r="H32" i="1" s="1"/>
  <c r="N37" i="3"/>
  <c r="H33" i="1" s="1"/>
  <c r="L48" i="3"/>
  <c r="N48" i="3"/>
  <c r="H34" i="1" s="1"/>
  <c r="J3" i="6"/>
  <c r="J29" i="6"/>
  <c r="J40" i="6"/>
  <c r="F48" i="3"/>
  <c r="G22" i="1"/>
  <c r="J56" i="6"/>
  <c r="R9" i="7"/>
  <c r="M11" i="3"/>
  <c r="I25" i="1"/>
  <c r="J25" i="1"/>
  <c r="M39" i="3"/>
  <c r="O39" i="3" s="1"/>
  <c r="M22" i="3"/>
  <c r="P22" i="3" s="1"/>
  <c r="J16" i="6"/>
  <c r="K48" i="6"/>
  <c r="L16" i="3"/>
  <c r="F31" i="1" s="1"/>
  <c r="M15" i="6"/>
  <c r="M24" i="3"/>
  <c r="J15" i="6"/>
  <c r="K11" i="2"/>
  <c r="L46" i="6" s="1"/>
  <c r="P10" i="2"/>
  <c r="J45" i="6" s="1"/>
  <c r="F11" i="1"/>
  <c r="I45" i="6"/>
  <c r="L40" i="6"/>
  <c r="L10" i="2"/>
  <c r="M44" i="6" s="1"/>
  <c r="E13" i="1"/>
  <c r="J44" i="6"/>
  <c r="L11" i="2"/>
  <c r="M17" i="3"/>
  <c r="P17" i="3" s="1"/>
  <c r="J6" i="6"/>
  <c r="M43" i="3"/>
  <c r="O43" i="3" s="1"/>
  <c r="J43" i="3"/>
  <c r="M34" i="6" s="1"/>
  <c r="G20" i="3"/>
  <c r="I20" i="3" s="1"/>
  <c r="L11" i="6" s="1"/>
  <c r="L20" i="3"/>
  <c r="M20" i="3" s="1"/>
  <c r="P20" i="3" s="1"/>
  <c r="M29" i="3"/>
  <c r="J35" i="3"/>
  <c r="M26" i="6" s="1"/>
  <c r="I35" i="3"/>
  <c r="I36" i="3"/>
  <c r="J2" i="6"/>
  <c r="J14" i="6"/>
  <c r="J10" i="6"/>
  <c r="J20" i="6"/>
  <c r="I11" i="3"/>
  <c r="I39" i="3"/>
  <c r="L30" i="6" s="1"/>
  <c r="M25" i="3"/>
  <c r="P25" i="3" s="1"/>
  <c r="M18" i="3"/>
  <c r="P18" i="3" s="1"/>
  <c r="H13" i="1"/>
  <c r="K43" i="6"/>
  <c r="N16" i="3"/>
  <c r="L3" i="6"/>
  <c r="K48" i="3"/>
  <c r="H39" i="6" s="1"/>
  <c r="I47" i="3"/>
  <c r="L38" i="6" s="1"/>
  <c r="J45" i="3"/>
  <c r="M36" i="6" s="1"/>
  <c r="I45" i="3"/>
  <c r="L36" i="6" s="1"/>
  <c r="J35" i="6"/>
  <c r="I43" i="3"/>
  <c r="L34" i="6" s="1"/>
  <c r="I41" i="3"/>
  <c r="L32" i="6" s="1"/>
  <c r="J31" i="6"/>
  <c r="M38" i="3"/>
  <c r="J19" i="6"/>
  <c r="J18" i="6"/>
  <c r="J17" i="6"/>
  <c r="J13" i="6"/>
  <c r="J21" i="3"/>
  <c r="M12" i="6" s="1"/>
  <c r="J12" i="6"/>
  <c r="J9" i="6"/>
  <c r="K33" i="3"/>
  <c r="J8" i="6"/>
  <c r="E11" i="1"/>
  <c r="J42" i="6"/>
  <c r="P8" i="2"/>
  <c r="J25" i="3"/>
  <c r="M16" i="6" s="1"/>
  <c r="J17" i="3"/>
  <c r="M8" i="6" s="1"/>
  <c r="J27" i="3"/>
  <c r="M18" i="6" s="1"/>
  <c r="J22" i="3"/>
  <c r="M13" i="6" s="1"/>
  <c r="I15" i="3"/>
  <c r="J28" i="3"/>
  <c r="M19" i="6" s="1"/>
  <c r="J18" i="3"/>
  <c r="M9" i="6" s="1"/>
  <c r="I29" i="3"/>
  <c r="L20" i="6" s="1"/>
  <c r="I26" i="3"/>
  <c r="L17" i="6" s="1"/>
  <c r="I23" i="3"/>
  <c r="L14" i="6" s="1"/>
  <c r="I19" i="3"/>
  <c r="L10" i="6" s="1"/>
  <c r="J12" i="3"/>
  <c r="M3" i="6" s="1"/>
  <c r="K8" i="2"/>
  <c r="R11" i="2" l="1"/>
  <c r="S11" i="2"/>
  <c r="P45" i="3"/>
  <c r="P42" i="3"/>
  <c r="P34" i="3"/>
  <c r="I39" i="6"/>
  <c r="F34" i="1"/>
  <c r="O44" i="3"/>
  <c r="P40" i="3"/>
  <c r="O41" i="3"/>
  <c r="K39" i="6"/>
  <c r="O23" i="3"/>
  <c r="K24" i="6"/>
  <c r="O26" i="3"/>
  <c r="P26" i="3"/>
  <c r="O24" i="3"/>
  <c r="P24" i="3"/>
  <c r="E34" i="1"/>
  <c r="O27" i="3"/>
  <c r="O28" i="3"/>
  <c r="P28" i="3"/>
  <c r="O29" i="3"/>
  <c r="P29" i="3"/>
  <c r="O21" i="3"/>
  <c r="P21" i="3"/>
  <c r="P11" i="3"/>
  <c r="I28" i="6"/>
  <c r="K28" i="6"/>
  <c r="O22" i="3"/>
  <c r="J21" i="1"/>
  <c r="M16" i="3"/>
  <c r="P16" i="3" s="1"/>
  <c r="P47" i="3"/>
  <c r="P43" i="3"/>
  <c r="M37" i="3"/>
  <c r="G33" i="1" s="1"/>
  <c r="I33" i="1" s="1"/>
  <c r="O19" i="3"/>
  <c r="L25" i="6"/>
  <c r="L41" i="6"/>
  <c r="J22" i="1"/>
  <c r="I22" i="1"/>
  <c r="G35" i="1"/>
  <c r="S7" i="5"/>
  <c r="V5" i="5"/>
  <c r="J35" i="1" s="1"/>
  <c r="U5" i="5"/>
  <c r="I35" i="1" s="1"/>
  <c r="P39" i="3"/>
  <c r="O11" i="3"/>
  <c r="H31" i="1"/>
  <c r="J20" i="3"/>
  <c r="M11" i="6" s="1"/>
  <c r="O25" i="3"/>
  <c r="J48" i="6"/>
  <c r="I15" i="1"/>
  <c r="L48" i="6" s="1"/>
  <c r="J15" i="1"/>
  <c r="M48" i="6" s="1"/>
  <c r="O17" i="3"/>
  <c r="J11" i="6"/>
  <c r="L33" i="3"/>
  <c r="F32" i="1" s="1"/>
  <c r="G13" i="1"/>
  <c r="I13" i="1" s="1"/>
  <c r="R10" i="2"/>
  <c r="S10" i="2"/>
  <c r="M46" i="6"/>
  <c r="O18" i="3"/>
  <c r="M33" i="3"/>
  <c r="O20" i="3"/>
  <c r="I7" i="6"/>
  <c r="L26" i="6"/>
  <c r="L2" i="6"/>
  <c r="L27" i="6"/>
  <c r="L6" i="6"/>
  <c r="K7" i="6"/>
  <c r="P38" i="3"/>
  <c r="M48" i="3"/>
  <c r="P48" i="3" s="1"/>
  <c r="O38" i="3"/>
  <c r="H24" i="6"/>
  <c r="E32" i="1"/>
  <c r="L42" i="6"/>
  <c r="S8" i="2"/>
  <c r="R8" i="2"/>
  <c r="J43" i="6"/>
  <c r="G11" i="1"/>
  <c r="O48" i="3" l="1"/>
  <c r="L39" i="6" s="1"/>
  <c r="P37" i="3"/>
  <c r="J7" i="6"/>
  <c r="M41" i="6"/>
  <c r="J28" i="6"/>
  <c r="E37" i="1"/>
  <c r="G31" i="1"/>
  <c r="J31" i="1" s="1"/>
  <c r="F37" i="1"/>
  <c r="U7" i="5"/>
  <c r="V7" i="5"/>
  <c r="J33" i="1"/>
  <c r="J24" i="6"/>
  <c r="P33" i="3"/>
  <c r="M24" i="6" s="1"/>
  <c r="I11" i="1"/>
  <c r="J11" i="1"/>
  <c r="J13" i="1"/>
  <c r="O33" i="3"/>
  <c r="L24" i="6" s="1"/>
  <c r="L45" i="6"/>
  <c r="M45" i="6"/>
  <c r="O16" i="3"/>
  <c r="L7" i="6" s="1"/>
  <c r="I24" i="6"/>
  <c r="G32" i="1"/>
  <c r="M7" i="6"/>
  <c r="O37" i="3"/>
  <c r="L28" i="6" s="1"/>
  <c r="M39" i="6"/>
  <c r="J39" i="6"/>
  <c r="G34" i="1"/>
  <c r="L43" i="6"/>
  <c r="M43" i="6"/>
  <c r="I31" i="1" l="1"/>
  <c r="I34" i="1"/>
  <c r="J34" i="1"/>
  <c r="J32" i="1"/>
  <c r="I32" i="1"/>
  <c r="M28" i="6"/>
</calcChain>
</file>

<file path=xl/comments1.xml><?xml version="1.0" encoding="utf-8"?>
<comments xmlns="http://schemas.openxmlformats.org/spreadsheetml/2006/main">
  <authors>
    <author>nperez</author>
  </authors>
  <commentList>
    <comment ref="F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1409-22 Cede -10052 ton hacia XV Región.</t>
        </r>
      </text>
    </comment>
  </commentList>
</comments>
</file>

<file path=xl/comments2.xml><?xml version="1.0" encoding="utf-8"?>
<comments xmlns="http://schemas.openxmlformats.org/spreadsheetml/2006/main">
  <authors>
    <author>CARLOS FELIPE VALDIVIA PINO</author>
    <author>nperez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3356-21
Res. 1058-22 Modf Res 3356-21</t>
        </r>
      </text>
    </comment>
    <comment ref="G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1409-22 Incremento de 10052 ton desde cuota de imprevistos.</t>
        </r>
      </text>
    </comment>
    <comment ref="M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78-22 Cierre cuota
Res 88-22 Apertura cuota
Res 110-22 Cierre cuota
Res 130-22 Apertura cuota</t>
        </r>
      </text>
    </comment>
    <comment ref="M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64-22 Cierre cuota
Res 109-22 Apertura cuota
Res 110-22 Cierre cuota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3263-21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3448-21</t>
        </r>
      </text>
    </comment>
    <comment ref="M1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118-22 Cierre cuota.</t>
        </r>
      </text>
    </comment>
  </commentList>
</comments>
</file>

<file path=xl/comments3.xml><?xml version="1.0" encoding="utf-8"?>
<comments xmlns="http://schemas.openxmlformats.org/spreadsheetml/2006/main">
  <authors>
    <author>CARLOS FELIPE VALDIVIA PINO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3356-21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3263-21</t>
        </r>
      </text>
    </comment>
  </commentList>
</comments>
</file>

<file path=xl/comments4.xml><?xml version="1.0" encoding="utf-8"?>
<comments xmlns="http://schemas.openxmlformats.org/spreadsheetml/2006/main">
  <authors>
    <author>CARLOS FELIPE VALDIVIA PINO</author>
    <author>nperez</author>
    <author>SBENALCAZAR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 LTP Clase A
Res. 3415-21 LTP Clase B</t>
        </r>
      </text>
    </comment>
    <comment ref="F11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955-22 Cede -1734,166 ton hacia Emb XV.
Res 1004-22 Cede -3799,269 ton hacia Emb XV.</t>
        </r>
      </text>
    </comment>
    <comment ref="F1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876-22 Cede -1000 ton hacia Emb XV.
Res 877-22 Cede -1000 ton hacia Emb XV.
Res 878-22 Cede -10000 ton hacia Emb XV-I.
Res 892-22 Cede -8500 ton hacia Emb XV-I.
Res 893-22 Cede -2000 ton hacia Emb XV.
Res 929-22 Cede -5000 ton hacia Emb XV.
Res 2749-22 Deja sin efecto Res 929-22.
Res 1307-22 Cede -3000 ton hacia Emb XV.
Res 1402-22 Cede -4000 ton hacia Emb XV.
Res 1403-22 Cede -2000 ton hacia Emb XV.
Res 1567-22 Cede -2000 ton hacia Emb XV.
Res 1818-22 Cede -2000 ton hacia Emb XV.
Res 2748-22 Deja sin efecto Res 1818-22.
Res 1964-22 Cede -1200 ton hacia Emb XV.
Res 2656-22 Deja sin efecto Res 1964-22.
Res 1965-22 Cede -15000 ton hacia Emb XV-I.
Res 2729-22 Modf Res 1965-22 Cede -3000 ton.
Res 2462-22 Cede -300 ton hacia Emb XV.</t>
        </r>
      </text>
    </comment>
    <comment ref="F13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819-22 Cede -19477,960 ton hacia Emb XV-I.
Res 1667-22 Cede -6761 ton hacia Emb XV-I.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2252-22 Cede -4392,925 ton hacia Emb XV-I.</t>
        </r>
      </text>
    </comment>
    <comment ref="F15" authorId="2" shapeId="0">
      <text>
        <r>
          <rPr>
            <b/>
            <sz val="9"/>
            <color indexed="81"/>
            <rFont val="Tahoma"/>
            <family val="2"/>
          </rPr>
          <t>SBENALCAZAR:</t>
        </r>
        <r>
          <rPr>
            <sz val="9"/>
            <color indexed="81"/>
            <rFont val="Tahoma"/>
            <family val="2"/>
          </rPr>
          <t xml:space="preserve">
Res 576-22 Cesión de -90000 ton a favor de emb XV-I
Res 1904-22 Modf Res 576-22 Cede -140000 ton.
Res 2822-22 Modf Res 576-22 Cede -128000 ton.
Res 577-22 Cesión de -20000 ton a favor de emb II
Res 1157-22 Modf Res 577-22 Cede -45000.
Res 2820-22 Modf Res 577-22 Cede -33000.
Res 620-22 Cesión de -20000 ton a favor de emb II
Res 1186-22 Modf Res 620-22 Cesión de -65000 ton.
Res 2821-22 Modf Res 620-22 Cede -53000 ton.
Res 842-22 Cede -2000 ton hacia Emb I.
Res 1334-22 Modf Res 842-22 Cede -253,830 ton.
Res 2184-22 Cede -2000 ton hacia Emb XV.
Res 2466-22 Cede -600 ton hacia Emb II.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228-21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 LTP Clase A
Res. 3415-21 LTP Clase B</t>
        </r>
      </text>
    </comment>
    <comment ref="F1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1443-22 Cede -268,821 ton hacia Emb III.</t>
        </r>
      </text>
    </comment>
    <comment ref="F1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1353-22 Cede -1430 ton hacia Emb IV.</t>
        </r>
      </text>
    </comment>
    <comment ref="F19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1226-22 Cede -192,015 ton hacia Emb III.</t>
        </r>
      </text>
    </comment>
    <comment ref="F20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879-22 Cede -8688,277 ton hacia Emb III.
Res 1240-22 Modf Res 879-22 Cede -5688,277 ton.
Res 989-22 Cede -1500 ton hacia Emb IV.
Res 1328-22 Cede -3000 ton hacia Emb IV.
Res 1345-22 Cede -1012,044 ton hacia Emb III.</t>
        </r>
      </text>
    </comment>
    <comment ref="F2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1481-22 Cede -692,959 ton hacia Emb IV.</t>
        </r>
      </text>
    </comment>
    <comment ref="F2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1272-22 Cede -102,408 ton hacia Emb III.</t>
        </r>
      </text>
    </comment>
    <comment ref="F26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1271-22 Cede -102,408 ton hacia Emb III.</t>
        </r>
      </text>
    </comment>
    <comment ref="F2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29-22 Cede -0,25602 ton hacia Thor Fisheries.</t>
        </r>
      </text>
    </comment>
    <comment ref="F2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817-22 Cede -9000 ton hacia Emb IV.
Res 869-22 Cede -500 ton hacia Emb IV.
Res 990-22 Cede -500 ton hacia Emb IV.
Res 1005-22 Cede -470 ton hacia Emb IV.
Res 1405-22 Incremento de 204,816 ton desde LTP Orizon S.A.
Res 1406-22 Incremento de 204,816 ton desde LTP Orizon S.A.
Res 1517-22 Cede -405 ton hacia Emb IV.</t>
        </r>
      </text>
    </comment>
    <comment ref="F29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1440-22 Cede -240 ton hacia Emb III.</t>
        </r>
      </text>
    </comment>
    <comment ref="F30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1441-22 Cede -294,423 ton hacia Emb III.</t>
        </r>
      </text>
    </comment>
    <comment ref="F31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1405-22 Cede -204,816 ton hacia LTP Orizon S.A.
Res 1406-22 Cede -204,816 ton hacia LTP Orizon S.A.</t>
        </r>
      </text>
    </comment>
    <comment ref="F3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29-22 Incremento de 0,25602 ton desde Landes S.A.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229-21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228-21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</t>
        </r>
      </text>
    </comment>
    <comment ref="F4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1108-22 Cede -60 ton hacia Emb IV.</t>
        </r>
      </text>
    </comment>
    <comment ref="F46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31-22 Cede -0,105 ton hacia Thor Fisheries Chile.</t>
        </r>
      </text>
    </comment>
    <comment ref="F4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31-22 Incremento de 0,105 ton desde Landes S.A.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229-21</t>
        </r>
      </text>
    </comment>
  </commentList>
</comments>
</file>

<file path=xl/comments5.xml><?xml version="1.0" encoding="utf-8"?>
<comments xmlns="http://schemas.openxmlformats.org/spreadsheetml/2006/main">
  <authors>
    <author>nperez</author>
  </authors>
  <commentList>
    <comment ref="H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
Res 2822-22 Modf Res 576-22.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 Elimina Emb.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 Elimina Emb.</t>
        </r>
      </text>
    </comment>
    <comment ref="D4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1356-22 Modf Res 576-22.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1356-22 Modf Res 576-22.</t>
        </r>
      </text>
    </comment>
    <comment ref="D4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1632-22 Modf Res 576-22.</t>
        </r>
      </text>
    </comment>
    <comment ref="F4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1632-22 Modf Res 576-22.</t>
        </r>
      </text>
    </comment>
    <comment ref="D4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F4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D4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F4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D4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2212-22 Modf Res 576-22.</t>
        </r>
      </text>
    </comment>
    <comment ref="F4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2212-22 Modf Res 576-22.</t>
        </r>
      </text>
    </comment>
    <comment ref="H4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1157-22 Modf Res 577-22.
Res 2820-22 Modf Res 577-22.</t>
        </r>
      </text>
    </comment>
    <comment ref="D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D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D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1355-22 Modf Res 577-22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1355-22 Modf Res 577-22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1684-22 Modf Res 577-22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1684-22 Modf Res 577-22</t>
        </r>
      </text>
    </comment>
    <comment ref="D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2161-22 Modf Res 577-22</t>
        </r>
      </text>
    </comment>
    <comment ref="F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2161-22 Modf Res 577-22</t>
        </r>
      </text>
    </comment>
    <comment ref="D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H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10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954-22 Modf Res 819-22.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954-22 Modf Res 819-22.</t>
        </r>
      </text>
    </comment>
    <comment ref="D10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1376-22 Modf Res 819-22.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1376-22 Modf Res 819-22.</t>
        </r>
      </text>
    </comment>
    <comment ref="D10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1519-22 Modf Res 819-22.</t>
        </r>
      </text>
    </comment>
    <comment ref="F10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1519-22 Modf Res 819-22.</t>
        </r>
      </text>
    </comment>
    <comment ref="D10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1334-22 Modf Res 842-22.</t>
        </r>
      </text>
    </comment>
    <comment ref="H10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1334-22 Modf Res 842-22.</t>
        </r>
      </text>
    </comment>
    <comment ref="D1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H1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H13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13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13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2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F2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D2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F2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D2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F2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D2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F2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D2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F2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D23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F23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D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F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G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D2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2748-22 Deja sin efecto Res 1818-22.</t>
        </r>
      </text>
    </comment>
    <comment ref="H2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2748-22 Deja sin efecto Res 1818-22.</t>
        </r>
      </text>
    </comment>
    <comment ref="D2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2656-22 Deja sin efecto Res 1964-22.</t>
        </r>
      </text>
    </comment>
    <comment ref="H2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2656-22 Deja sin efecto Res 1964-22.</t>
        </r>
      </text>
    </comment>
    <comment ref="D2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H2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7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7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</commentList>
</comments>
</file>

<file path=xl/sharedStrings.xml><?xml version="1.0" encoding="utf-8"?>
<sst xmlns="http://schemas.openxmlformats.org/spreadsheetml/2006/main" count="1806" uniqueCount="331">
  <si>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</si>
  <si>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</si>
  <si>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</si>
  <si>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</si>
  <si>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</si>
  <si>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</si>
  <si>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</si>
  <si>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</si>
  <si>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</si>
  <si>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</si>
  <si>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</si>
  <si>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</si>
  <si>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</si>
  <si>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</si>
  <si>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</si>
  <si>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</si>
  <si>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</si>
  <si>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</si>
  <si>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</si>
  <si>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</si>
  <si>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</si>
  <si>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</si>
  <si>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</si>
  <si>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</si>
  <si>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</si>
  <si>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</si>
  <si>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</si>
  <si>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</si>
  <si>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CERCOPESCA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</si>
  <si>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</si>
  <si>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</si>
  <si>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</si>
  <si>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</si>
  <si>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</si>
  <si>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</si>
  <si>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</si>
  <si>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</si>
  <si>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</si>
  <si>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</si>
  <si>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</si>
  <si>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ALIMENTOS MARINOS S.A.         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</si>
  <si>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</si>
  <si>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</si>
  <si>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</si>
  <si>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PESQUERA LITORAL SpA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</si>
  <si>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</si>
  <si>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</si>
  <si>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</si>
  <si>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</si>
  <si>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</si>
  <si>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</si>
  <si>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</si>
  <si>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</si>
  <si>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</si>
  <si>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</si>
  <si>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</si>
  <si>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</si>
  <si>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</si>
  <si>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</si>
  <si>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</si>
  <si>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CAMANCHACA S.A. CIA. PESQ.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</si>
  <si>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</si>
  <si>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</si>
  <si>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</si>
  <si>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</si>
  <si>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</si>
  <si>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</si>
  <si>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</si>
  <si>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</si>
  <si>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</si>
  <si>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</si>
  <si>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</si>
  <si>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</si>
  <si>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</si>
  <si>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</si>
  <si>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</si>
  <si>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</si>
  <si>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</si>
  <si>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</si>
  <si>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</si>
  <si>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</si>
  <si>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</si>
  <si>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</si>
  <si>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</si>
  <si>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</si>
  <si>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</si>
  <si>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</si>
  <si>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</si>
  <si>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</si>
  <si>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ENERO</t>
  </si>
  <si>
    <t>JUNIO</t>
  </si>
  <si>
    <t>DICIEMBRE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</si>
  <si>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</si>
  <si>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</si>
  <si>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</si>
  <si>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</si>
  <si>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</si>
  <si>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</si>
  <si>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</si>
  <si>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</si>
  <si>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</si>
  <si>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</si>
  <si>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</si>
  <si>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</si>
  <si>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</si>
  <si>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</si>
  <si>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</si>
  <si>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</si>
  <si>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</si>
  <si>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</si>
  <si>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</si>
  <si>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</si>
  <si>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</si>
  <si>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>Anchoveta y Sardina española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</si>
  <si>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</si>
  <si>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</si>
  <si>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</si>
  <si>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</si>
  <si>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</si>
  <si>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</si>
  <si>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</si>
  <si>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</si>
  <si>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</si>
  <si>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</si>
  <si>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</si>
  <si>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</si>
  <si>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</si>
  <si>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</si>
  <si>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</si>
  <si>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TOTAL</t>
  </si>
  <si>
    <t>Fraccionamiento</t>
  </si>
  <si>
    <t>Fauna acompañante</t>
  </si>
  <si>
    <t>Saldo (ton)</t>
  </si>
  <si>
    <t>Captura (ton)</t>
  </si>
  <si>
    <t>Total P. investigación</t>
  </si>
  <si>
    <t>DEL NORTE SPA. SIND. PESQ.</t>
  </si>
  <si>
    <t>ESPACIO PESQUERO SPA.</t>
  </si>
  <si>
    <t>Consumo Humano</t>
  </si>
  <si>
    <t xml:space="preserve">Adjudicatario </t>
  </si>
  <si>
    <t>Toneladas Asignadas</t>
  </si>
  <si>
    <t xml:space="preserve">Toneladas Capturadas </t>
  </si>
  <si>
    <t xml:space="preserve">Saldo por especie </t>
  </si>
  <si>
    <t>Resolución</t>
  </si>
  <si>
    <t>Cuota</t>
  </si>
  <si>
    <t>captura</t>
  </si>
  <si>
    <t>Garota IV</t>
  </si>
  <si>
    <t>Doña Bernarda</t>
  </si>
  <si>
    <t>Antonia Belen</t>
  </si>
  <si>
    <t>Sebastian II</t>
  </si>
  <si>
    <t>Pancho Malo</t>
  </si>
  <si>
    <t>El Bellaco I</t>
  </si>
  <si>
    <t>El Lolito I</t>
  </si>
  <si>
    <t>Centauro</t>
  </si>
  <si>
    <t>Kiwi</t>
  </si>
  <si>
    <t>El Reno</t>
  </si>
  <si>
    <t>El Bellaco</t>
  </si>
  <si>
    <t xml:space="preserve">Región </t>
  </si>
  <si>
    <t>Cuota Remanente 2020 (T)</t>
  </si>
  <si>
    <t>Captura (T)</t>
  </si>
  <si>
    <t>Saldo (T)</t>
  </si>
  <si>
    <t xml:space="preserve">% Consumido </t>
  </si>
  <si>
    <t>Atenea II</t>
  </si>
  <si>
    <t>Delfin 2000</t>
  </si>
  <si>
    <t>Niebla</t>
  </si>
  <si>
    <t>Garota</t>
  </si>
  <si>
    <t>Garota II</t>
  </si>
  <si>
    <t>Garota V</t>
  </si>
  <si>
    <t>Doña Olga I</t>
  </si>
  <si>
    <t>Don Victorino</t>
  </si>
  <si>
    <t>Maria Soledad II</t>
  </si>
  <si>
    <t>Don Benito II</t>
  </si>
  <si>
    <t>Lonquimay 2</t>
  </si>
  <si>
    <t>Guillermo I</t>
  </si>
  <si>
    <t>El Cid</t>
  </si>
  <si>
    <t>Kali</t>
  </si>
  <si>
    <t>Candelaria II</t>
  </si>
  <si>
    <t>Chubasco I</t>
  </si>
  <si>
    <t>Xolot</t>
  </si>
  <si>
    <t>Don Marcial</t>
  </si>
  <si>
    <t>Don Jose Miguel</t>
  </si>
  <si>
    <t>Fortuna IV</t>
  </si>
  <si>
    <t>Sofia Magdalena</t>
  </si>
  <si>
    <t>Fortuna V</t>
  </si>
  <si>
    <t>Don Perucho II</t>
  </si>
  <si>
    <t>Santa Norma</t>
  </si>
  <si>
    <t>Garota III</t>
  </si>
  <si>
    <t>Maria Pabla</t>
  </si>
  <si>
    <t>Jepe I</t>
  </si>
  <si>
    <t>Doña Adriana</t>
  </si>
  <si>
    <t>Región de Atacama</t>
  </si>
  <si>
    <t>Cargos por excesos</t>
  </si>
  <si>
    <t>Maimau</t>
  </si>
  <si>
    <t>Mar Primero</t>
  </si>
  <si>
    <t>JORGE ORTÚZAR GELTEN</t>
  </si>
  <si>
    <t>CONTROL CUOTA ANCHOVETA  XV - IV AÑO 2022</t>
  </si>
  <si>
    <t>RESUMEN CONSUMO ANUAL ANCHOVETA Y SARDINA ESPAÑOLA XV-IV AÑO 2022. Dato en toneladas</t>
  </si>
  <si>
    <t>CONTROL CUOTA SARDINA ESPAÑOLA ARTESANAL XV - IV AÑO 2022</t>
  </si>
  <si>
    <t>CONTROL DE CUOTA REMANENTE ANCHOVETA ARTESANAL 2022</t>
  </si>
  <si>
    <t>CONTROL CUOTA ANCHOVETA Y SARDINA ESPAÑOLA INDUSTRIAL XV - IV AÑO 2022</t>
  </si>
  <si>
    <t>ANCHOVETA 2022</t>
  </si>
  <si>
    <t>SARDINA ESPAÑOLA 2022</t>
  </si>
  <si>
    <t>CONTROL DE CUOTAS PESCA DE INVESTIGACIÓN AÑO 2022</t>
  </si>
  <si>
    <t>CONTROL DE CUOTAS CONSUMO HUMANO AÑO 2022</t>
  </si>
  <si>
    <t>ASIGNATARIO</t>
  </si>
  <si>
    <t>PERIODO</t>
  </si>
  <si>
    <t>05/02/2022 - 06/05/2022</t>
  </si>
  <si>
    <t>CERCOPESCA Rol 4276</t>
  </si>
  <si>
    <t>CUOTA RESIDUAL</t>
  </si>
  <si>
    <t>Don Pancracio</t>
  </si>
  <si>
    <t>Guajache II</t>
  </si>
  <si>
    <t>Gringo Pablo II</t>
  </si>
  <si>
    <t>Doña Sabina</t>
  </si>
  <si>
    <t>Arica y Parinacota</t>
  </si>
  <si>
    <t>Tarapaca</t>
  </si>
  <si>
    <t>Antofagasta</t>
  </si>
  <si>
    <t>Pehuenche</t>
  </si>
  <si>
    <t>Atacama y Coquimbo</t>
  </si>
  <si>
    <t>Colectiva</t>
  </si>
  <si>
    <t>Arkhos IV</t>
  </si>
  <si>
    <t>Abel</t>
  </si>
  <si>
    <t>Coyi I</t>
  </si>
  <si>
    <t>Coyi II</t>
  </si>
  <si>
    <t>Santa Margarita I</t>
  </si>
  <si>
    <t>Karen Pamela</t>
  </si>
  <si>
    <t>Lobo de Afuera IV</t>
  </si>
  <si>
    <t>Lobo de Afuera V</t>
  </si>
  <si>
    <t>Don Jose I</t>
  </si>
  <si>
    <t>Arkhos III</t>
  </si>
  <si>
    <t>Punta Verde</t>
  </si>
  <si>
    <t>Doña Florina</t>
  </si>
  <si>
    <t>Don German CSA</t>
  </si>
  <si>
    <t>Charly</t>
  </si>
  <si>
    <t>Tuareg I</t>
  </si>
  <si>
    <t>Amadeus</t>
  </si>
  <si>
    <t>Amadeus II</t>
  </si>
  <si>
    <t>Cesar Miguel</t>
  </si>
  <si>
    <t>Humboldt II</t>
  </si>
  <si>
    <t>Don Lucho</t>
  </si>
  <si>
    <t>Shalom II</t>
  </si>
  <si>
    <t>Petrohue III</t>
  </si>
  <si>
    <t>Marcelo Rodolfo</t>
  </si>
  <si>
    <t>Kaweskar</t>
  </si>
  <si>
    <t xml:space="preserve">Petrohue II </t>
  </si>
  <si>
    <t>Rina F Y M</t>
  </si>
  <si>
    <t>Kimba I</t>
  </si>
  <si>
    <t>Daniel</t>
  </si>
  <si>
    <t>Loreto V</t>
  </si>
  <si>
    <t>Petrohue I</t>
  </si>
  <si>
    <t>Pelicano</t>
  </si>
  <si>
    <t>Chango I</t>
  </si>
  <si>
    <t>Ike I</t>
  </si>
  <si>
    <t>Don Juaquin III</t>
  </si>
  <si>
    <t>Giovanna Priscilla IV</t>
  </si>
  <si>
    <t>Genesis C</t>
  </si>
  <si>
    <t>Maria Elena</t>
  </si>
  <si>
    <t>SGTO Moran</t>
  </si>
  <si>
    <t>Javiera Selmira</t>
  </si>
  <si>
    <t>La Angelita</t>
  </si>
  <si>
    <t>Moises</t>
  </si>
  <si>
    <t xml:space="preserve">El Tesoro </t>
  </si>
  <si>
    <t>Socoroma</t>
  </si>
  <si>
    <t>Socoroma I</t>
  </si>
  <si>
    <t>Don Miguel</t>
  </si>
  <si>
    <t xml:space="preserve">Santa Marta </t>
  </si>
  <si>
    <t>Trinquete</t>
  </si>
  <si>
    <t>Garota I</t>
  </si>
  <si>
    <t>Don Nino I</t>
  </si>
  <si>
    <t>Don Andres II</t>
  </si>
  <si>
    <t>Mary Paz II</t>
  </si>
  <si>
    <t>Aldebaran II</t>
  </si>
  <si>
    <t>Don Rufino II</t>
  </si>
  <si>
    <t>Doña Mercedes</t>
  </si>
  <si>
    <t>Doña Edi</t>
  </si>
  <si>
    <t>Josefa II</t>
  </si>
  <si>
    <t>Don Eleuterio</t>
  </si>
  <si>
    <t>Atenea I</t>
  </si>
  <si>
    <t>Trauwun I</t>
  </si>
  <si>
    <t>Niña Ximena</t>
  </si>
  <si>
    <t>Valentina</t>
  </si>
  <si>
    <t>Josue</t>
  </si>
  <si>
    <t>Isidora I</t>
  </si>
  <si>
    <t>Gianpiero I</t>
  </si>
  <si>
    <t>Aries I</t>
  </si>
  <si>
    <t>Renata</t>
  </si>
  <si>
    <t>Individual</t>
  </si>
  <si>
    <t>I</t>
  </si>
  <si>
    <t>Benjamin A</t>
  </si>
  <si>
    <t>Don Milo</t>
  </si>
  <si>
    <t>XV</t>
  </si>
  <si>
    <t>Abraham</t>
  </si>
  <si>
    <t>Don Sebastian</t>
  </si>
  <si>
    <t>Sea Quest</t>
  </si>
  <si>
    <t>Maimau I</t>
  </si>
  <si>
    <t>Carolina I</t>
  </si>
  <si>
    <t>Fernanda I</t>
  </si>
  <si>
    <t>Don Luis</t>
  </si>
  <si>
    <t>Julieta Ignacia</t>
  </si>
  <si>
    <t>Anchoveta III</t>
  </si>
  <si>
    <t>Anchoveta XV-I</t>
  </si>
  <si>
    <t>Anchoveta II</t>
  </si>
  <si>
    <t>Anchoveta IV</t>
  </si>
  <si>
    <t>Cesiones Ind y Colec XV-I</t>
  </si>
  <si>
    <t>Cesiones Ind y Colec II</t>
  </si>
  <si>
    <t>Cesiones Ind y Colec III</t>
  </si>
  <si>
    <t>Cesiones Ind y Colec IV</t>
  </si>
  <si>
    <t>Cesiones</t>
  </si>
  <si>
    <t>Petrohue II</t>
  </si>
  <si>
    <t>Elva S</t>
  </si>
  <si>
    <t>Cuota Remanente 2021 (T)</t>
  </si>
  <si>
    <t>TOTAL CESIONES 2022</t>
  </si>
  <si>
    <t>Doña Katy</t>
  </si>
  <si>
    <t>Don Atilio</t>
  </si>
  <si>
    <t>Tom Jerry</t>
  </si>
  <si>
    <t>Mar Tercero</t>
  </si>
  <si>
    <t>Sta Veronica II</t>
  </si>
  <si>
    <t>Sra Graciela</t>
  </si>
  <si>
    <t>Lobo de Afuera VII</t>
  </si>
  <si>
    <t>Arkhos II</t>
  </si>
  <si>
    <t>Liliana</t>
  </si>
  <si>
    <t>THOR FISHERIES CHILE SpA.</t>
  </si>
  <si>
    <t>Odiseo II</t>
  </si>
  <si>
    <t>Brenda Esmeralda</t>
  </si>
  <si>
    <t>Amadeus IV</t>
  </si>
  <si>
    <t>Lobo de Afuera VI</t>
  </si>
  <si>
    <t>Consuelito I</t>
  </si>
  <si>
    <t>Pionero</t>
  </si>
  <si>
    <t>Gracias a Dios I</t>
  </si>
  <si>
    <t>Ruth M</t>
  </si>
  <si>
    <t>Aylen</t>
  </si>
  <si>
    <t>Fortuna I</t>
  </si>
  <si>
    <t>Nataly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</si>
</sst>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trike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4" fillId="0" borderId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8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169" fontId="0" fillId="0" borderId="1" xfId="0" applyNumberFormat="1" applyFont="1" applyFill="1" applyBorder="1"/>
    <xf numFmtId="9" fontId="0" fillId="0" borderId="0" xfId="1" applyFont="1"/>
    <xf numFmtId="169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9" fontId="0" fillId="0" borderId="3" xfId="0" applyNumberFormat="1" applyFont="1" applyFill="1" applyBorder="1"/>
    <xf numFmtId="0" fontId="0" fillId="0" borderId="5" xfId="0" applyFont="1" applyFill="1" applyBorder="1"/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0" fontId="0" fillId="0" borderId="8" xfId="0" applyFont="1" applyBorder="1"/>
    <xf numFmtId="169" fontId="0" fillId="0" borderId="5" xfId="0" applyNumberFormat="1" applyFont="1" applyFill="1" applyBorder="1"/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32" fillId="34" borderId="8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9" fontId="0" fillId="2" borderId="5" xfId="0" applyNumberFormat="1" applyFont="1" applyFill="1" applyBorder="1" applyAlignment="1">
      <alignment horizontal="right" vertical="center"/>
    </xf>
    <xf numFmtId="169" fontId="0" fillId="2" borderId="1" xfId="0" applyNumberFormat="1" applyFont="1" applyFill="1" applyBorder="1" applyAlignment="1">
      <alignment horizontal="right" vertical="center"/>
    </xf>
    <xf numFmtId="169" fontId="0" fillId="2" borderId="8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169" fontId="0" fillId="0" borderId="5" xfId="0" applyNumberFormat="1" applyFont="1" applyBorder="1"/>
    <xf numFmtId="169" fontId="0" fillId="0" borderId="1" xfId="0" applyNumberFormat="1" applyFont="1" applyBorder="1"/>
    <xf numFmtId="169" fontId="0" fillId="0" borderId="8" xfId="0" applyNumberFormat="1" applyFont="1" applyBorder="1"/>
    <xf numFmtId="9" fontId="0" fillId="0" borderId="16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3" xfId="0" applyNumberFormat="1" applyBorder="1"/>
    <xf numFmtId="169" fontId="0" fillId="0" borderId="5" xfId="0" applyNumberFormat="1" applyBorder="1"/>
    <xf numFmtId="169" fontId="0" fillId="0" borderId="22" xfId="0" applyNumberFormat="1" applyBorder="1"/>
    <xf numFmtId="169" fontId="0" fillId="0" borderId="10" xfId="0" applyNumberFormat="1" applyBorder="1"/>
    <xf numFmtId="169" fontId="0" fillId="0" borderId="8" xfId="0" applyNumberFormat="1" applyBorder="1"/>
    <xf numFmtId="9" fontId="0" fillId="0" borderId="11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9" fontId="0" fillId="0" borderId="13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169" fontId="0" fillId="0" borderId="12" xfId="0" applyNumberFormat="1" applyBorder="1" applyAlignment="1">
      <alignment vertical="center"/>
    </xf>
    <xf numFmtId="9" fontId="0" fillId="0" borderId="32" xfId="1" applyFont="1" applyBorder="1" applyAlignment="1">
      <alignment horizontal="center" vertical="center"/>
    </xf>
    <xf numFmtId="169" fontId="0" fillId="0" borderId="22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8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70" fontId="0" fillId="0" borderId="3" xfId="0" applyNumberFormat="1" applyBorder="1"/>
    <xf numFmtId="170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/>
    </xf>
    <xf numFmtId="169" fontId="0" fillId="0" borderId="3" xfId="0" applyNumberFormat="1" applyFill="1" applyBorder="1"/>
    <xf numFmtId="169" fontId="0" fillId="4" borderId="1" xfId="0" applyNumberFormat="1" applyFill="1" applyBorder="1" applyAlignment="1">
      <alignment horizontal="right" vertical="center"/>
    </xf>
    <xf numFmtId="169" fontId="2" fillId="4" borderId="1" xfId="0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2" fillId="39" borderId="5" xfId="0" applyFont="1" applyFill="1" applyBorder="1" applyAlignment="1">
      <alignment horizontal="center" vertical="center" wrapText="1"/>
    </xf>
    <xf numFmtId="0" fontId="2" fillId="39" borderId="1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2" fontId="0" fillId="0" borderId="3" xfId="1" applyNumberFormat="1" applyFont="1" applyBorder="1" applyAlignment="1">
      <alignment horizontal="center" vertical="center"/>
    </xf>
    <xf numFmtId="172" fontId="0" fillId="3" borderId="1" xfId="1" applyNumberFormat="1" applyFont="1" applyFill="1" applyBorder="1" applyAlignment="1">
      <alignment horizontal="center" vertical="center"/>
    </xf>
    <xf numFmtId="170" fontId="0" fillId="0" borderId="0" xfId="0" applyNumberFormat="1"/>
    <xf numFmtId="172" fontId="0" fillId="4" borderId="1" xfId="1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/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6" borderId="13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40" borderId="15" xfId="0" applyFont="1" applyFill="1" applyBorder="1" applyAlignment="1">
      <alignment horizontal="center" vertical="center" wrapText="1"/>
    </xf>
    <xf numFmtId="0" fontId="2" fillId="40" borderId="18" xfId="0" applyFont="1" applyFill="1" applyBorder="1" applyAlignment="1">
      <alignment horizontal="center" vertical="center"/>
    </xf>
    <xf numFmtId="0" fontId="2" fillId="40" borderId="19" xfId="0" applyFont="1" applyFill="1" applyBorder="1" applyAlignment="1">
      <alignment horizontal="center" vertical="center"/>
    </xf>
    <xf numFmtId="0" fontId="2" fillId="40" borderId="19" xfId="0" applyFont="1" applyFill="1" applyBorder="1" applyAlignment="1">
      <alignment horizontal="center" vertical="center" wrapText="1"/>
    </xf>
    <xf numFmtId="0" fontId="2" fillId="40" borderId="20" xfId="0" applyFont="1" applyFill="1" applyBorder="1" applyAlignment="1">
      <alignment horizontal="center" vertical="center"/>
    </xf>
    <xf numFmtId="0" fontId="2" fillId="40" borderId="18" xfId="0" applyFont="1" applyFill="1" applyBorder="1" applyAlignment="1">
      <alignment horizontal="center" vertical="center" wrapText="1"/>
    </xf>
    <xf numFmtId="0" fontId="0" fillId="37" borderId="4" xfId="0" applyFont="1" applyFill="1" applyBorder="1" applyAlignment="1">
      <alignment horizontal="left"/>
    </xf>
    <xf numFmtId="169" fontId="0" fillId="37" borderId="4" xfId="0" applyNumberFormat="1" applyFont="1" applyFill="1" applyBorder="1" applyAlignment="1">
      <alignment horizontal="right" vertical="center"/>
    </xf>
    <xf numFmtId="0" fontId="0" fillId="37" borderId="1" xfId="0" applyFont="1" applyFill="1" applyBorder="1" applyAlignment="1">
      <alignment horizontal="left"/>
    </xf>
    <xf numFmtId="169" fontId="0" fillId="37" borderId="1" xfId="0" applyNumberFormat="1" applyFont="1" applyFill="1" applyBorder="1" applyAlignment="1">
      <alignment horizontal="right" vertical="center"/>
    </xf>
    <xf numFmtId="0" fontId="0" fillId="37" borderId="5" xfId="0" applyFont="1" applyFill="1" applyBorder="1" applyAlignment="1">
      <alignment horizontal="left"/>
    </xf>
    <xf numFmtId="169" fontId="0" fillId="37" borderId="5" xfId="0" applyNumberFormat="1" applyFont="1" applyFill="1" applyBorder="1" applyAlignment="1">
      <alignment horizontal="right" vertical="center"/>
    </xf>
    <xf numFmtId="169" fontId="0" fillId="37" borderId="1" xfId="0" applyNumberFormat="1" applyFill="1" applyBorder="1" applyAlignment="1">
      <alignment horizontal="right" vertical="center"/>
    </xf>
    <xf numFmtId="0" fontId="0" fillId="37" borderId="2" xfId="0" applyFont="1" applyFill="1" applyBorder="1" applyAlignment="1">
      <alignment horizontal="left"/>
    </xf>
    <xf numFmtId="169" fontId="0" fillId="37" borderId="2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166" fontId="2" fillId="0" borderId="1" xfId="0" applyNumberFormat="1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2" borderId="43" xfId="0" applyFill="1" applyBorder="1" applyAlignment="1">
      <alignment horizontal="center" vertical="center" wrapText="1"/>
    </xf>
    <xf numFmtId="0" fontId="30" fillId="32" borderId="43" xfId="0" applyFont="1" applyFill="1" applyBorder="1" applyAlignment="1">
      <alignment horizontal="center" vertical="center"/>
    </xf>
    <xf numFmtId="0" fontId="30" fillId="32" borderId="43" xfId="0" applyFont="1" applyFill="1" applyBorder="1" applyAlignment="1">
      <alignment horizontal="center" vertical="center" wrapText="1"/>
    </xf>
    <xf numFmtId="169" fontId="0" fillId="3" borderId="43" xfId="0" applyNumberFormat="1" applyFill="1" applyBorder="1" applyAlignment="1">
      <alignment horizontal="center" vertical="center"/>
    </xf>
    <xf numFmtId="9" fontId="0" fillId="3" borderId="43" xfId="1" applyFont="1" applyFill="1" applyBorder="1" applyAlignment="1">
      <alignment horizontal="center" vertical="center"/>
    </xf>
    <xf numFmtId="169" fontId="0" fillId="3" borderId="42" xfId="0" applyNumberFormat="1" applyFill="1" applyBorder="1" applyAlignment="1">
      <alignment horizontal="center" vertical="center"/>
    </xf>
    <xf numFmtId="9" fontId="0" fillId="3" borderId="42" xfId="1" applyFont="1" applyFill="1" applyBorder="1" applyAlignment="1">
      <alignment horizontal="center" vertical="center"/>
    </xf>
    <xf numFmtId="0" fontId="0" fillId="32" borderId="42" xfId="0" applyFill="1" applyBorder="1" applyAlignment="1">
      <alignment horizontal="center" vertical="center"/>
    </xf>
    <xf numFmtId="169" fontId="0" fillId="37" borderId="43" xfId="0" applyNumberFormat="1" applyFont="1" applyFill="1" applyBorder="1" applyAlignment="1">
      <alignment horizontal="right" vertical="center"/>
    </xf>
    <xf numFmtId="166" fontId="0" fillId="0" borderId="43" xfId="0" applyNumberFormat="1" applyFont="1" applyFill="1" applyBorder="1" applyAlignment="1">
      <alignment horizontal="center" vertical="center"/>
    </xf>
    <xf numFmtId="0" fontId="0" fillId="0" borderId="43" xfId="0" applyFont="1" applyFill="1" applyBorder="1"/>
    <xf numFmtId="0" fontId="0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171" fontId="0" fillId="0" borderId="13" xfId="0" applyNumberFormat="1" applyBorder="1" applyAlignment="1">
      <alignment horizontal="center" vertical="center"/>
    </xf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2" fillId="42" borderId="1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0" fontId="30" fillId="37" borderId="5" xfId="0" applyFont="1" applyFill="1" applyBorder="1" applyAlignment="1">
      <alignment horizontal="left" vertical="center"/>
    </xf>
    <xf numFmtId="0" fontId="30" fillId="37" borderId="1" xfId="0" applyFont="1" applyFill="1" applyBorder="1" applyAlignment="1">
      <alignment horizontal="left" vertical="center" wrapText="1"/>
    </xf>
    <xf numFmtId="0" fontId="30" fillId="37" borderId="1" xfId="0" applyFont="1" applyFill="1" applyBorder="1" applyAlignment="1">
      <alignment horizontal="left" vertical="center"/>
    </xf>
    <xf numFmtId="0" fontId="30" fillId="37" borderId="2" xfId="0" applyFont="1" applyFill="1" applyBorder="1" applyAlignment="1">
      <alignment horizontal="left" vertical="center" wrapText="1"/>
    </xf>
    <xf numFmtId="0" fontId="30" fillId="37" borderId="43" xfId="0" applyFont="1" applyFill="1" applyBorder="1" applyAlignment="1">
      <alignment horizontal="left" vertical="center" wrapText="1"/>
    </xf>
    <xf numFmtId="0" fontId="0" fillId="0" borderId="0" xfId="0" applyFill="1"/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Fill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169" fontId="0" fillId="4" borderId="42" xfId="0" applyNumberFormat="1" applyFill="1" applyBorder="1" applyAlignment="1">
      <alignment horizontal="right" vertical="center"/>
    </xf>
    <xf numFmtId="169" fontId="0" fillId="4" borderId="42" xfId="0" applyNumberFormat="1" applyFill="1" applyBorder="1" applyAlignment="1">
      <alignment horizontal="center" vertical="center"/>
    </xf>
    <xf numFmtId="169" fontId="2" fillId="4" borderId="42" xfId="0" applyNumberFormat="1" applyFont="1" applyFill="1" applyBorder="1" applyAlignment="1">
      <alignment horizontal="center" vertical="center"/>
    </xf>
    <xf numFmtId="166" fontId="0" fillId="0" borderId="42" xfId="0" applyNumberForma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/>
    </xf>
    <xf numFmtId="0" fontId="0" fillId="0" borderId="42" xfId="0" applyBorder="1"/>
    <xf numFmtId="0" fontId="2" fillId="44" borderId="42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/>
    </xf>
    <xf numFmtId="0" fontId="30" fillId="32" borderId="42" xfId="0" applyFont="1" applyFill="1" applyBorder="1" applyAlignment="1">
      <alignment horizontal="center"/>
    </xf>
    <xf numFmtId="172" fontId="0" fillId="4" borderId="42" xfId="1" applyNumberFormat="1" applyFont="1" applyFill="1" applyBorder="1" applyAlignment="1">
      <alignment horizontal="center" vertical="center"/>
    </xf>
    <xf numFmtId="14" fontId="2" fillId="4" borderId="42" xfId="0" applyNumberFormat="1" applyFont="1" applyFill="1" applyBorder="1" applyAlignment="1">
      <alignment horizontal="center" vertical="center"/>
    </xf>
    <xf numFmtId="14" fontId="0" fillId="0" borderId="42" xfId="0" applyNumberFormat="1" applyFont="1" applyFill="1" applyBorder="1" applyAlignment="1">
      <alignment horizontal="center" vertical="center"/>
    </xf>
    <xf numFmtId="9" fontId="0" fillId="0" borderId="42" xfId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170" fontId="0" fillId="0" borderId="42" xfId="0" applyNumberFormat="1" applyFill="1" applyBorder="1" applyAlignment="1">
      <alignment horizontal="center" vertical="center"/>
    </xf>
    <xf numFmtId="169" fontId="0" fillId="0" borderId="42" xfId="0" applyNumberFormat="1" applyBorder="1" applyAlignment="1">
      <alignment horizontal="center" vertical="center"/>
    </xf>
    <xf numFmtId="170" fontId="0" fillId="0" borderId="42" xfId="0" applyNumberFormat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32" borderId="44" xfId="0" applyFill="1" applyBorder="1" applyAlignment="1">
      <alignment horizontal="center" vertical="center" wrapText="1"/>
    </xf>
    <xf numFmtId="0" fontId="30" fillId="32" borderId="44" xfId="0" applyFont="1" applyFill="1" applyBorder="1" applyAlignment="1">
      <alignment horizontal="center" vertical="center" wrapText="1"/>
    </xf>
    <xf numFmtId="169" fontId="0" fillId="3" borderId="53" xfId="0" applyNumberFormat="1" applyFill="1" applyBorder="1" applyAlignment="1">
      <alignment horizontal="center" vertical="center"/>
    </xf>
    <xf numFmtId="9" fontId="0" fillId="3" borderId="53" xfId="1" applyFont="1" applyFill="1" applyBorder="1" applyAlignment="1">
      <alignment horizontal="center" vertical="center"/>
    </xf>
    <xf numFmtId="14" fontId="40" fillId="4" borderId="1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32" fillId="34" borderId="56" xfId="0" applyFont="1" applyFill="1" applyBorder="1" applyAlignment="1">
      <alignment horizontal="left" vertical="center" wrapText="1"/>
    </xf>
    <xf numFmtId="0" fontId="0" fillId="2" borderId="56" xfId="0" applyFont="1" applyFill="1" applyBorder="1" applyAlignment="1">
      <alignment horizontal="left" vertical="center"/>
    </xf>
    <xf numFmtId="169" fontId="0" fillId="2" borderId="56" xfId="0" applyNumberFormat="1" applyFont="1" applyFill="1" applyBorder="1" applyAlignment="1">
      <alignment horizontal="right" vertical="center"/>
    </xf>
    <xf numFmtId="0" fontId="0" fillId="0" borderId="56" xfId="0" applyFont="1" applyBorder="1"/>
    <xf numFmtId="169" fontId="0" fillId="0" borderId="56" xfId="0" applyNumberFormat="1" applyFont="1" applyBorder="1"/>
    <xf numFmtId="9" fontId="0" fillId="0" borderId="58" xfId="1" applyFont="1" applyBorder="1" applyAlignment="1">
      <alignment horizontal="center"/>
    </xf>
    <xf numFmtId="169" fontId="0" fillId="0" borderId="38" xfId="0" applyNumberFormat="1" applyBorder="1"/>
    <xf numFmtId="0" fontId="0" fillId="0" borderId="56" xfId="0" applyBorder="1"/>
    <xf numFmtId="169" fontId="0" fillId="0" borderId="56" xfId="0" applyNumberFormat="1" applyBorder="1"/>
    <xf numFmtId="0" fontId="0" fillId="0" borderId="56" xfId="0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1" fillId="8" borderId="42" xfId="0" applyFont="1" applyFill="1" applyBorder="1" applyAlignment="1">
      <alignment horizontal="center" vertical="center" wrapText="1"/>
    </xf>
    <xf numFmtId="0" fontId="31" fillId="32" borderId="2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2" fillId="8" borderId="36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0" fillId="32" borderId="44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14" fontId="2" fillId="42" borderId="1" xfId="0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" xfId="0" applyBorder="1"/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4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2" fillId="37" borderId="33" xfId="0" applyFont="1" applyFill="1" applyBorder="1" applyAlignment="1">
      <alignment horizontal="center"/>
    </xf>
    <xf numFmtId="0" fontId="2" fillId="37" borderId="34" xfId="0" applyFont="1" applyFill="1" applyBorder="1" applyAlignment="1">
      <alignment horizontal="center"/>
    </xf>
    <xf numFmtId="0" fontId="2" fillId="37" borderId="35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 vertical="center" textRotation="90"/>
    </xf>
    <xf numFmtId="0" fontId="27" fillId="7" borderId="22" xfId="0" applyFont="1" applyFill="1" applyBorder="1" applyAlignment="1">
      <alignment horizontal="center" vertical="center" textRotation="90"/>
    </xf>
    <xf numFmtId="0" fontId="27" fillId="7" borderId="38" xfId="0" applyFont="1" applyFill="1" applyBorder="1" applyAlignment="1">
      <alignment horizontal="center" vertical="center" textRotation="90"/>
    </xf>
    <xf numFmtId="0" fontId="27" fillId="7" borderId="10" xfId="0" applyFont="1" applyFill="1" applyBorder="1" applyAlignment="1">
      <alignment horizontal="center" vertical="center" textRotation="90"/>
    </xf>
    <xf numFmtId="0" fontId="3" fillId="40" borderId="13" xfId="0" applyFont="1" applyFill="1" applyBorder="1" applyAlignment="1">
      <alignment horizontal="center" vertical="center" textRotation="90" wrapText="1"/>
    </xf>
    <xf numFmtId="0" fontId="3" fillId="40" borderId="22" xfId="0" applyFont="1" applyFill="1" applyBorder="1" applyAlignment="1">
      <alignment horizontal="center" vertical="center" textRotation="90" wrapText="1"/>
    </xf>
    <xf numFmtId="0" fontId="3" fillId="40" borderId="38" xfId="0" applyFont="1" applyFill="1" applyBorder="1" applyAlignment="1">
      <alignment horizontal="center" vertical="center" textRotation="90" wrapText="1"/>
    </xf>
    <xf numFmtId="0" fontId="27" fillId="7" borderId="13" xfId="0" applyFont="1" applyFill="1" applyBorder="1" applyAlignment="1">
      <alignment horizontal="center" vertical="center" textRotation="90" wrapText="1"/>
    </xf>
    <xf numFmtId="0" fontId="27" fillId="7" borderId="22" xfId="0" applyFont="1" applyFill="1" applyBorder="1" applyAlignment="1">
      <alignment horizontal="center" vertical="center" textRotation="90" wrapText="1"/>
    </xf>
    <xf numFmtId="0" fontId="3" fillId="40" borderId="31" xfId="0" applyFont="1" applyFill="1" applyBorder="1" applyAlignment="1">
      <alignment horizontal="center" vertical="center" textRotation="90" wrapText="1"/>
    </xf>
    <xf numFmtId="0" fontId="0" fillId="0" borderId="50" xfId="0" applyFont="1" applyFill="1" applyBorder="1" applyAlignment="1">
      <alignment horizontal="center" vertical="center"/>
    </xf>
    <xf numFmtId="9" fontId="0" fillId="0" borderId="50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9" fontId="0" fillId="0" borderId="59" xfId="1" applyFont="1" applyFill="1" applyBorder="1" applyAlignment="1">
      <alignment horizontal="center" vertical="center"/>
    </xf>
    <xf numFmtId="9" fontId="0" fillId="0" borderId="55" xfId="1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9" fontId="0" fillId="0" borderId="48" xfId="1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9" fontId="0" fillId="0" borderId="46" xfId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9" fontId="0" fillId="0" borderId="45" xfId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9" fontId="0" fillId="0" borderId="47" xfId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9" fontId="0" fillId="0" borderId="49" xfId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9" fontId="0" fillId="0" borderId="54" xfId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9" fontId="0" fillId="0" borderId="52" xfId="1" applyFont="1" applyFill="1" applyBorder="1" applyAlignment="1">
      <alignment horizontal="center" vertical="center"/>
    </xf>
    <xf numFmtId="9" fontId="0" fillId="0" borderId="56" xfId="1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2" fontId="0" fillId="0" borderId="48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" xfId="1" builtinId="5"/>
    <cellStyle name="Porcentaje 2" xfId="14"/>
    <cellStyle name="Porcentaje 3" xfId="1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2:J37"/>
  <sheetViews>
    <sheetView tabSelected="1" workbookViewId="0">
      <selection activeCell="H11" sqref="H11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</cols>
  <sheetData>
    <row r="2" spans="2:10">
      <c r="B2" s="297" t="s">
        <v>195</v>
      </c>
      <c r="C2" s="297"/>
      <c r="D2" s="297"/>
      <c r="E2" s="297"/>
      <c r="F2" s="297"/>
      <c r="G2" s="297"/>
      <c r="H2" s="297"/>
      <c r="I2" s="297"/>
      <c r="J2" s="297"/>
    </row>
    <row r="3" spans="2:10">
      <c r="B3" s="297"/>
      <c r="C3" s="297"/>
      <c r="D3" s="297"/>
      <c r="E3" s="297"/>
      <c r="F3" s="297"/>
      <c r="G3" s="297"/>
      <c r="H3" s="297"/>
      <c r="I3" s="297"/>
      <c r="J3" s="297"/>
    </row>
    <row r="4" spans="2:10">
      <c r="C4" s="299">
        <v>44926</v>
      </c>
      <c r="D4" s="299"/>
      <c r="E4" s="299"/>
      <c r="F4" s="299"/>
      <c r="G4" s="299"/>
      <c r="H4" s="299"/>
      <c r="I4" s="299"/>
      <c r="J4" s="299"/>
    </row>
    <row r="5" spans="2:10">
      <c r="C5" s="300" t="s">
        <v>0</v>
      </c>
      <c r="D5" s="300"/>
      <c r="E5" s="300"/>
      <c r="F5" s="300"/>
      <c r="G5" s="300"/>
      <c r="H5" s="300"/>
      <c r="I5" s="300"/>
      <c r="J5" s="300"/>
    </row>
    <row r="8" spans="2:10">
      <c r="B8" s="13" t="s">
        <v>1</v>
      </c>
      <c r="C8" s="13" t="s">
        <v>109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</row>
    <row r="9" spans="2:10" ht="15" customHeight="1">
      <c r="B9" s="301" t="s">
        <v>111</v>
      </c>
      <c r="C9" s="298" t="s">
        <v>107</v>
      </c>
      <c r="D9" s="14" t="s">
        <v>9</v>
      </c>
      <c r="E9" s="97">
        <f>'Artesanal Anchoveta XV-IV'!N7</f>
        <v>103965</v>
      </c>
      <c r="F9" s="126">
        <f>'Artesanal Anchoveta XV-IV'!O7</f>
        <v>10052</v>
      </c>
      <c r="G9" s="90">
        <f>'Artesanal Anchoveta XV-IV'!P7</f>
        <v>114017</v>
      </c>
      <c r="H9" s="90">
        <f>'Artesanal Anchoveta XV-IV'!Q7</f>
        <v>114012.235</v>
      </c>
      <c r="I9" s="90">
        <f>'Artesanal Anchoveta XV-IV'!R7</f>
        <v>4.7649999999994179</v>
      </c>
      <c r="J9" s="96">
        <f>'Artesanal Anchoveta XV-IV'!S7</f>
        <v>0.99995820798652835</v>
      </c>
    </row>
    <row r="10" spans="2:10" s="87" customFormat="1" ht="15" customHeight="1">
      <c r="B10" s="302"/>
      <c r="C10" s="304"/>
      <c r="D10" s="261" t="s">
        <v>301</v>
      </c>
      <c r="E10" s="262" t="s">
        <v>69</v>
      </c>
      <c r="F10" s="263" t="s">
        <v>69</v>
      </c>
      <c r="G10" s="264">
        <f>'Cesiones ind y colec'!S8</f>
        <v>193526.22499999998</v>
      </c>
      <c r="H10" s="264">
        <f>'Cesiones ind y colec'!T8</f>
        <v>177237.788</v>
      </c>
      <c r="I10" s="264">
        <f>'Cesiones ind y colec'!U8</f>
        <v>16288.436999999976</v>
      </c>
      <c r="J10" s="259">
        <f>'Cesiones ind y colec'!V8</f>
        <v>0.91583343807796602</v>
      </c>
    </row>
    <row r="11" spans="2:10">
      <c r="B11" s="301"/>
      <c r="C11" s="298"/>
      <c r="D11" s="14" t="s">
        <v>10</v>
      </c>
      <c r="E11" s="97">
        <f>+'Artesanal Anchoveta XV-IV'!N8</f>
        <v>39604</v>
      </c>
      <c r="F11" s="126">
        <f>+'Artesanal Anchoveta XV-IV'!O8</f>
        <v>0</v>
      </c>
      <c r="G11" s="90">
        <f>+'Artesanal Anchoveta XV-IV'!P8</f>
        <v>39604</v>
      </c>
      <c r="H11" s="90">
        <f>+'Artesanal Anchoveta XV-IV'!Q8</f>
        <v>39729.65</v>
      </c>
      <c r="I11" s="90">
        <f t="shared" ref="I11:I24" si="0">+G11-H11</f>
        <v>-125.65000000000146</v>
      </c>
      <c r="J11" s="96">
        <f t="shared" ref="J11:J24" si="1">+H11/G11</f>
        <v>1.0031726593273407</v>
      </c>
    </row>
    <row r="12" spans="2:10" s="87" customFormat="1">
      <c r="B12" s="302"/>
      <c r="C12" s="304"/>
      <c r="D12" s="261" t="s">
        <v>302</v>
      </c>
      <c r="E12" s="262" t="s">
        <v>69</v>
      </c>
      <c r="F12" s="263" t="s">
        <v>69</v>
      </c>
      <c r="G12" s="264">
        <f>'Cesiones ind y colec'!S9</f>
        <v>86000</v>
      </c>
      <c r="H12" s="264">
        <f>'Cesiones ind y colec'!T9</f>
        <v>57130.607000000004</v>
      </c>
      <c r="I12" s="264">
        <f>'Cesiones ind y colec'!U9</f>
        <v>28869.392999999996</v>
      </c>
      <c r="J12" s="259">
        <f>'Cesiones ind y colec'!V9</f>
        <v>0.66430938372093029</v>
      </c>
    </row>
    <row r="13" spans="2:10" s="1" customFormat="1">
      <c r="B13" s="301"/>
      <c r="C13" s="298"/>
      <c r="D13" s="14" t="s">
        <v>11</v>
      </c>
      <c r="E13" s="97">
        <f>+'Artesanal Anchoveta XV-IV'!N10</f>
        <v>17571</v>
      </c>
      <c r="F13" s="126">
        <f>+'Artesanal Anchoveta XV-IV'!O10</f>
        <v>0</v>
      </c>
      <c r="G13" s="90">
        <f>+'Artesanal Anchoveta XV-IV'!P10</f>
        <v>17571</v>
      </c>
      <c r="H13" s="90">
        <f>+'Artesanal Anchoveta XV-IV'!Q10</f>
        <v>16377</v>
      </c>
      <c r="I13" s="90">
        <f t="shared" si="0"/>
        <v>1194</v>
      </c>
      <c r="J13" s="96">
        <f t="shared" si="1"/>
        <v>0.93204712310056348</v>
      </c>
    </row>
    <row r="14" spans="2:10" s="87" customFormat="1">
      <c r="B14" s="302"/>
      <c r="C14" s="304"/>
      <c r="D14" s="261" t="s">
        <v>303</v>
      </c>
      <c r="E14" s="262" t="s">
        <v>69</v>
      </c>
      <c r="F14" s="263" t="s">
        <v>69</v>
      </c>
      <c r="G14" s="264">
        <f>'Cesiones ind y colec'!S10</f>
        <v>7900.3960000000006</v>
      </c>
      <c r="H14" s="264">
        <f>'Cesiones ind y colec'!T10</f>
        <v>6405.1350000000002</v>
      </c>
      <c r="I14" s="264">
        <f>'Cesiones ind y colec'!U10</f>
        <v>1495.2610000000004</v>
      </c>
      <c r="J14" s="259">
        <f>'Cesiones ind y colec'!V10</f>
        <v>0.81073594285653527</v>
      </c>
    </row>
    <row r="15" spans="2:10" ht="15" customHeight="1">
      <c r="B15" s="301"/>
      <c r="C15" s="298"/>
      <c r="D15" s="14" t="s">
        <v>12</v>
      </c>
      <c r="E15" s="97">
        <f>'Artesanal Anchoveta XV-IV'!N11+'Artesanal Anchoveta XV-IV'!N12</f>
        <v>7531</v>
      </c>
      <c r="F15" s="126">
        <f>+'Artesanal Anchoveta XV-IV'!O11+'Artesanal Anchoveta XV-IV'!O12</f>
        <v>0</v>
      </c>
      <c r="G15" s="90">
        <f>+'Artesanal Anchoveta XV-IV'!P11+'Artesanal Anchoveta XV-IV'!P12</f>
        <v>7531</v>
      </c>
      <c r="H15" s="90">
        <f>+'Artesanal Anchoveta XV-IV'!Q11+'Artesanal Anchoveta XV-IV'!Q12</f>
        <v>7314.7530000000006</v>
      </c>
      <c r="I15" s="90">
        <f t="shared" si="0"/>
        <v>216.24699999999939</v>
      </c>
      <c r="J15" s="96">
        <f t="shared" si="1"/>
        <v>0.97128575222414026</v>
      </c>
    </row>
    <row r="16" spans="2:10" s="87" customFormat="1" ht="15" customHeight="1">
      <c r="B16" s="302"/>
      <c r="C16" s="304"/>
      <c r="D16" s="261" t="s">
        <v>304</v>
      </c>
      <c r="E16" s="262" t="s">
        <v>69</v>
      </c>
      <c r="F16" s="263" t="s">
        <v>69</v>
      </c>
      <c r="G16" s="264">
        <f>'Cesiones ind y colec'!S11</f>
        <v>17497.958999999999</v>
      </c>
      <c r="H16" s="264">
        <f>'Cesiones ind y colec'!T11</f>
        <v>16457.438999999998</v>
      </c>
      <c r="I16" s="264">
        <f>'Cesiones ind y colec'!U11</f>
        <v>1040.5200000000004</v>
      </c>
      <c r="J16" s="259">
        <f>'Cesiones ind y colec'!V11</f>
        <v>0.9405347789419326</v>
      </c>
    </row>
    <row r="17" spans="2:10">
      <c r="B17" s="301"/>
      <c r="C17" s="298"/>
      <c r="D17" s="14" t="s">
        <v>13</v>
      </c>
      <c r="E17" s="97">
        <f>+'Artesanal Anchoveta XV-IV'!F9</f>
        <v>1000</v>
      </c>
      <c r="F17" s="97">
        <f>+'Artesanal Anchoveta XV-IV'!G9</f>
        <v>0</v>
      </c>
      <c r="G17" s="97">
        <f>+'Artesanal Anchoveta XV-IV'!H9</f>
        <v>1000</v>
      </c>
      <c r="H17" s="97">
        <f>+'Artesanal Anchoveta XV-IV'!I9</f>
        <v>0</v>
      </c>
      <c r="I17" s="90">
        <f t="shared" si="0"/>
        <v>1000</v>
      </c>
      <c r="J17" s="96">
        <f t="shared" si="1"/>
        <v>0</v>
      </c>
    </row>
    <row r="18" spans="2:10">
      <c r="B18" s="301"/>
      <c r="C18" s="298"/>
      <c r="D18" s="14" t="s">
        <v>14</v>
      </c>
      <c r="E18" s="97">
        <f>+'Artesanal Anchoveta XV-IV'!F13</f>
        <v>500</v>
      </c>
      <c r="F18" s="97">
        <f>+'Artesanal Anchoveta XV-IV'!G13</f>
        <v>0</v>
      </c>
      <c r="G18" s="97">
        <f>+'Artesanal Anchoveta XV-IV'!H13</f>
        <v>500</v>
      </c>
      <c r="H18" s="97">
        <f>+'Artesanal Anchoveta XV-IV'!I13</f>
        <v>0</v>
      </c>
      <c r="I18" s="90">
        <f t="shared" si="0"/>
        <v>500</v>
      </c>
      <c r="J18" s="96">
        <f t="shared" si="1"/>
        <v>0</v>
      </c>
    </row>
    <row r="19" spans="2:10" ht="15" customHeight="1">
      <c r="B19" s="301"/>
      <c r="C19" s="298" t="s">
        <v>108</v>
      </c>
      <c r="D19" s="14" t="s">
        <v>9</v>
      </c>
      <c r="E19" s="97">
        <f>+'Artesanal S.española XV-IV'!M7</f>
        <v>630</v>
      </c>
      <c r="F19" s="127">
        <f>+'Artesanal S.española XV-IV'!N7</f>
        <v>0</v>
      </c>
      <c r="G19" s="97">
        <f>+'Artesanal S.española XV-IV'!O7</f>
        <v>630</v>
      </c>
      <c r="H19" s="97">
        <f>+'Artesanal S.española XV-IV'!P7</f>
        <v>0</v>
      </c>
      <c r="I19" s="97">
        <f t="shared" si="0"/>
        <v>630</v>
      </c>
      <c r="J19" s="124">
        <f t="shared" si="1"/>
        <v>0</v>
      </c>
    </row>
    <row r="20" spans="2:10">
      <c r="B20" s="301"/>
      <c r="C20" s="298"/>
      <c r="D20" s="14" t="s">
        <v>10</v>
      </c>
      <c r="E20" s="97">
        <f>+'Artesanal S.española XV-IV'!M8</f>
        <v>2385</v>
      </c>
      <c r="F20" s="127">
        <f>+'Artesanal S.española XV-IV'!N8</f>
        <v>0</v>
      </c>
      <c r="G20" s="97">
        <f>+'Artesanal S.española XV-IV'!O8</f>
        <v>2385</v>
      </c>
      <c r="H20" s="97">
        <f>+'Artesanal S.española XV-IV'!P8</f>
        <v>2303.6669999999999</v>
      </c>
      <c r="I20" s="97">
        <f t="shared" si="0"/>
        <v>81.333000000000084</v>
      </c>
      <c r="J20" s="124">
        <f t="shared" si="1"/>
        <v>0.96589811320754715</v>
      </c>
    </row>
    <row r="21" spans="2:10">
      <c r="B21" s="301"/>
      <c r="C21" s="298"/>
      <c r="D21" s="14" t="s">
        <v>11</v>
      </c>
      <c r="E21" s="97">
        <f>+'Artesanal S.española XV-IV'!M10</f>
        <v>650</v>
      </c>
      <c r="F21" s="127">
        <f>+'Artesanal S.española XV-IV'!N10</f>
        <v>0</v>
      </c>
      <c r="G21" s="97">
        <f>+'Artesanal S.española XV-IV'!O10</f>
        <v>650</v>
      </c>
      <c r="H21" s="97">
        <f>+'Artesanal S.española XV-IV'!P10</f>
        <v>186.20599999999999</v>
      </c>
      <c r="I21" s="97">
        <f t="shared" si="0"/>
        <v>463.79399999999998</v>
      </c>
      <c r="J21" s="124">
        <f t="shared" si="1"/>
        <v>0.2864707692307692</v>
      </c>
    </row>
    <row r="22" spans="2:10">
      <c r="B22" s="301"/>
      <c r="C22" s="298"/>
      <c r="D22" s="14" t="s">
        <v>12</v>
      </c>
      <c r="E22" s="97">
        <f>+'Artesanal S.española XV-IV'!M11</f>
        <v>650</v>
      </c>
      <c r="F22" s="127">
        <f>+'Artesanal S.española XV-IV'!N11</f>
        <v>0</v>
      </c>
      <c r="G22" s="97">
        <f>+'Artesanal S.española XV-IV'!O11</f>
        <v>650</v>
      </c>
      <c r="H22" s="97">
        <f>+'Artesanal S.española XV-IV'!P11</f>
        <v>131.29400000000001</v>
      </c>
      <c r="I22" s="97">
        <f t="shared" si="0"/>
        <v>518.70600000000002</v>
      </c>
      <c r="J22" s="124">
        <f t="shared" si="1"/>
        <v>0.20199076923076925</v>
      </c>
    </row>
    <row r="23" spans="2:10">
      <c r="B23" s="301"/>
      <c r="C23" s="298"/>
      <c r="D23" s="14" t="s">
        <v>13</v>
      </c>
      <c r="E23" s="97">
        <f>+'Artesanal S.española XV-IV'!F9</f>
        <v>500</v>
      </c>
      <c r="F23" s="97">
        <f>+'Artesanal S.española XV-IV'!G9</f>
        <v>0</v>
      </c>
      <c r="G23" s="97">
        <f>+'Artesanal S.española XV-IV'!H9</f>
        <v>500</v>
      </c>
      <c r="H23" s="97">
        <f>+'Artesanal S.española XV-IV'!I9</f>
        <v>0</v>
      </c>
      <c r="I23" s="90">
        <f t="shared" si="0"/>
        <v>500</v>
      </c>
      <c r="J23" s="96">
        <f t="shared" si="1"/>
        <v>0</v>
      </c>
    </row>
    <row r="24" spans="2:10">
      <c r="B24" s="301"/>
      <c r="C24" s="298"/>
      <c r="D24" s="14" t="s">
        <v>14</v>
      </c>
      <c r="E24" s="97">
        <f>+'Artesanal S.española XV-IV'!F12</f>
        <v>200</v>
      </c>
      <c r="F24" s="97">
        <f>+'Artesanal S.española XV-IV'!G12</f>
        <v>0</v>
      </c>
      <c r="G24" s="97">
        <f>+'Artesanal S.española XV-IV'!H12</f>
        <v>200</v>
      </c>
      <c r="H24" s="97">
        <f>+'Artesanal S.española XV-IV'!I12</f>
        <v>5.16</v>
      </c>
      <c r="I24" s="90">
        <f t="shared" si="0"/>
        <v>194.84</v>
      </c>
      <c r="J24" s="96">
        <f t="shared" si="1"/>
        <v>2.58E-2</v>
      </c>
    </row>
    <row r="25" spans="2:10" s="1" customFormat="1" ht="28.5" customHeight="1">
      <c r="B25" s="13" t="s">
        <v>110</v>
      </c>
      <c r="C25" s="305" t="s">
        <v>113</v>
      </c>
      <c r="D25" s="303" t="s">
        <v>15</v>
      </c>
      <c r="E25" s="97">
        <v>137</v>
      </c>
      <c r="F25" s="126">
        <v>0</v>
      </c>
      <c r="G25" s="90">
        <f t="shared" ref="G25:G30" si="2">+E25+F25</f>
        <v>137</v>
      </c>
      <c r="H25" s="90">
        <f>+'P. Investigación'!H9+'P. Investigación'!H26+'P. Investigación'!H33</f>
        <v>0</v>
      </c>
      <c r="I25" s="90">
        <f>+G25-H25</f>
        <v>137</v>
      </c>
      <c r="J25" s="96">
        <f>+H25/G25</f>
        <v>0</v>
      </c>
    </row>
    <row r="26" spans="2:10" s="87" customFormat="1" ht="18.75" customHeight="1">
      <c r="B26" s="173" t="s">
        <v>137</v>
      </c>
      <c r="C26" s="306"/>
      <c r="D26" s="303"/>
      <c r="E26" s="97">
        <v>4021</v>
      </c>
      <c r="F26" s="126">
        <v>0</v>
      </c>
      <c r="G26" s="90">
        <f>+E26+F26</f>
        <v>4021</v>
      </c>
      <c r="H26" s="90"/>
      <c r="I26" s="90">
        <f>+G26-H26</f>
        <v>4021</v>
      </c>
      <c r="J26" s="96">
        <f>+H26/G26</f>
        <v>0</v>
      </c>
    </row>
    <row r="27" spans="2:10" s="1" customFormat="1">
      <c r="B27" s="13" t="s">
        <v>112</v>
      </c>
      <c r="C27" s="86" t="s">
        <v>107</v>
      </c>
      <c r="D27" s="303"/>
      <c r="E27" s="97">
        <v>10052</v>
      </c>
      <c r="F27" s="126">
        <f>-10052</f>
        <v>-10052</v>
      </c>
      <c r="G27" s="97">
        <f>+E27+F27</f>
        <v>0</v>
      </c>
      <c r="H27" s="90">
        <v>0</v>
      </c>
      <c r="I27" s="90">
        <v>0</v>
      </c>
      <c r="J27" s="96">
        <v>0</v>
      </c>
    </row>
    <row r="28" spans="2:10" s="1" customFormat="1">
      <c r="B28" s="13" t="s">
        <v>110</v>
      </c>
      <c r="C28" s="86" t="s">
        <v>106</v>
      </c>
      <c r="D28" s="303" t="s">
        <v>16</v>
      </c>
      <c r="E28" s="97">
        <v>83</v>
      </c>
      <c r="F28" s="126">
        <v>0</v>
      </c>
      <c r="G28" s="90">
        <f t="shared" si="2"/>
        <v>83</v>
      </c>
      <c r="H28" s="90">
        <f>+'P. Investigación'!H19+'P. Investigación'!H42</f>
        <v>0</v>
      </c>
      <c r="I28" s="90">
        <f>+G28-H28</f>
        <v>83</v>
      </c>
      <c r="J28" s="96">
        <f>+H28/G28</f>
        <v>0</v>
      </c>
    </row>
    <row r="29" spans="2:10" s="87" customFormat="1">
      <c r="B29" s="173" t="s">
        <v>137</v>
      </c>
      <c r="C29" s="86" t="s">
        <v>107</v>
      </c>
      <c r="D29" s="303"/>
      <c r="E29" s="97">
        <v>0</v>
      </c>
      <c r="F29" s="126"/>
      <c r="G29" s="90">
        <f t="shared" si="2"/>
        <v>0</v>
      </c>
      <c r="H29" s="90"/>
      <c r="I29" s="90">
        <f>+G29-H29</f>
        <v>0</v>
      </c>
      <c r="J29" s="96" t="e">
        <f>+H29/G29</f>
        <v>#DIV/0!</v>
      </c>
    </row>
    <row r="30" spans="2:10" s="1" customFormat="1">
      <c r="B30" s="13" t="s">
        <v>110</v>
      </c>
      <c r="C30" s="86" t="s">
        <v>108</v>
      </c>
      <c r="D30" s="303"/>
      <c r="E30" s="97">
        <v>0</v>
      </c>
      <c r="F30" s="126">
        <v>0</v>
      </c>
      <c r="G30" s="90">
        <f t="shared" si="2"/>
        <v>0</v>
      </c>
      <c r="H30" s="90">
        <v>0</v>
      </c>
      <c r="I30" s="90">
        <v>0</v>
      </c>
      <c r="J30" s="96">
        <v>0</v>
      </c>
    </row>
    <row r="31" spans="2:10">
      <c r="B31" s="301" t="s">
        <v>105</v>
      </c>
      <c r="C31" s="298" t="s">
        <v>106</v>
      </c>
      <c r="D31" s="17" t="s">
        <v>15</v>
      </c>
      <c r="E31" s="97">
        <f>Industrial!E16</f>
        <v>846420.83100000001</v>
      </c>
      <c r="F31" s="126">
        <f>+Industrial!L16</f>
        <v>-289819.14999999997</v>
      </c>
      <c r="G31" s="90">
        <f>+Industrial!M16</f>
        <v>556601.6810000001</v>
      </c>
      <c r="H31" s="90">
        <f>+Industrial!N16</f>
        <v>62873.06</v>
      </c>
      <c r="I31" s="90">
        <f>+G31-H31</f>
        <v>493728.6210000001</v>
      </c>
      <c r="J31" s="96">
        <f>+H31/G31</f>
        <v>0.11295880365837413</v>
      </c>
    </row>
    <row r="32" spans="2:10">
      <c r="B32" s="301"/>
      <c r="C32" s="298"/>
      <c r="D32" s="17" t="s">
        <v>16</v>
      </c>
      <c r="E32" s="97">
        <f>+Industrial!K33</f>
        <v>25602.004000000001</v>
      </c>
      <c r="F32" s="126">
        <f>+Industrial!L33</f>
        <v>-25398.354999999996</v>
      </c>
      <c r="G32" s="90">
        <f>+Industrial!M33</f>
        <v>203.64899999999682</v>
      </c>
      <c r="H32" s="90">
        <f>+Industrial!N33</f>
        <v>0</v>
      </c>
      <c r="I32" s="90">
        <f>+G32-H32</f>
        <v>203.64899999999682</v>
      </c>
      <c r="J32" s="96">
        <f>+H32/G32</f>
        <v>0</v>
      </c>
    </row>
    <row r="33" spans="2:10">
      <c r="B33" s="301"/>
      <c r="C33" s="298" t="s">
        <v>114</v>
      </c>
      <c r="D33" s="17" t="s">
        <v>15</v>
      </c>
      <c r="E33" s="97">
        <f>Industrial!E37</f>
        <v>1485</v>
      </c>
      <c r="F33" s="126">
        <f>+Industrial!L37</f>
        <v>0</v>
      </c>
      <c r="G33" s="90">
        <f>+Industrial!M37</f>
        <v>1485</v>
      </c>
      <c r="H33" s="90">
        <f>+Industrial!N37</f>
        <v>0</v>
      </c>
      <c r="I33" s="90">
        <f>+G33-H33</f>
        <v>1485</v>
      </c>
      <c r="J33" s="96">
        <f>+H33/G33</f>
        <v>0</v>
      </c>
    </row>
    <row r="34" spans="2:10">
      <c r="B34" s="301"/>
      <c r="C34" s="298"/>
      <c r="D34" s="17" t="s">
        <v>16</v>
      </c>
      <c r="E34" s="97">
        <f>+Industrial!K48</f>
        <v>1500.0000000000002</v>
      </c>
      <c r="F34" s="126">
        <f>+Industrial!L48</f>
        <v>-60</v>
      </c>
      <c r="G34" s="90">
        <f>+Industrial!M48</f>
        <v>1440.0000000000002</v>
      </c>
      <c r="H34" s="90">
        <f>+Industrial!N48</f>
        <v>0</v>
      </c>
      <c r="I34" s="90">
        <f>+G34-H34</f>
        <v>1440.0000000000002</v>
      </c>
      <c r="J34" s="96">
        <f>+H34/G34</f>
        <v>0</v>
      </c>
    </row>
    <row r="35" spans="2:10" s="87" customFormat="1">
      <c r="B35" s="294" t="s">
        <v>305</v>
      </c>
      <c r="C35" s="130" t="s">
        <v>107</v>
      </c>
      <c r="D35" s="295" t="s">
        <v>127</v>
      </c>
      <c r="E35" s="97">
        <v>0</v>
      </c>
      <c r="F35" s="126">
        <f>+'Cesiones ind y colec'!S5</f>
        <v>315217.50499999995</v>
      </c>
      <c r="G35" s="90">
        <f>+'Cesiones ind y colec'!S5</f>
        <v>315217.50499999995</v>
      </c>
      <c r="H35" s="90">
        <f>+'Cesiones ind y colec'!T5</f>
        <v>261594.86400000006</v>
      </c>
      <c r="I35" s="90">
        <f>+'Cesiones ind y colec'!U5</f>
        <v>53622.640999999887</v>
      </c>
      <c r="J35" s="96">
        <f>+'Cesiones ind y colec'!V5</f>
        <v>0.82988685542701734</v>
      </c>
    </row>
    <row r="36" spans="2:10" s="87" customFormat="1">
      <c r="B36" s="294"/>
      <c r="C36" s="130" t="s">
        <v>108</v>
      </c>
      <c r="D36" s="296"/>
      <c r="E36" s="97">
        <v>0</v>
      </c>
      <c r="F36" s="126">
        <f>+'Cesiones ind y colec'!S6</f>
        <v>60</v>
      </c>
      <c r="G36" s="90">
        <f>+'Cesiones ind y colec'!S6</f>
        <v>60</v>
      </c>
      <c r="H36" s="90">
        <f>+'Cesiones ind y colec'!T6</f>
        <v>0</v>
      </c>
      <c r="I36" s="90">
        <f>+'Cesiones ind y colec'!U6</f>
        <v>60</v>
      </c>
      <c r="J36" s="96">
        <f>+'Cesiones ind y colec'!V6</f>
        <v>0</v>
      </c>
    </row>
    <row r="37" spans="2:10">
      <c r="E37" s="98">
        <f>SUM(E9:E36)</f>
        <v>1064486.835</v>
      </c>
      <c r="F37" s="93">
        <f>SUM(F9:F36)</f>
        <v>0</v>
      </c>
      <c r="G37" s="138"/>
    </row>
  </sheetData>
  <mergeCells count="14">
    <mergeCell ref="B35:B36"/>
    <mergeCell ref="D35:D36"/>
    <mergeCell ref="B2:J3"/>
    <mergeCell ref="C33:C34"/>
    <mergeCell ref="C4:J4"/>
    <mergeCell ref="C5:J5"/>
    <mergeCell ref="B31:B34"/>
    <mergeCell ref="B9:B24"/>
    <mergeCell ref="D25:D27"/>
    <mergeCell ref="D28:D30"/>
    <mergeCell ref="C9:C18"/>
    <mergeCell ref="C19:C24"/>
    <mergeCell ref="C31:C32"/>
    <mergeCell ref="C25:C2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zoomScale="90" zoomScaleNormal="90" workbookViewId="0">
      <selection activeCell="P38" sqref="P38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78"/>
  </cols>
  <sheetData>
    <row r="1" spans="1:17">
      <c r="A1" s="82" t="s">
        <v>70</v>
      </c>
      <c r="B1" s="82" t="s">
        <v>71</v>
      </c>
      <c r="C1" s="82" t="s">
        <v>72</v>
      </c>
      <c r="D1" s="82" t="s">
        <v>73</v>
      </c>
      <c r="E1" s="80" t="s">
        <v>74</v>
      </c>
      <c r="F1" s="82" t="s">
        <v>75</v>
      </c>
      <c r="G1" s="82" t="s">
        <v>76</v>
      </c>
      <c r="H1" s="82" t="s">
        <v>77</v>
      </c>
      <c r="I1" s="82" t="s">
        <v>78</v>
      </c>
      <c r="J1" s="82" t="s">
        <v>79</v>
      </c>
      <c r="K1" s="82" t="s">
        <v>144</v>
      </c>
      <c r="L1" s="83" t="s">
        <v>80</v>
      </c>
      <c r="M1" s="84" t="s">
        <v>81</v>
      </c>
      <c r="N1" s="122" t="s">
        <v>82</v>
      </c>
      <c r="O1" s="85" t="s">
        <v>83</v>
      </c>
      <c r="P1" s="2" t="s">
        <v>84</v>
      </c>
      <c r="Q1" s="2" t="s">
        <v>85</v>
      </c>
    </row>
    <row r="2" spans="1:17">
      <c r="A2" s="231" t="s">
        <v>86</v>
      </c>
      <c r="B2" s="231" t="s">
        <v>86</v>
      </c>
      <c r="C2" s="231" t="s">
        <v>87</v>
      </c>
      <c r="D2" s="231" t="s">
        <v>88</v>
      </c>
      <c r="E2" s="231" t="str">
        <f>+Industrial!C11</f>
        <v>ARICA SEAFOOD PRODUCER S.A.</v>
      </c>
      <c r="F2" s="231" t="s">
        <v>89</v>
      </c>
      <c r="G2" s="231" t="s">
        <v>91</v>
      </c>
      <c r="H2" s="231">
        <f>+Industrial!E11</f>
        <v>7454.1760000000004</v>
      </c>
      <c r="I2" s="87">
        <f>+Industrial!F11</f>
        <v>-5533.4349999999995</v>
      </c>
      <c r="J2" s="87">
        <f>+Industrial!G11</f>
        <v>1920.7410000000009</v>
      </c>
      <c r="K2" s="87">
        <f>+Industrial!H11</f>
        <v>0</v>
      </c>
      <c r="L2" s="87">
        <f>+Industrial!I11</f>
        <v>1920.7410000000009</v>
      </c>
      <c r="M2" s="27">
        <f>+Industrial!J11</f>
        <v>0</v>
      </c>
      <c r="N2" s="123" t="s">
        <v>69</v>
      </c>
      <c r="O2" s="78">
        <f>+Resumen!C$4</f>
        <v>44926</v>
      </c>
      <c r="P2">
        <v>2022</v>
      </c>
    </row>
    <row r="3" spans="1:17">
      <c r="A3" s="231" t="s">
        <v>86</v>
      </c>
      <c r="B3" s="231" t="s">
        <v>86</v>
      </c>
      <c r="C3" s="231" t="s">
        <v>87</v>
      </c>
      <c r="D3" s="231" t="s">
        <v>88</v>
      </c>
      <c r="E3" s="231" t="str">
        <f>+Industrial!C12</f>
        <v>CAMANCHACA S.A</v>
      </c>
      <c r="F3" s="231" t="s">
        <v>89</v>
      </c>
      <c r="G3" s="231" t="s">
        <v>91</v>
      </c>
      <c r="H3" s="231">
        <f>+Industrial!E12</f>
        <v>204642.50599999999</v>
      </c>
      <c r="I3" s="87">
        <f>+Industrial!F12</f>
        <v>-36800</v>
      </c>
      <c r="J3" s="87">
        <f>+Industrial!G12</f>
        <v>167842.50599999999</v>
      </c>
      <c r="K3" s="87">
        <f>+Industrial!H12</f>
        <v>15493.045</v>
      </c>
      <c r="L3" s="87">
        <f>+Industrial!I12</f>
        <v>152349.46099999998</v>
      </c>
      <c r="M3" s="27">
        <f>+Industrial!J12</f>
        <v>9.2307040506175483E-2</v>
      </c>
      <c r="N3" s="123" t="s">
        <v>69</v>
      </c>
      <c r="O3" s="78">
        <f>+Resumen!C$4</f>
        <v>44926</v>
      </c>
      <c r="P3" s="87">
        <v>2022</v>
      </c>
    </row>
    <row r="4" spans="1:17" s="87" customFormat="1">
      <c r="A4" s="231" t="s">
        <v>86</v>
      </c>
      <c r="B4" s="231" t="s">
        <v>86</v>
      </c>
      <c r="C4" s="231" t="s">
        <v>87</v>
      </c>
      <c r="D4" s="231" t="s">
        <v>88</v>
      </c>
      <c r="E4" s="231" t="s">
        <v>135</v>
      </c>
      <c r="F4" s="231" t="s">
        <v>89</v>
      </c>
      <c r="G4" s="231" t="s">
        <v>91</v>
      </c>
      <c r="H4" s="231">
        <f>+Industrial!E13</f>
        <v>26239.050999999999</v>
      </c>
      <c r="I4" s="87">
        <f>+Industrial!F13</f>
        <v>-26238.959999999999</v>
      </c>
      <c r="J4" s="87">
        <f>+Industrial!G13</f>
        <v>9.1000000000349246E-2</v>
      </c>
      <c r="K4" s="87">
        <f>+Industrial!H13</f>
        <v>0</v>
      </c>
      <c r="L4" s="87">
        <f>+Industrial!I13</f>
        <v>9.1000000000349246E-2</v>
      </c>
      <c r="M4" s="27">
        <f>+Industrial!J13</f>
        <v>0</v>
      </c>
      <c r="N4" s="123" t="s">
        <v>69</v>
      </c>
      <c r="O4" s="78">
        <f>+Resumen!C$4</f>
        <v>44926</v>
      </c>
      <c r="P4" s="87">
        <v>2022</v>
      </c>
    </row>
    <row r="5" spans="1:17" s="87" customFormat="1">
      <c r="A5" s="231" t="s">
        <v>86</v>
      </c>
      <c r="B5" s="231" t="s">
        <v>86</v>
      </c>
      <c r="C5" s="231" t="s">
        <v>87</v>
      </c>
      <c r="D5" s="231" t="s">
        <v>88</v>
      </c>
      <c r="E5" s="231" t="s">
        <v>136</v>
      </c>
      <c r="F5" s="231" t="s">
        <v>89</v>
      </c>
      <c r="G5" s="231" t="s">
        <v>91</v>
      </c>
      <c r="H5" s="231">
        <f>+Industrial!E14</f>
        <v>4655.3159999999998</v>
      </c>
      <c r="I5" s="87">
        <f>+Industrial!F14</f>
        <v>-4392.9250000000002</v>
      </c>
      <c r="J5" s="87">
        <f>+Industrial!G14</f>
        <v>262.39099999999962</v>
      </c>
      <c r="K5" s="87">
        <f>+Industrial!H14</f>
        <v>0</v>
      </c>
      <c r="L5" s="87">
        <f>+Industrial!I14</f>
        <v>262.39099999999962</v>
      </c>
      <c r="M5" s="27">
        <f>+Industrial!J14</f>
        <v>0</v>
      </c>
      <c r="N5" s="123" t="s">
        <v>69</v>
      </c>
      <c r="O5" s="78">
        <f>+Resumen!C$4</f>
        <v>44926</v>
      </c>
      <c r="P5" s="87">
        <v>2022</v>
      </c>
    </row>
    <row r="6" spans="1:17">
      <c r="A6" s="231" t="s">
        <v>86</v>
      </c>
      <c r="B6" s="231" t="s">
        <v>86</v>
      </c>
      <c r="C6" s="231" t="s">
        <v>87</v>
      </c>
      <c r="D6" s="231" t="s">
        <v>88</v>
      </c>
      <c r="E6" s="231" t="str">
        <f>+Industrial!C15</f>
        <v>CORPESCA S.A</v>
      </c>
      <c r="F6" s="231" t="s">
        <v>89</v>
      </c>
      <c r="G6" s="231" t="s">
        <v>91</v>
      </c>
      <c r="H6" s="231">
        <f>+Industrial!E15</f>
        <v>603429.78200000001</v>
      </c>
      <c r="I6" s="87">
        <f>+Industrial!F15</f>
        <v>-216853.83</v>
      </c>
      <c r="J6" s="87">
        <f>+Industrial!G15</f>
        <v>386575.95200000005</v>
      </c>
      <c r="K6" s="87">
        <f>+Industrial!H15</f>
        <v>47380.014999999999</v>
      </c>
      <c r="L6" s="87">
        <f>+Industrial!I15</f>
        <v>339195.93700000003</v>
      </c>
      <c r="M6" s="27">
        <f>+Industrial!J15</f>
        <v>0.12256327574147705</v>
      </c>
      <c r="N6" s="123" t="s">
        <v>69</v>
      </c>
      <c r="O6" s="78">
        <f>+Resumen!C$4</f>
        <v>44926</v>
      </c>
      <c r="P6" s="87">
        <v>2022</v>
      </c>
    </row>
    <row r="7" spans="1:17" s="235" customFormat="1">
      <c r="A7" s="239" t="s">
        <v>86</v>
      </c>
      <c r="B7" s="239" t="s">
        <v>86</v>
      </c>
      <c r="C7" s="239" t="s">
        <v>87</v>
      </c>
      <c r="D7" s="239" t="s">
        <v>88</v>
      </c>
      <c r="E7" s="239" t="s">
        <v>93</v>
      </c>
      <c r="F7" s="239" t="s">
        <v>89</v>
      </c>
      <c r="G7" s="239" t="s">
        <v>91</v>
      </c>
      <c r="H7" s="243">
        <f>+Industrial!K16</f>
        <v>846420.83100000001</v>
      </c>
      <c r="I7" s="235">
        <f>+Industrial!L16</f>
        <v>-289819.14999999997</v>
      </c>
      <c r="J7" s="235">
        <f>+Industrial!M16</f>
        <v>556601.6810000001</v>
      </c>
      <c r="K7" s="235">
        <f>+Industrial!N16</f>
        <v>62873.06</v>
      </c>
      <c r="L7" s="235">
        <f>+Industrial!O16</f>
        <v>493728.62100000004</v>
      </c>
      <c r="M7" s="236">
        <f>+Industrial!P16</f>
        <v>0.11295880365837413</v>
      </c>
      <c r="N7" s="237" t="s">
        <v>69</v>
      </c>
      <c r="O7" s="238">
        <f>+Resumen!C$4</f>
        <v>44926</v>
      </c>
      <c r="P7" s="87">
        <v>2022</v>
      </c>
    </row>
    <row r="8" spans="1:17">
      <c r="A8" s="231" t="s">
        <v>86</v>
      </c>
      <c r="B8" s="231" t="s">
        <v>86</v>
      </c>
      <c r="C8" s="231" t="s">
        <v>92</v>
      </c>
      <c r="D8" s="231" t="s">
        <v>88</v>
      </c>
      <c r="E8" s="231" t="str">
        <f>+Industrial!C17</f>
        <v>ABASTECIMIENTO DEL PACIFICO S.A.</v>
      </c>
      <c r="F8" s="231" t="s">
        <v>89</v>
      </c>
      <c r="G8" s="231" t="s">
        <v>91</v>
      </c>
      <c r="H8" s="231">
        <f>+Industrial!E17</f>
        <v>268.82100000000003</v>
      </c>
      <c r="I8" s="87">
        <f>+Industrial!F17</f>
        <v>-268.82100000000003</v>
      </c>
      <c r="J8" s="87">
        <f>+Industrial!G17</f>
        <v>0</v>
      </c>
      <c r="K8" s="87">
        <f>+Industrial!H17</f>
        <v>0</v>
      </c>
      <c r="L8" s="87">
        <f>+Industrial!I17</f>
        <v>0</v>
      </c>
      <c r="M8" s="27" t="e">
        <f>+Industrial!J17</f>
        <v>#DIV/0!</v>
      </c>
      <c r="N8" s="123" t="s">
        <v>69</v>
      </c>
      <c r="O8" s="78">
        <f>+Resumen!C$4</f>
        <v>44926</v>
      </c>
      <c r="P8" s="87">
        <v>2022</v>
      </c>
    </row>
    <row r="9" spans="1:17">
      <c r="A9" s="231" t="s">
        <v>86</v>
      </c>
      <c r="B9" s="231" t="s">
        <v>86</v>
      </c>
      <c r="C9" s="231" t="s">
        <v>92</v>
      </c>
      <c r="D9" s="231" t="s">
        <v>88</v>
      </c>
      <c r="E9" s="231" t="str">
        <f>+Industrial!C18</f>
        <v xml:space="preserve">ALIMENTOS MARINOS S.A.         </v>
      </c>
      <c r="F9" s="231" t="s">
        <v>89</v>
      </c>
      <c r="G9" s="231" t="s">
        <v>91</v>
      </c>
      <c r="H9" s="231">
        <f>+Industrial!E18</f>
        <v>1433.64</v>
      </c>
      <c r="I9" s="87">
        <f>+Industrial!F18</f>
        <v>-1430</v>
      </c>
      <c r="J9" s="87">
        <f>+Industrial!G18</f>
        <v>3.6400000000001</v>
      </c>
      <c r="K9" s="87">
        <f>+Industrial!H18</f>
        <v>0</v>
      </c>
      <c r="L9" s="87">
        <f>+Industrial!I18</f>
        <v>3.6400000000001</v>
      </c>
      <c r="M9" s="27">
        <f>+Industrial!J18</f>
        <v>0</v>
      </c>
      <c r="N9" s="123" t="s">
        <v>69</v>
      </c>
      <c r="O9" s="78">
        <f>+Resumen!C$4</f>
        <v>44926</v>
      </c>
      <c r="P9" s="87">
        <v>2022</v>
      </c>
    </row>
    <row r="10" spans="1:17">
      <c r="A10" s="231" t="s">
        <v>86</v>
      </c>
      <c r="B10" s="231" t="s">
        <v>86</v>
      </c>
      <c r="C10" s="231" t="s">
        <v>92</v>
      </c>
      <c r="D10" s="231" t="s">
        <v>88</v>
      </c>
      <c r="E10" s="231" t="str">
        <f>+Industrial!C19</f>
        <v>ATILIO REYES BARRERA</v>
      </c>
      <c r="F10" s="231" t="s">
        <v>89</v>
      </c>
      <c r="G10" s="231" t="s">
        <v>91</v>
      </c>
      <c r="H10" s="231">
        <f>+Industrial!E19</f>
        <v>192.01499999999999</v>
      </c>
      <c r="I10" s="87">
        <f>+Industrial!F19</f>
        <v>-192.01499999999999</v>
      </c>
      <c r="J10" s="87">
        <f>+Industrial!G19</f>
        <v>0</v>
      </c>
      <c r="K10" s="87">
        <f>+Industrial!H19</f>
        <v>0</v>
      </c>
      <c r="L10" s="87">
        <f>+Industrial!I19</f>
        <v>0</v>
      </c>
      <c r="M10" s="27" t="e">
        <f>+Industrial!J19</f>
        <v>#DIV/0!</v>
      </c>
      <c r="N10" s="123" t="s">
        <v>69</v>
      </c>
      <c r="O10" s="78">
        <f>+Resumen!C$4</f>
        <v>44926</v>
      </c>
      <c r="P10" s="87">
        <v>2022</v>
      </c>
    </row>
    <row r="11" spans="1:17">
      <c r="A11" s="231" t="s">
        <v>86</v>
      </c>
      <c r="B11" s="231" t="s">
        <v>86</v>
      </c>
      <c r="C11" s="231" t="s">
        <v>92</v>
      </c>
      <c r="D11" s="231" t="s">
        <v>88</v>
      </c>
      <c r="E11" s="231" t="str">
        <f>+Industrial!C20</f>
        <v xml:space="preserve">BAHIA CALDERA S.A. PESQ.          </v>
      </c>
      <c r="F11" s="231" t="s">
        <v>89</v>
      </c>
      <c r="G11" s="231" t="s">
        <v>91</v>
      </c>
      <c r="H11" s="231">
        <f>+Industrial!E20</f>
        <v>11200.321000000004</v>
      </c>
      <c r="I11" s="87">
        <f>+Industrial!F20</f>
        <v>-11200.321</v>
      </c>
      <c r="J11" s="87">
        <f>+Industrial!G20</f>
        <v>0</v>
      </c>
      <c r="K11" s="87">
        <f>+Industrial!H20</f>
        <v>0</v>
      </c>
      <c r="L11" s="87">
        <f>+Industrial!I20</f>
        <v>0</v>
      </c>
      <c r="M11" s="27" t="e">
        <f>+Industrial!J20</f>
        <v>#DIV/0!</v>
      </c>
      <c r="N11" s="123" t="s">
        <v>69</v>
      </c>
      <c r="O11" s="78">
        <f>+Resumen!C$4</f>
        <v>44926</v>
      </c>
      <c r="P11" s="87">
        <v>2022</v>
      </c>
    </row>
    <row r="12" spans="1:17">
      <c r="A12" s="231" t="s">
        <v>86</v>
      </c>
      <c r="B12" s="231" t="s">
        <v>86</v>
      </c>
      <c r="C12" s="231" t="s">
        <v>92</v>
      </c>
      <c r="D12" s="231" t="s">
        <v>88</v>
      </c>
      <c r="E12" s="231" t="str">
        <f>+Industrial!C21</f>
        <v xml:space="preserve">BLUMAR S.A.                                              </v>
      </c>
      <c r="F12" s="231" t="s">
        <v>89</v>
      </c>
      <c r="G12" s="231" t="s">
        <v>91</v>
      </c>
      <c r="H12" s="231">
        <f>+Industrial!E21</f>
        <v>82.7</v>
      </c>
      <c r="I12" s="87">
        <f>+Industrial!F21</f>
        <v>0</v>
      </c>
      <c r="J12" s="87">
        <f>+Industrial!G21</f>
        <v>82.7</v>
      </c>
      <c r="K12" s="87">
        <f>+Industrial!H21</f>
        <v>0</v>
      </c>
      <c r="L12" s="87">
        <f>+Industrial!I21</f>
        <v>82.7</v>
      </c>
      <c r="M12" s="27">
        <f>+Industrial!J21</f>
        <v>0</v>
      </c>
      <c r="N12" s="123" t="s">
        <v>69</v>
      </c>
      <c r="O12" s="78">
        <f>+Resumen!C$4</f>
        <v>44926</v>
      </c>
      <c r="P12" s="87">
        <v>2022</v>
      </c>
    </row>
    <row r="13" spans="1:17">
      <c r="A13" s="231" t="s">
        <v>86</v>
      </c>
      <c r="B13" s="231" t="s">
        <v>86</v>
      </c>
      <c r="C13" s="231" t="s">
        <v>92</v>
      </c>
      <c r="D13" s="231" t="s">
        <v>88</v>
      </c>
      <c r="E13" s="231" t="str">
        <f>+Industrial!C22</f>
        <v xml:space="preserve">CAMANCHACA PESCA SUR S.A.  </v>
      </c>
      <c r="F13" s="231" t="s">
        <v>89</v>
      </c>
      <c r="G13" s="231" t="s">
        <v>91</v>
      </c>
      <c r="H13" s="231">
        <f>+Industrial!E22</f>
        <v>692.95899999999995</v>
      </c>
      <c r="I13" s="87">
        <f>+Industrial!F22</f>
        <v>-692.95899999999995</v>
      </c>
      <c r="J13" s="87">
        <f>+Industrial!G22</f>
        <v>0</v>
      </c>
      <c r="K13" s="87">
        <f>+Industrial!H22</f>
        <v>0</v>
      </c>
      <c r="L13" s="87">
        <f>+Industrial!I22</f>
        <v>0</v>
      </c>
      <c r="M13" s="27" t="e">
        <f>+Industrial!J22</f>
        <v>#DIV/0!</v>
      </c>
      <c r="N13" s="123" t="s">
        <v>69</v>
      </c>
      <c r="O13" s="78">
        <f>+Resumen!C$4</f>
        <v>44926</v>
      </c>
      <c r="P13" s="87">
        <v>2022</v>
      </c>
    </row>
    <row r="14" spans="1:17">
      <c r="A14" s="231" t="s">
        <v>86</v>
      </c>
      <c r="B14" s="231" t="s">
        <v>86</v>
      </c>
      <c r="C14" s="231" t="s">
        <v>92</v>
      </c>
      <c r="D14" s="231" t="s">
        <v>88</v>
      </c>
      <c r="E14" s="231" t="str">
        <f>+Industrial!C23</f>
        <v xml:space="preserve">CAMANCHACA S.A. CIA. PESQ    </v>
      </c>
      <c r="F14" s="231" t="s">
        <v>89</v>
      </c>
      <c r="G14" s="231" t="s">
        <v>91</v>
      </c>
      <c r="H14" s="231">
        <f>+Industrial!E23</f>
        <v>19.803000000000001</v>
      </c>
      <c r="I14" s="87">
        <f>+Industrial!F23</f>
        <v>0</v>
      </c>
      <c r="J14" s="87">
        <f>+Industrial!G23</f>
        <v>19.803000000000001</v>
      </c>
      <c r="K14" s="87">
        <f>+Industrial!H23</f>
        <v>0</v>
      </c>
      <c r="L14" s="87">
        <f>+Industrial!I23</f>
        <v>19.803000000000001</v>
      </c>
      <c r="M14" s="27">
        <f>+Industrial!J23</f>
        <v>0</v>
      </c>
      <c r="N14" s="123" t="s">
        <v>69</v>
      </c>
      <c r="O14" s="78">
        <f>+Resumen!C$4</f>
        <v>44926</v>
      </c>
      <c r="P14" s="87">
        <v>2022</v>
      </c>
    </row>
    <row r="15" spans="1:17">
      <c r="A15" s="231" t="s">
        <v>86</v>
      </c>
      <c r="B15" s="231" t="s">
        <v>86</v>
      </c>
      <c r="C15" s="231" t="s">
        <v>92</v>
      </c>
      <c r="D15" s="231" t="s">
        <v>88</v>
      </c>
      <c r="E15" s="231" t="str">
        <f>+Industrial!C24</f>
        <v>ERIC ARACENA REYNUABA</v>
      </c>
      <c r="F15" s="231" t="s">
        <v>89</v>
      </c>
      <c r="G15" s="231" t="s">
        <v>91</v>
      </c>
      <c r="H15" s="231">
        <f>+Industrial!E24</f>
        <v>102.408</v>
      </c>
      <c r="I15" s="87">
        <f>+Industrial!F24</f>
        <v>-102.408</v>
      </c>
      <c r="J15" s="87">
        <f>+Industrial!G24</f>
        <v>0</v>
      </c>
      <c r="K15" s="87">
        <f>+Industrial!H24</f>
        <v>0</v>
      </c>
      <c r="L15" s="87">
        <f>+Industrial!I24</f>
        <v>0</v>
      </c>
      <c r="M15" s="27">
        <f>+Industrial!J24</f>
        <v>0</v>
      </c>
      <c r="N15" s="123" t="s">
        <v>69</v>
      </c>
      <c r="O15" s="78">
        <f>+Resumen!C$4</f>
        <v>44926</v>
      </c>
      <c r="P15" s="87">
        <v>2022</v>
      </c>
    </row>
    <row r="16" spans="1:17">
      <c r="A16" s="231" t="s">
        <v>86</v>
      </c>
      <c r="B16" s="231" t="s">
        <v>86</v>
      </c>
      <c r="C16" s="231" t="s">
        <v>92</v>
      </c>
      <c r="D16" s="231" t="s">
        <v>88</v>
      </c>
      <c r="E16" s="231" t="str">
        <f>+Industrial!C25</f>
        <v>FOODCORP CHILE S.A.</v>
      </c>
      <c r="F16" s="231" t="s">
        <v>89</v>
      </c>
      <c r="G16" s="231" t="s">
        <v>91</v>
      </c>
      <c r="H16" s="231">
        <f>+Industrial!E25</f>
        <v>64.004999999999995</v>
      </c>
      <c r="I16" s="87">
        <f>+Industrial!F25</f>
        <v>0</v>
      </c>
      <c r="J16" s="87">
        <f>+Industrial!G25</f>
        <v>64.004999999999995</v>
      </c>
      <c r="K16" s="87">
        <f>+Industrial!H25</f>
        <v>0</v>
      </c>
      <c r="L16" s="87">
        <f>+Industrial!I25</f>
        <v>64.004999999999995</v>
      </c>
      <c r="M16" s="27">
        <f>+Industrial!J25</f>
        <v>0</v>
      </c>
      <c r="N16" s="123" t="s">
        <v>69</v>
      </c>
      <c r="O16" s="78">
        <f>+Resumen!C$4</f>
        <v>44926</v>
      </c>
      <c r="P16" s="87">
        <v>2022</v>
      </c>
    </row>
    <row r="17" spans="1:16">
      <c r="A17" s="231" t="s">
        <v>86</v>
      </c>
      <c r="B17" s="231" t="s">
        <v>86</v>
      </c>
      <c r="C17" s="231" t="s">
        <v>92</v>
      </c>
      <c r="D17" s="231" t="s">
        <v>88</v>
      </c>
      <c r="E17" s="231" t="str">
        <f>+Industrial!C26</f>
        <v>GIULLIANO REYNUABA SALAS</v>
      </c>
      <c r="F17" s="231" t="s">
        <v>89</v>
      </c>
      <c r="G17" s="231" t="s">
        <v>91</v>
      </c>
      <c r="H17" s="231">
        <f>+Industrial!E26</f>
        <v>102.408</v>
      </c>
      <c r="I17" s="87">
        <f>+Industrial!F26</f>
        <v>-102.408</v>
      </c>
      <c r="J17" s="87">
        <f>+Industrial!G26</f>
        <v>0</v>
      </c>
      <c r="K17" s="87">
        <f>+Industrial!H26</f>
        <v>0</v>
      </c>
      <c r="L17" s="87">
        <f>+Industrial!I26</f>
        <v>0</v>
      </c>
      <c r="M17" s="27">
        <f>+Industrial!J26</f>
        <v>0</v>
      </c>
      <c r="N17" s="123" t="s">
        <v>69</v>
      </c>
      <c r="O17" s="78">
        <f>+Resumen!C$4</f>
        <v>44926</v>
      </c>
      <c r="P17" s="87">
        <v>2022</v>
      </c>
    </row>
    <row r="18" spans="1:16">
      <c r="A18" s="231" t="s">
        <v>86</v>
      </c>
      <c r="B18" s="231" t="s">
        <v>86</v>
      </c>
      <c r="C18" s="231" t="s">
        <v>92</v>
      </c>
      <c r="D18" s="231" t="s">
        <v>88</v>
      </c>
      <c r="E18" s="231" t="str">
        <f>+Industrial!C27</f>
        <v xml:space="preserve">LANDES S.A. SOC. PESQ.                           </v>
      </c>
      <c r="F18" s="231" t="s">
        <v>89</v>
      </c>
      <c r="G18" s="231" t="s">
        <v>91</v>
      </c>
      <c r="H18" s="231">
        <f>+Industrial!E27</f>
        <v>2.391</v>
      </c>
      <c r="I18" s="87">
        <f>+Industrial!F27</f>
        <v>-0.25602000000000003</v>
      </c>
      <c r="J18" s="87">
        <f>+Industrial!G27</f>
        <v>2.1349800000000001</v>
      </c>
      <c r="K18" s="87">
        <f>+Industrial!H27</f>
        <v>0</v>
      </c>
      <c r="L18" s="87">
        <f>+Industrial!I27</f>
        <v>2.1349800000000001</v>
      </c>
      <c r="M18" s="27">
        <f>+Industrial!J27</f>
        <v>0</v>
      </c>
      <c r="N18" s="123" t="s">
        <v>69</v>
      </c>
      <c r="O18" s="78">
        <f>+Resumen!C$4</f>
        <v>44926</v>
      </c>
      <c r="P18" s="87">
        <v>2022</v>
      </c>
    </row>
    <row r="19" spans="1:16">
      <c r="A19" s="231" t="s">
        <v>86</v>
      </c>
      <c r="B19" s="231" t="s">
        <v>86</v>
      </c>
      <c r="C19" s="231" t="s">
        <v>92</v>
      </c>
      <c r="D19" s="231" t="s">
        <v>88</v>
      </c>
      <c r="E19" s="231" t="str">
        <f>+Industrial!C28</f>
        <v xml:space="preserve">ORIZON S.A                                                   </v>
      </c>
      <c r="F19" s="231" t="s">
        <v>89</v>
      </c>
      <c r="G19" s="231" t="s">
        <v>91</v>
      </c>
      <c r="H19" s="231">
        <f>+Industrial!E28</f>
        <v>10487.833999999995</v>
      </c>
      <c r="I19" s="87">
        <f>+Industrial!F28</f>
        <v>-10465.367999999999</v>
      </c>
      <c r="J19" s="87">
        <f>+Industrial!G28</f>
        <v>22.465999999996711</v>
      </c>
      <c r="K19" s="87">
        <f>+Industrial!H28</f>
        <v>0</v>
      </c>
      <c r="L19" s="87">
        <f>+Industrial!I28</f>
        <v>22.465999999996711</v>
      </c>
      <c r="M19" s="27">
        <f>+Industrial!J28</f>
        <v>0</v>
      </c>
      <c r="N19" s="123" t="s">
        <v>69</v>
      </c>
      <c r="O19" s="78">
        <f>+Resumen!C$4</f>
        <v>44926</v>
      </c>
      <c r="P19" s="87">
        <v>2022</v>
      </c>
    </row>
    <row r="20" spans="1:16">
      <c r="A20" s="231" t="s">
        <v>86</v>
      </c>
      <c r="B20" s="231" t="s">
        <v>86</v>
      </c>
      <c r="C20" s="231" t="s">
        <v>92</v>
      </c>
      <c r="D20" s="231" t="s">
        <v>88</v>
      </c>
      <c r="E20" s="231" t="str">
        <f>+Industrial!C29</f>
        <v>PESQUERA LITORAL SpA</v>
      </c>
      <c r="F20" s="231" t="s">
        <v>89</v>
      </c>
      <c r="G20" s="231" t="s">
        <v>91</v>
      </c>
      <c r="H20" s="231">
        <f>+Industrial!E29</f>
        <v>248.64400000000001</v>
      </c>
      <c r="I20" s="87">
        <f>+Industrial!F29</f>
        <v>-240</v>
      </c>
      <c r="J20" s="87">
        <f>+Industrial!G29</f>
        <v>8.6440000000000055</v>
      </c>
      <c r="K20" s="87">
        <f>+Industrial!H29</f>
        <v>0</v>
      </c>
      <c r="L20" s="87">
        <f>+Industrial!I29</f>
        <v>8.6440000000000055</v>
      </c>
      <c r="M20" s="27">
        <f>+Industrial!J29</f>
        <v>0</v>
      </c>
      <c r="N20" s="123" t="s">
        <v>69</v>
      </c>
      <c r="O20" s="78">
        <f>+Resumen!C$4</f>
        <v>44926</v>
      </c>
      <c r="P20" s="87">
        <v>2022</v>
      </c>
    </row>
    <row r="21" spans="1:16" s="87" customFormat="1">
      <c r="A21" s="231" t="s">
        <v>86</v>
      </c>
      <c r="B21" s="231" t="s">
        <v>86</v>
      </c>
      <c r="C21" s="231" t="s">
        <v>92</v>
      </c>
      <c r="D21" s="231" t="s">
        <v>88</v>
      </c>
      <c r="E21" s="231" t="str">
        <f>Industrial!C30</f>
        <v>PROCESOS TECNOLOGICOS DEL BIO BIO SpA</v>
      </c>
      <c r="F21" s="231" t="s">
        <v>89</v>
      </c>
      <c r="G21" s="231" t="s">
        <v>91</v>
      </c>
      <c r="H21" s="231">
        <f>+Industrial!E30</f>
        <v>294.423</v>
      </c>
      <c r="I21" s="87">
        <f>+Industrial!F30</f>
        <v>-294.423</v>
      </c>
      <c r="J21" s="87">
        <f>+Industrial!G30</f>
        <v>0</v>
      </c>
      <c r="K21" s="87">
        <f>+Industrial!H30</f>
        <v>0</v>
      </c>
      <c r="L21" s="87">
        <f>+Industrial!I30</f>
        <v>0</v>
      </c>
      <c r="M21" s="27" t="e">
        <f>+Industrial!J30</f>
        <v>#DIV/0!</v>
      </c>
      <c r="N21" s="123" t="s">
        <v>69</v>
      </c>
      <c r="O21" s="78">
        <f>+Resumen!C$4</f>
        <v>44926</v>
      </c>
      <c r="P21" s="87">
        <v>2022</v>
      </c>
    </row>
    <row r="22" spans="1:16" s="87" customFormat="1">
      <c r="A22" s="231" t="s">
        <v>86</v>
      </c>
      <c r="B22" s="231" t="s">
        <v>86</v>
      </c>
      <c r="C22" s="231" t="s">
        <v>92</v>
      </c>
      <c r="D22" s="231" t="s">
        <v>88</v>
      </c>
      <c r="E22" s="231" t="str">
        <f>+Industrial!C31</f>
        <v>JORGE ORTÚZAR GELTEN</v>
      </c>
      <c r="F22" s="231" t="s">
        <v>89</v>
      </c>
      <c r="G22" s="231" t="s">
        <v>91</v>
      </c>
      <c r="H22" s="231">
        <f>+Industrial!E31</f>
        <v>409.63200000000001</v>
      </c>
      <c r="I22" s="87">
        <f>+Industrial!F31</f>
        <v>-409.63200000000001</v>
      </c>
      <c r="J22" s="87">
        <f>+Industrial!G31</f>
        <v>0</v>
      </c>
      <c r="K22" s="87">
        <f>+Industrial!H31</f>
        <v>0</v>
      </c>
      <c r="L22" s="87">
        <f>+Industrial!I31</f>
        <v>0</v>
      </c>
      <c r="M22" s="27" t="e">
        <f>+Industrial!J31</f>
        <v>#DIV/0!</v>
      </c>
      <c r="N22" s="123" t="s">
        <v>69</v>
      </c>
      <c r="O22" s="78">
        <f>+Resumen!C$4</f>
        <v>44926</v>
      </c>
      <c r="P22" s="87">
        <v>2022</v>
      </c>
    </row>
    <row r="23" spans="1:16" s="87" customFormat="1">
      <c r="A23" s="231" t="s">
        <v>86</v>
      </c>
      <c r="B23" s="231" t="s">
        <v>86</v>
      </c>
      <c r="C23" s="231" t="s">
        <v>92</v>
      </c>
      <c r="D23" s="231" t="s">
        <v>88</v>
      </c>
      <c r="E23" s="231" t="str">
        <f>+Industrial!C32</f>
        <v>THOR FISHERIES CHILE SpA.</v>
      </c>
      <c r="F23" s="231" t="s">
        <v>89</v>
      </c>
      <c r="G23" s="231" t="s">
        <v>91</v>
      </c>
      <c r="H23" s="231">
        <f>+Industrial!E32</f>
        <v>0</v>
      </c>
      <c r="I23" s="87">
        <f>+Industrial!F32</f>
        <v>0.25602000000000003</v>
      </c>
      <c r="J23" s="87">
        <f>+Industrial!G32</f>
        <v>0.25602000000000003</v>
      </c>
      <c r="K23" s="87">
        <f>+Industrial!H32</f>
        <v>0</v>
      </c>
      <c r="L23" s="87">
        <f>+Industrial!I32</f>
        <v>0.25602000000000003</v>
      </c>
      <c r="M23" s="27">
        <f>+Industrial!J32</f>
        <v>0</v>
      </c>
      <c r="N23" s="123" t="s">
        <v>69</v>
      </c>
      <c r="O23" s="78">
        <f>+Resumen!C$4</f>
        <v>44926</v>
      </c>
      <c r="P23" s="87">
        <v>2022</v>
      </c>
    </row>
    <row r="24" spans="1:16" s="235" customFormat="1">
      <c r="A24" s="239" t="s">
        <v>86</v>
      </c>
      <c r="B24" s="239" t="s">
        <v>86</v>
      </c>
      <c r="C24" s="239" t="s">
        <v>92</v>
      </c>
      <c r="D24" s="239" t="s">
        <v>88</v>
      </c>
      <c r="E24" s="239" t="s">
        <v>93</v>
      </c>
      <c r="F24" s="239" t="s">
        <v>89</v>
      </c>
      <c r="G24" s="239" t="s">
        <v>91</v>
      </c>
      <c r="H24" s="239">
        <f>+Industrial!K33</f>
        <v>25602.004000000001</v>
      </c>
      <c r="I24" s="235">
        <f>+Industrial!L33</f>
        <v>-25398.354999999996</v>
      </c>
      <c r="J24" s="235">
        <f>+Industrial!M33</f>
        <v>203.64899999999682</v>
      </c>
      <c r="K24" s="235">
        <f>+Industrial!N33</f>
        <v>0</v>
      </c>
      <c r="L24" s="235">
        <f>+Industrial!O33</f>
        <v>203.64899999999682</v>
      </c>
      <c r="M24" s="236">
        <f>+Industrial!P33</f>
        <v>0</v>
      </c>
      <c r="N24" s="237" t="s">
        <v>69</v>
      </c>
      <c r="O24" s="238">
        <f>+Resumen!C$4</f>
        <v>44926</v>
      </c>
      <c r="P24" s="87">
        <v>2022</v>
      </c>
    </row>
    <row r="25" spans="1:16">
      <c r="A25" s="231" t="s">
        <v>94</v>
      </c>
      <c r="B25" s="231" t="s">
        <v>94</v>
      </c>
      <c r="C25" s="231" t="s">
        <v>87</v>
      </c>
      <c r="D25" s="231" t="s">
        <v>88</v>
      </c>
      <c r="E25" s="231" t="str">
        <f>+Industrial!C34</f>
        <v xml:space="preserve">ARICA SEAFOOD PRODUCER S.A.  </v>
      </c>
      <c r="F25" s="231" t="s">
        <v>89</v>
      </c>
      <c r="G25" s="231" t="s">
        <v>90</v>
      </c>
      <c r="H25" s="231">
        <f>+Industrial!E34</f>
        <v>4.8810000000000002</v>
      </c>
      <c r="I25" s="87">
        <f>+Industrial!F34</f>
        <v>0</v>
      </c>
      <c r="J25" s="87">
        <f>+Industrial!G34</f>
        <v>4.8810000000000002</v>
      </c>
      <c r="K25" s="87">
        <f>+Industrial!H34</f>
        <v>0</v>
      </c>
      <c r="L25" s="87">
        <f>+Industrial!I34</f>
        <v>4.8810000000000002</v>
      </c>
      <c r="M25" s="27">
        <f>+Industrial!J34</f>
        <v>0</v>
      </c>
      <c r="N25" s="123" t="s">
        <v>69</v>
      </c>
      <c r="O25" s="78">
        <f>+Resumen!C$4</f>
        <v>44926</v>
      </c>
      <c r="P25" s="87">
        <v>2022</v>
      </c>
    </row>
    <row r="26" spans="1:16">
      <c r="A26" s="231" t="s">
        <v>94</v>
      </c>
      <c r="B26" s="231" t="s">
        <v>94</v>
      </c>
      <c r="C26" s="231" t="s">
        <v>87</v>
      </c>
      <c r="D26" s="231" t="s">
        <v>88</v>
      </c>
      <c r="E26" s="231" t="str">
        <f>+Industrial!C35</f>
        <v xml:space="preserve">CAMANCHACA S.A. CIA. PESQ      </v>
      </c>
      <c r="F26" s="231" t="s">
        <v>89</v>
      </c>
      <c r="G26" s="231" t="s">
        <v>90</v>
      </c>
      <c r="H26" s="231">
        <f>+Industrial!E35</f>
        <v>313.08800000000002</v>
      </c>
      <c r="I26" s="87">
        <f>+Industrial!F35</f>
        <v>0</v>
      </c>
      <c r="J26" s="87">
        <f>+Industrial!G35</f>
        <v>313.08800000000002</v>
      </c>
      <c r="K26" s="87">
        <f>+Industrial!H35</f>
        <v>0</v>
      </c>
      <c r="L26" s="87">
        <f>+Industrial!I35</f>
        <v>313.08800000000002</v>
      </c>
      <c r="M26" s="27">
        <f>+Industrial!J35</f>
        <v>0</v>
      </c>
      <c r="N26" s="123" t="s">
        <v>69</v>
      </c>
      <c r="O26" s="78">
        <f>+Resumen!C$4</f>
        <v>44926</v>
      </c>
      <c r="P26" s="87">
        <v>2022</v>
      </c>
    </row>
    <row r="27" spans="1:16">
      <c r="A27" s="231" t="s">
        <v>94</v>
      </c>
      <c r="B27" s="231" t="s">
        <v>94</v>
      </c>
      <c r="C27" s="231" t="s">
        <v>87</v>
      </c>
      <c r="D27" s="231" t="s">
        <v>88</v>
      </c>
      <c r="E27" s="231" t="str">
        <f>+Industrial!C36</f>
        <v xml:space="preserve">CORPESCA S.A.                             </v>
      </c>
      <c r="F27" s="231" t="s">
        <v>89</v>
      </c>
      <c r="G27" s="231" t="s">
        <v>90</v>
      </c>
      <c r="H27" s="231">
        <f>+Industrial!E36</f>
        <v>1167.0309999999999</v>
      </c>
      <c r="I27" s="87">
        <f>+Industrial!F36</f>
        <v>0</v>
      </c>
      <c r="J27" s="87">
        <f>+Industrial!G36</f>
        <v>1167.0309999999999</v>
      </c>
      <c r="K27" s="87">
        <f>+Industrial!H36</f>
        <v>0</v>
      </c>
      <c r="L27" s="87">
        <f>+Industrial!I36</f>
        <v>1167.0309999999999</v>
      </c>
      <c r="M27" s="27">
        <f>+Industrial!J36</f>
        <v>0</v>
      </c>
      <c r="N27" s="123" t="s">
        <v>69</v>
      </c>
      <c r="O27" s="78">
        <f>+Resumen!C$4</f>
        <v>44926</v>
      </c>
      <c r="P27" s="87">
        <v>2022</v>
      </c>
    </row>
    <row r="28" spans="1:16" s="235" customFormat="1">
      <c r="A28" s="239" t="s">
        <v>94</v>
      </c>
      <c r="B28" s="239" t="s">
        <v>94</v>
      </c>
      <c r="C28" s="239" t="s">
        <v>87</v>
      </c>
      <c r="D28" s="239" t="s">
        <v>88</v>
      </c>
      <c r="E28" s="239" t="s">
        <v>93</v>
      </c>
      <c r="F28" s="239" t="s">
        <v>89</v>
      </c>
      <c r="G28" s="239" t="s">
        <v>91</v>
      </c>
      <c r="H28" s="244">
        <f>Industrial!E37</f>
        <v>1485</v>
      </c>
      <c r="I28" s="235">
        <f>+Industrial!L37</f>
        <v>0</v>
      </c>
      <c r="J28" s="235">
        <f>+Industrial!M37</f>
        <v>1485</v>
      </c>
      <c r="K28" s="235">
        <f>+Industrial!N37</f>
        <v>0</v>
      </c>
      <c r="L28" s="235">
        <f>+Industrial!O37</f>
        <v>1485</v>
      </c>
      <c r="M28" s="236">
        <f>+Industrial!P37</f>
        <v>0</v>
      </c>
      <c r="N28" s="237" t="s">
        <v>69</v>
      </c>
      <c r="O28" s="238">
        <f>+Resumen!C$4</f>
        <v>44926</v>
      </c>
      <c r="P28" s="87">
        <v>2022</v>
      </c>
    </row>
    <row r="29" spans="1:16">
      <c r="A29" s="231" t="s">
        <v>94</v>
      </c>
      <c r="B29" s="231" t="s">
        <v>94</v>
      </c>
      <c r="C29" s="231" t="s">
        <v>92</v>
      </c>
      <c r="D29" s="231" t="s">
        <v>88</v>
      </c>
      <c r="E29" s="231" t="str">
        <f>+Industrial!C38</f>
        <v xml:space="preserve">ALIMENTOS MARINOS S.A.          </v>
      </c>
      <c r="F29" s="231" t="s">
        <v>89</v>
      </c>
      <c r="G29" s="231" t="s">
        <v>91</v>
      </c>
      <c r="H29" s="231">
        <f>+Industrial!E38</f>
        <v>204.947</v>
      </c>
      <c r="I29" s="87">
        <f>+Industrial!F38</f>
        <v>0</v>
      </c>
      <c r="J29" s="87">
        <f>+Industrial!G38</f>
        <v>204.947</v>
      </c>
      <c r="K29" s="87">
        <f>+Industrial!H38</f>
        <v>0</v>
      </c>
      <c r="L29" s="87">
        <f>+Industrial!I38</f>
        <v>204.947</v>
      </c>
      <c r="M29" s="27">
        <f>+Industrial!J38</f>
        <v>0</v>
      </c>
      <c r="N29" s="123" t="s">
        <v>69</v>
      </c>
      <c r="O29" s="78">
        <f>+Resumen!C$4</f>
        <v>44926</v>
      </c>
      <c r="P29" s="87">
        <v>2022</v>
      </c>
    </row>
    <row r="30" spans="1:16">
      <c r="A30" s="231" t="s">
        <v>94</v>
      </c>
      <c r="B30" s="231" t="s">
        <v>94</v>
      </c>
      <c r="C30" s="231" t="s">
        <v>92</v>
      </c>
      <c r="D30" s="231" t="s">
        <v>88</v>
      </c>
      <c r="E30" s="231" t="str">
        <f>+Industrial!C39</f>
        <v xml:space="preserve">BAHIA CALDERA S.A. PESQ.          </v>
      </c>
      <c r="F30" s="231" t="s">
        <v>89</v>
      </c>
      <c r="G30" s="231" t="s">
        <v>91</v>
      </c>
      <c r="H30" s="231">
        <f>+Industrial!E39</f>
        <v>892.30700000000002</v>
      </c>
      <c r="I30" s="87">
        <f>+Industrial!F39</f>
        <v>0</v>
      </c>
      <c r="J30" s="87">
        <f>+Industrial!G39</f>
        <v>892.30700000000002</v>
      </c>
      <c r="K30" s="87">
        <f>+Industrial!H39</f>
        <v>0</v>
      </c>
      <c r="L30" s="87">
        <f>+Industrial!I39</f>
        <v>892.30700000000002</v>
      </c>
      <c r="M30" s="27">
        <f>+Industrial!J39</f>
        <v>0</v>
      </c>
      <c r="N30" s="123" t="s">
        <v>69</v>
      </c>
      <c r="O30" s="78">
        <f>+Resumen!C$4</f>
        <v>44926</v>
      </c>
      <c r="P30" s="87">
        <v>2022</v>
      </c>
    </row>
    <row r="31" spans="1:16">
      <c r="A31" s="231" t="s">
        <v>94</v>
      </c>
      <c r="B31" s="231" t="s">
        <v>94</v>
      </c>
      <c r="C31" s="231" t="s">
        <v>92</v>
      </c>
      <c r="D31" s="231" t="s">
        <v>88</v>
      </c>
      <c r="E31" s="231" t="str">
        <f>+Industrial!C40</f>
        <v>FOODCORP CHILE S.A.</v>
      </c>
      <c r="F31" s="231" t="s">
        <v>89</v>
      </c>
      <c r="G31" s="231" t="s">
        <v>91</v>
      </c>
      <c r="H31" s="231">
        <f>+Industrial!E40</f>
        <v>0.15</v>
      </c>
      <c r="I31" s="87">
        <f>+Industrial!F40</f>
        <v>0</v>
      </c>
      <c r="J31" s="87">
        <f>+Industrial!G40</f>
        <v>0.15</v>
      </c>
      <c r="K31" s="87">
        <f>+Industrial!H40</f>
        <v>0</v>
      </c>
      <c r="L31" s="87">
        <f>+Industrial!I40</f>
        <v>0.15</v>
      </c>
      <c r="M31" s="27">
        <f>+Industrial!J40</f>
        <v>0</v>
      </c>
      <c r="N31" s="123" t="s">
        <v>69</v>
      </c>
      <c r="O31" s="78">
        <f>+Resumen!C$4</f>
        <v>44926</v>
      </c>
      <c r="P31" s="87">
        <v>2022</v>
      </c>
    </row>
    <row r="32" spans="1:16">
      <c r="A32" s="231" t="s">
        <v>94</v>
      </c>
      <c r="B32" s="231" t="s">
        <v>94</v>
      </c>
      <c r="C32" s="231" t="s">
        <v>92</v>
      </c>
      <c r="D32" s="231" t="s">
        <v>88</v>
      </c>
      <c r="E32" s="231" t="str">
        <f>+Industrial!C41</f>
        <v>BLUMAR S.A.</v>
      </c>
      <c r="F32" s="231" t="s">
        <v>89</v>
      </c>
      <c r="G32" s="231" t="s">
        <v>91</v>
      </c>
      <c r="H32" s="231">
        <f>+Industrial!E41</f>
        <v>5.7460000000000004</v>
      </c>
      <c r="I32" s="87">
        <f>+Industrial!F41</f>
        <v>0</v>
      </c>
      <c r="J32" s="87">
        <f>+Industrial!G41</f>
        <v>5.7460000000000004</v>
      </c>
      <c r="K32" s="87">
        <f>+Industrial!H41</f>
        <v>0</v>
      </c>
      <c r="L32" s="87">
        <f>+Industrial!I41</f>
        <v>5.7460000000000004</v>
      </c>
      <c r="M32" s="27">
        <f>+Industrial!J41</f>
        <v>0</v>
      </c>
      <c r="N32" s="123" t="s">
        <v>69</v>
      </c>
      <c r="O32" s="78">
        <f>+Resumen!C$4</f>
        <v>44926</v>
      </c>
      <c r="P32" s="87">
        <v>2022</v>
      </c>
    </row>
    <row r="33" spans="1:16">
      <c r="A33" s="231" t="s">
        <v>94</v>
      </c>
      <c r="B33" s="231" t="s">
        <v>94</v>
      </c>
      <c r="C33" s="231" t="s">
        <v>92</v>
      </c>
      <c r="D33" s="231" t="s">
        <v>88</v>
      </c>
      <c r="E33" s="231" t="str">
        <f>+Industrial!C42</f>
        <v>CAMANCHACA S.A. CIA. PESQ.</v>
      </c>
      <c r="F33" s="231" t="s">
        <v>89</v>
      </c>
      <c r="G33" s="231" t="s">
        <v>91</v>
      </c>
      <c r="H33" s="231">
        <f>+Industrial!E42</f>
        <v>6.4950000000000001</v>
      </c>
      <c r="I33" s="87">
        <f>+Industrial!F42</f>
        <v>0</v>
      </c>
      <c r="J33" s="87">
        <f>+Industrial!G42</f>
        <v>6.4950000000000001</v>
      </c>
      <c r="K33" s="87">
        <f>+Industrial!H42</f>
        <v>0</v>
      </c>
      <c r="L33" s="87">
        <f>+Industrial!I42</f>
        <v>6.4950000000000001</v>
      </c>
      <c r="M33" s="27">
        <f>+Industrial!J42</f>
        <v>0</v>
      </c>
      <c r="N33" s="123" t="s">
        <v>69</v>
      </c>
      <c r="O33" s="78">
        <f>+Resumen!C$4</f>
        <v>44926</v>
      </c>
      <c r="P33" s="87">
        <v>2022</v>
      </c>
    </row>
    <row r="34" spans="1:16">
      <c r="A34" s="231" t="s">
        <v>94</v>
      </c>
      <c r="B34" s="231" t="s">
        <v>94</v>
      </c>
      <c r="C34" s="231" t="s">
        <v>92</v>
      </c>
      <c r="D34" s="231" t="s">
        <v>88</v>
      </c>
      <c r="E34" s="231" t="str">
        <f>+Industrial!C43</f>
        <v>PESQUERA LITORAL SpA</v>
      </c>
      <c r="F34" s="231" t="s">
        <v>89</v>
      </c>
      <c r="G34" s="231" t="s">
        <v>91</v>
      </c>
      <c r="H34" s="231">
        <f>+Industrial!E43</f>
        <v>2.9769999999999999</v>
      </c>
      <c r="I34" s="87">
        <f>+Industrial!F43</f>
        <v>0</v>
      </c>
      <c r="J34" s="87">
        <f>+Industrial!G43</f>
        <v>2.9769999999999999</v>
      </c>
      <c r="K34" s="87">
        <f>+Industrial!H43</f>
        <v>0</v>
      </c>
      <c r="L34" s="87">
        <f>+Industrial!I43</f>
        <v>2.9769999999999999</v>
      </c>
      <c r="M34" s="27">
        <f>+Industrial!J43</f>
        <v>0</v>
      </c>
      <c r="N34" s="123" t="s">
        <v>69</v>
      </c>
      <c r="O34" s="78">
        <f>+Resumen!C$4</f>
        <v>44926</v>
      </c>
      <c r="P34" s="87">
        <v>2022</v>
      </c>
    </row>
    <row r="35" spans="1:16">
      <c r="A35" s="231" t="s">
        <v>94</v>
      </c>
      <c r="B35" s="231" t="s">
        <v>94</v>
      </c>
      <c r="C35" s="231" t="s">
        <v>92</v>
      </c>
      <c r="D35" s="231" t="s">
        <v>88</v>
      </c>
      <c r="E35" s="231" t="str">
        <f>+Industrial!C44</f>
        <v>ORIZON S.A.</v>
      </c>
      <c r="F35" s="231" t="s">
        <v>89</v>
      </c>
      <c r="G35" s="231" t="s">
        <v>91</v>
      </c>
      <c r="H35" s="231">
        <f>+Industrial!E44</f>
        <v>383.03</v>
      </c>
      <c r="I35" s="87">
        <f>+Industrial!F44</f>
        <v>-60</v>
      </c>
      <c r="J35" s="87">
        <f>+Industrial!G44</f>
        <v>323.02999999999997</v>
      </c>
      <c r="K35" s="87">
        <f>+Industrial!H44</f>
        <v>0</v>
      </c>
      <c r="L35" s="87">
        <f>+Industrial!I44</f>
        <v>323.02999999999997</v>
      </c>
      <c r="M35" s="27">
        <f>+Industrial!J44</f>
        <v>0</v>
      </c>
      <c r="N35" s="123" t="s">
        <v>69</v>
      </c>
      <c r="O35" s="78">
        <f>+Resumen!C$4</f>
        <v>44926</v>
      </c>
      <c r="P35" s="87">
        <v>2022</v>
      </c>
    </row>
    <row r="36" spans="1:16">
      <c r="A36" s="231" t="s">
        <v>94</v>
      </c>
      <c r="B36" s="231" t="s">
        <v>94</v>
      </c>
      <c r="C36" s="231" t="s">
        <v>92</v>
      </c>
      <c r="D36" s="231" t="s">
        <v>88</v>
      </c>
      <c r="E36" s="231" t="str">
        <f>+Industrial!C45</f>
        <v>CAMANCHACA PESCA SUR S.A.</v>
      </c>
      <c r="F36" s="231" t="s">
        <v>89</v>
      </c>
      <c r="G36" s="231" t="s">
        <v>91</v>
      </c>
      <c r="H36" s="231">
        <f>+Industrial!E45</f>
        <v>2.593</v>
      </c>
      <c r="I36" s="87">
        <f>+Industrial!F45</f>
        <v>0</v>
      </c>
      <c r="J36" s="87">
        <f>+Industrial!G45</f>
        <v>2.593</v>
      </c>
      <c r="K36" s="87">
        <f>+Industrial!H45</f>
        <v>0</v>
      </c>
      <c r="L36" s="87">
        <f>+Industrial!I45</f>
        <v>2.593</v>
      </c>
      <c r="M36" s="27">
        <f>+Industrial!J45</f>
        <v>0</v>
      </c>
      <c r="N36" s="123" t="s">
        <v>69</v>
      </c>
      <c r="O36" s="78">
        <f>+Resumen!C$4</f>
        <v>44926</v>
      </c>
      <c r="P36" s="87">
        <v>2022</v>
      </c>
    </row>
    <row r="37" spans="1:16">
      <c r="A37" s="231" t="s">
        <v>94</v>
      </c>
      <c r="B37" s="231" t="s">
        <v>94</v>
      </c>
      <c r="C37" s="231" t="s">
        <v>92</v>
      </c>
      <c r="D37" s="231" t="s">
        <v>88</v>
      </c>
      <c r="E37" s="231" t="str">
        <f>+Industrial!C46</f>
        <v>LANDES S.A. SOC.PESQ.</v>
      </c>
      <c r="F37" s="231" t="s">
        <v>89</v>
      </c>
      <c r="G37" s="231" t="s">
        <v>91</v>
      </c>
      <c r="H37" s="231">
        <f>+Industrial!E46</f>
        <v>1.7549999999999999</v>
      </c>
      <c r="I37" s="87">
        <f>+Industrial!F46</f>
        <v>-0.105</v>
      </c>
      <c r="J37" s="87">
        <f>+Industrial!G46</f>
        <v>1.65</v>
      </c>
      <c r="K37" s="87">
        <f>+Industrial!H46</f>
        <v>0</v>
      </c>
      <c r="L37" s="87">
        <f>+Industrial!I46</f>
        <v>1.65</v>
      </c>
      <c r="M37" s="27">
        <f>+Industrial!J46</f>
        <v>0</v>
      </c>
      <c r="N37" s="123" t="s">
        <v>69</v>
      </c>
      <c r="O37" s="78">
        <f>+Resumen!C$4</f>
        <v>44926</v>
      </c>
      <c r="P37" s="87">
        <v>2022</v>
      </c>
    </row>
    <row r="38" spans="1:16" s="87" customFormat="1">
      <c r="A38" s="231" t="s">
        <v>94</v>
      </c>
      <c r="B38" s="231" t="s">
        <v>94</v>
      </c>
      <c r="C38" s="231" t="s">
        <v>92</v>
      </c>
      <c r="D38" s="231" t="s">
        <v>88</v>
      </c>
      <c r="E38" s="231" t="str">
        <f>+Industrial!C47</f>
        <v>THOR FISHERIES CHILE SpA.</v>
      </c>
      <c r="F38" s="231" t="s">
        <v>89</v>
      </c>
      <c r="G38" s="231" t="s">
        <v>91</v>
      </c>
      <c r="H38" s="231">
        <f>+Industrial!E47</f>
        <v>0</v>
      </c>
      <c r="I38" s="87">
        <f>+Industrial!F47</f>
        <v>0.105</v>
      </c>
      <c r="J38" s="87">
        <f>+Industrial!G47</f>
        <v>0.105</v>
      </c>
      <c r="K38" s="87">
        <f>+Industrial!H47</f>
        <v>0</v>
      </c>
      <c r="L38" s="87">
        <f>+Industrial!I47</f>
        <v>0.105</v>
      </c>
      <c r="M38" s="27">
        <f>+Industrial!J47</f>
        <v>0</v>
      </c>
      <c r="N38" s="123" t="s">
        <v>69</v>
      </c>
      <c r="O38" s="78">
        <f>+Resumen!C$4</f>
        <v>44926</v>
      </c>
      <c r="P38" s="87">
        <v>2022</v>
      </c>
    </row>
    <row r="39" spans="1:16" s="235" customFormat="1">
      <c r="A39" s="239" t="s">
        <v>94</v>
      </c>
      <c r="B39" s="239" t="s">
        <v>94</v>
      </c>
      <c r="C39" s="239" t="s">
        <v>92</v>
      </c>
      <c r="D39" s="239" t="s">
        <v>88</v>
      </c>
      <c r="E39" s="239" t="s">
        <v>93</v>
      </c>
      <c r="F39" s="239" t="s">
        <v>89</v>
      </c>
      <c r="G39" s="239" t="s">
        <v>91</v>
      </c>
      <c r="H39" s="239">
        <f>+Industrial!K48</f>
        <v>1500.0000000000002</v>
      </c>
      <c r="I39" s="235">
        <f>+Industrial!L48</f>
        <v>-60</v>
      </c>
      <c r="J39" s="235">
        <f>+Industrial!M48</f>
        <v>1440.0000000000002</v>
      </c>
      <c r="K39" s="235">
        <f>+Industrial!N48</f>
        <v>0</v>
      </c>
      <c r="L39" s="235">
        <f>+Industrial!O48</f>
        <v>1440.0000000000002</v>
      </c>
      <c r="M39" s="236">
        <f>+Industrial!P48</f>
        <v>0</v>
      </c>
      <c r="N39" s="237" t="s">
        <v>69</v>
      </c>
      <c r="O39" s="238">
        <f>+Resumen!C$4</f>
        <v>44926</v>
      </c>
      <c r="P39" s="87">
        <v>2022</v>
      </c>
    </row>
    <row r="40" spans="1:16">
      <c r="A40" s="231" t="s">
        <v>86</v>
      </c>
      <c r="B40" s="231" t="s">
        <v>86</v>
      </c>
      <c r="C40" s="231" t="s">
        <v>95</v>
      </c>
      <c r="D40" s="231" t="s">
        <v>101</v>
      </c>
      <c r="E40" s="231" t="str">
        <f>+'Artesanal Anchoveta XV-IV'!D7</f>
        <v>MACROZONA XV - I</v>
      </c>
      <c r="F40" s="231" t="s">
        <v>89</v>
      </c>
      <c r="G40" s="231" t="s">
        <v>91</v>
      </c>
      <c r="H40" s="231">
        <f>+'Artesanal Anchoveta XV-IV'!F7</f>
        <v>103965</v>
      </c>
      <c r="I40" s="87">
        <f>+'Artesanal Anchoveta XV-IV'!G7</f>
        <v>10052</v>
      </c>
      <c r="J40" s="87">
        <f>+'Artesanal Anchoveta XV-IV'!H7</f>
        <v>114017</v>
      </c>
      <c r="K40" s="87">
        <f>+'Artesanal Anchoveta XV-IV'!I7</f>
        <v>114012.235</v>
      </c>
      <c r="L40" s="87">
        <f>+'Artesanal Anchoveta XV-IV'!K7</f>
        <v>4.7649999999994179</v>
      </c>
      <c r="M40" s="27">
        <f>+'Artesanal Anchoveta XV-IV'!L7</f>
        <v>0.99995820798652835</v>
      </c>
      <c r="N40" s="123" t="s">
        <v>69</v>
      </c>
      <c r="O40" s="78">
        <f>+Resumen!C$4</f>
        <v>44926</v>
      </c>
      <c r="P40" s="87">
        <v>2022</v>
      </c>
    </row>
    <row r="41" spans="1:16" s="239" customFormat="1">
      <c r="A41" s="239" t="s">
        <v>86</v>
      </c>
      <c r="B41" s="239" t="s">
        <v>86</v>
      </c>
      <c r="C41" s="239" t="s">
        <v>95</v>
      </c>
      <c r="D41" s="239" t="s">
        <v>101</v>
      </c>
      <c r="E41" s="239" t="s">
        <v>103</v>
      </c>
      <c r="F41" s="239" t="s">
        <v>89</v>
      </c>
      <c r="G41" s="239" t="s">
        <v>91</v>
      </c>
      <c r="H41" s="239">
        <f>Resumen!E9</f>
        <v>103965</v>
      </c>
      <c r="I41" s="239">
        <f>Resumen!F9</f>
        <v>10052</v>
      </c>
      <c r="J41" s="239">
        <f>Resumen!G9</f>
        <v>114017</v>
      </c>
      <c r="K41" s="239">
        <f>Resumen!H9</f>
        <v>114012.235</v>
      </c>
      <c r="L41" s="239">
        <f>Resumen!I9</f>
        <v>4.7649999999994179</v>
      </c>
      <c r="M41" s="240">
        <f>Resumen!J9</f>
        <v>0.99995820798652835</v>
      </c>
      <c r="N41" s="241" t="s">
        <v>69</v>
      </c>
      <c r="O41" s="242">
        <f>+Resumen!C$4</f>
        <v>44926</v>
      </c>
      <c r="P41" s="87">
        <v>2022</v>
      </c>
    </row>
    <row r="42" spans="1:16">
      <c r="A42" s="231" t="s">
        <v>86</v>
      </c>
      <c r="B42" s="231" t="s">
        <v>86</v>
      </c>
      <c r="C42" s="231" t="s">
        <v>10</v>
      </c>
      <c r="D42" s="231" t="s">
        <v>101</v>
      </c>
      <c r="E42" s="231" t="str">
        <f>+'Artesanal Anchoveta XV-IV'!D8</f>
        <v>REGIÓN II</v>
      </c>
      <c r="F42" s="231" t="s">
        <v>89</v>
      </c>
      <c r="G42" s="231" t="s">
        <v>91</v>
      </c>
      <c r="H42" s="231">
        <f>+'Artesanal Anchoveta XV-IV'!F8</f>
        <v>39604</v>
      </c>
      <c r="I42" s="87">
        <f>+'Artesanal Anchoveta XV-IV'!G8</f>
        <v>0</v>
      </c>
      <c r="J42" s="87">
        <f>+'Artesanal Anchoveta XV-IV'!H8</f>
        <v>39604</v>
      </c>
      <c r="K42" s="87">
        <f>+'Artesanal Anchoveta XV-IV'!I8</f>
        <v>39729.65</v>
      </c>
      <c r="L42" s="87">
        <f>+'Artesanal Anchoveta XV-IV'!K8</f>
        <v>-125.65000000000146</v>
      </c>
      <c r="M42" s="27">
        <f>+'Artesanal Anchoveta XV-IV'!L8</f>
        <v>1.0031726593273407</v>
      </c>
      <c r="N42" s="123">
        <f>'Artesanal Anchoveta XV-IV'!M8</f>
        <v>44744</v>
      </c>
      <c r="O42" s="78">
        <f>+Resumen!C$4</f>
        <v>44926</v>
      </c>
      <c r="P42" s="87">
        <v>2022</v>
      </c>
    </row>
    <row r="43" spans="1:16" s="239" customFormat="1">
      <c r="A43" s="239" t="s">
        <v>86</v>
      </c>
      <c r="B43" s="239" t="s">
        <v>86</v>
      </c>
      <c r="C43" s="239" t="s">
        <v>10</v>
      </c>
      <c r="D43" s="239" t="s">
        <v>101</v>
      </c>
      <c r="E43" s="239" t="s">
        <v>104</v>
      </c>
      <c r="F43" s="239" t="s">
        <v>89</v>
      </c>
      <c r="G43" s="239" t="s">
        <v>91</v>
      </c>
      <c r="H43" s="239">
        <f>+'Artesanal Anchoveta XV-IV'!N8</f>
        <v>39604</v>
      </c>
      <c r="I43" s="239">
        <f>+'Artesanal Anchoveta XV-IV'!O8</f>
        <v>0</v>
      </c>
      <c r="J43" s="239">
        <f>+'Artesanal Anchoveta XV-IV'!P8</f>
        <v>39604</v>
      </c>
      <c r="K43" s="239">
        <f>+'Artesanal Anchoveta XV-IV'!Q8</f>
        <v>39729.65</v>
      </c>
      <c r="L43" s="239">
        <f>+'Artesanal Anchoveta XV-IV'!R8</f>
        <v>-125.65000000000146</v>
      </c>
      <c r="M43" s="240">
        <f>+'Artesanal Anchoveta XV-IV'!S8</f>
        <v>1.0031726593273407</v>
      </c>
      <c r="N43" s="241" t="s">
        <v>69</v>
      </c>
      <c r="O43" s="242">
        <f>+Resumen!C$4</f>
        <v>44926</v>
      </c>
      <c r="P43" s="87">
        <v>2022</v>
      </c>
    </row>
    <row r="44" spans="1:16">
      <c r="A44" s="231" t="s">
        <v>86</v>
      </c>
      <c r="B44" s="231" t="s">
        <v>86</v>
      </c>
      <c r="C44" s="231" t="s">
        <v>11</v>
      </c>
      <c r="D44" s="231" t="s">
        <v>101</v>
      </c>
      <c r="E44" s="231" t="str">
        <f>+'Artesanal Anchoveta XV-IV'!D10</f>
        <v>REGIÓN III</v>
      </c>
      <c r="F44" s="231" t="s">
        <v>89</v>
      </c>
      <c r="G44" s="231" t="s">
        <v>91</v>
      </c>
      <c r="H44" s="231">
        <f>+'Artesanal Anchoveta XV-IV'!F10</f>
        <v>17571</v>
      </c>
      <c r="I44" s="87">
        <f>+'Artesanal Anchoveta XV-IV'!G10</f>
        <v>0</v>
      </c>
      <c r="J44" s="87">
        <f>+'Artesanal Anchoveta XV-IV'!H10</f>
        <v>17571</v>
      </c>
      <c r="K44" s="87">
        <f>+'Artesanal Anchoveta XV-IV'!I10</f>
        <v>16377</v>
      </c>
      <c r="L44" s="87">
        <f>+'Artesanal Anchoveta XV-IV'!K10</f>
        <v>1194</v>
      </c>
      <c r="M44" s="27">
        <f>+'Artesanal Anchoveta XV-IV'!L10</f>
        <v>0.93204712310056348</v>
      </c>
      <c r="N44" s="123" t="s">
        <v>69</v>
      </c>
      <c r="O44" s="78">
        <f>+Resumen!C$4</f>
        <v>44926</v>
      </c>
      <c r="P44" s="87">
        <v>2022</v>
      </c>
    </row>
    <row r="45" spans="1:16" s="239" customFormat="1">
      <c r="A45" s="239" t="s">
        <v>86</v>
      </c>
      <c r="B45" s="239" t="s">
        <v>86</v>
      </c>
      <c r="C45" s="239" t="s">
        <v>11</v>
      </c>
      <c r="D45" s="239" t="s">
        <v>101</v>
      </c>
      <c r="E45" s="239" t="s">
        <v>104</v>
      </c>
      <c r="F45" s="239" t="s">
        <v>89</v>
      </c>
      <c r="G45" s="239" t="s">
        <v>91</v>
      </c>
      <c r="H45" s="239">
        <f>+'Artesanal Anchoveta XV-IV'!N10</f>
        <v>17571</v>
      </c>
      <c r="I45" s="239">
        <f>+'Artesanal Anchoveta XV-IV'!O10</f>
        <v>0</v>
      </c>
      <c r="J45" s="239">
        <f>+'Artesanal Anchoveta XV-IV'!P10</f>
        <v>17571</v>
      </c>
      <c r="K45" s="239">
        <f>+'Artesanal Anchoveta XV-IV'!Q10</f>
        <v>16377</v>
      </c>
      <c r="L45" s="239">
        <f>+'Artesanal Anchoveta XV-IV'!R10</f>
        <v>1194</v>
      </c>
      <c r="M45" s="240">
        <f>+'Artesanal Anchoveta XV-IV'!S10</f>
        <v>0.93204712310056348</v>
      </c>
      <c r="N45" s="241" t="s">
        <v>69</v>
      </c>
      <c r="O45" s="242">
        <f>+Resumen!C$4</f>
        <v>44926</v>
      </c>
      <c r="P45" s="87">
        <v>2022</v>
      </c>
    </row>
    <row r="46" spans="1:16">
      <c r="A46" s="231" t="s">
        <v>86</v>
      </c>
      <c r="B46" s="231" t="s">
        <v>86</v>
      </c>
      <c r="C46" s="231" t="s">
        <v>12</v>
      </c>
      <c r="D46" s="231" t="s">
        <v>102</v>
      </c>
      <c r="E46" s="231" t="str">
        <f>+'Artesanal Anchoveta XV-IV'!D11</f>
        <v>CERCOPESCA Rol 4276</v>
      </c>
      <c r="F46" s="231" t="s">
        <v>89</v>
      </c>
      <c r="G46" s="231" t="s">
        <v>91</v>
      </c>
      <c r="H46" s="231">
        <f>+'Artesanal Anchoveta XV-IV'!F11</f>
        <v>7454.5720000000001</v>
      </c>
      <c r="I46" s="87">
        <f>+'Artesanal Anchoveta XV-IV'!G11</f>
        <v>0</v>
      </c>
      <c r="J46" s="87">
        <f>+'Artesanal Anchoveta XV-IV'!H11</f>
        <v>7454.5720000000001</v>
      </c>
      <c r="K46" s="87">
        <f>+'Artesanal Anchoveta XV-IV'!I11</f>
        <v>7193.6660000000002</v>
      </c>
      <c r="L46" s="87">
        <f>+'Artesanal Anchoveta XV-IV'!K11</f>
        <v>260.90599999999995</v>
      </c>
      <c r="M46" s="27">
        <f>+'Artesanal Anchoveta XV-IV'!L11</f>
        <v>0.96500053926637241</v>
      </c>
      <c r="N46" s="123" t="s">
        <v>69</v>
      </c>
      <c r="O46" s="78">
        <f>+Resumen!C$4</f>
        <v>44926</v>
      </c>
      <c r="P46" s="87">
        <v>2022</v>
      </c>
    </row>
    <row r="47" spans="1:16" s="87" customFormat="1">
      <c r="A47" s="231" t="s">
        <v>86</v>
      </c>
      <c r="B47" s="231" t="s">
        <v>86</v>
      </c>
      <c r="C47" s="231" t="s">
        <v>12</v>
      </c>
      <c r="D47" s="231" t="s">
        <v>102</v>
      </c>
      <c r="E47" s="231" t="str">
        <f>'Artesanal Anchoveta XV-IV'!D12</f>
        <v>CUOTA RESIDUAL</v>
      </c>
      <c r="F47" s="231" t="s">
        <v>89</v>
      </c>
      <c r="G47" s="231" t="s">
        <v>91</v>
      </c>
      <c r="H47" s="231">
        <f>'Artesanal Anchoveta XV-IV'!F12</f>
        <v>76.427999999999997</v>
      </c>
      <c r="I47" s="87">
        <f>'Artesanal Anchoveta XV-IV'!G12</f>
        <v>0</v>
      </c>
      <c r="J47" s="87">
        <f>+'Artesanal Anchoveta XV-IV'!H12</f>
        <v>76.427999999999997</v>
      </c>
      <c r="K47" s="87">
        <f>+'Artesanal Anchoveta XV-IV'!I12</f>
        <v>121.087</v>
      </c>
      <c r="L47" s="87">
        <f>+'Artesanal Anchoveta XV-IV'!K12</f>
        <v>-44.659000000000006</v>
      </c>
      <c r="M47" s="27">
        <f>+'Artesanal Anchoveta XV-IV'!L12</f>
        <v>1.584327733291464</v>
      </c>
      <c r="N47" s="123" t="s">
        <v>69</v>
      </c>
      <c r="O47" s="78">
        <f>+Resumen!C$4</f>
        <v>44926</v>
      </c>
      <c r="P47" s="87">
        <v>2022</v>
      </c>
    </row>
    <row r="48" spans="1:16" s="239" customFormat="1">
      <c r="A48" s="239" t="s">
        <v>86</v>
      </c>
      <c r="B48" s="239" t="s">
        <v>86</v>
      </c>
      <c r="C48" s="239" t="s">
        <v>12</v>
      </c>
      <c r="D48" s="239" t="s">
        <v>102</v>
      </c>
      <c r="E48" s="239" t="s">
        <v>104</v>
      </c>
      <c r="F48" s="239" t="s">
        <v>89</v>
      </c>
      <c r="G48" s="239" t="s">
        <v>91</v>
      </c>
      <c r="H48" s="239">
        <f>+Resumen!E15</f>
        <v>7531</v>
      </c>
      <c r="I48" s="239">
        <f>+Resumen!F15</f>
        <v>0</v>
      </c>
      <c r="J48" s="239">
        <f>+Resumen!G15</f>
        <v>7531</v>
      </c>
      <c r="K48" s="239">
        <f>+Resumen!H15</f>
        <v>7314.7530000000006</v>
      </c>
      <c r="L48" s="239">
        <f>+Resumen!I15</f>
        <v>216.24699999999939</v>
      </c>
      <c r="M48" s="240">
        <f>+Resumen!J15</f>
        <v>0.97128575222414026</v>
      </c>
      <c r="N48" s="241" t="s">
        <v>69</v>
      </c>
      <c r="O48" s="242">
        <f>+Resumen!C$4</f>
        <v>44926</v>
      </c>
      <c r="P48" s="87">
        <v>2022</v>
      </c>
    </row>
    <row r="49" spans="1:16">
      <c r="A49" s="231" t="s">
        <v>94</v>
      </c>
      <c r="B49" s="231" t="s">
        <v>94</v>
      </c>
      <c r="C49" s="231" t="s">
        <v>95</v>
      </c>
      <c r="D49" s="231" t="s">
        <v>96</v>
      </c>
      <c r="E49" s="231" t="str">
        <f>+'Artesanal S.española XV-IV'!D7</f>
        <v>MACROZONA XV - I</v>
      </c>
      <c r="F49" s="231" t="s">
        <v>89</v>
      </c>
      <c r="G49" s="231" t="s">
        <v>91</v>
      </c>
      <c r="H49" s="231">
        <f>+'Artesanal S.española XV-IV'!F7</f>
        <v>630</v>
      </c>
      <c r="I49" s="87">
        <f>+'Artesanal S.española XV-IV'!G7</f>
        <v>0</v>
      </c>
      <c r="J49" s="87">
        <f>+'Artesanal S.española XV-IV'!H7</f>
        <v>630</v>
      </c>
      <c r="K49" s="87">
        <f>+'Artesanal S.española XV-IV'!I7</f>
        <v>0</v>
      </c>
      <c r="L49" s="87">
        <f>+'Artesanal S.española XV-IV'!J7</f>
        <v>630</v>
      </c>
      <c r="M49" s="27">
        <f>+'Artesanal S.española XV-IV'!K7</f>
        <v>0</v>
      </c>
      <c r="N49" s="123" t="s">
        <v>69</v>
      </c>
      <c r="O49" s="78">
        <f>+Resumen!C$4</f>
        <v>44926</v>
      </c>
      <c r="P49" s="87">
        <v>2022</v>
      </c>
    </row>
    <row r="50" spans="1:16" s="235" customFormat="1">
      <c r="A50" s="235" t="s">
        <v>94</v>
      </c>
      <c r="B50" s="235" t="s">
        <v>94</v>
      </c>
      <c r="C50" s="235" t="s">
        <v>95</v>
      </c>
      <c r="D50" s="235" t="s">
        <v>96</v>
      </c>
      <c r="E50" s="235" t="s">
        <v>103</v>
      </c>
      <c r="F50" s="235" t="s">
        <v>89</v>
      </c>
      <c r="G50" s="235" t="s">
        <v>91</v>
      </c>
      <c r="H50" s="235">
        <f>+'Artesanal S.española XV-IV'!M7</f>
        <v>630</v>
      </c>
      <c r="I50" s="235">
        <f>+'Artesanal S.española XV-IV'!N7</f>
        <v>0</v>
      </c>
      <c r="J50" s="235">
        <f>+'Artesanal S.española XV-IV'!O7</f>
        <v>630</v>
      </c>
      <c r="K50" s="235">
        <f>+'Artesanal S.española XV-IV'!P7</f>
        <v>0</v>
      </c>
      <c r="L50" s="235">
        <f>+'Artesanal S.española XV-IV'!Q7</f>
        <v>630</v>
      </c>
      <c r="M50" s="236">
        <f>+'Artesanal S.española XV-IV'!R7</f>
        <v>0</v>
      </c>
      <c r="N50" s="237" t="s">
        <v>69</v>
      </c>
      <c r="O50" s="238">
        <f>+Resumen!C$4</f>
        <v>44926</v>
      </c>
      <c r="P50" s="87">
        <v>2022</v>
      </c>
    </row>
    <row r="51" spans="1:16" s="231" customFormat="1">
      <c r="A51" s="231" t="s">
        <v>94</v>
      </c>
      <c r="B51" s="231" t="s">
        <v>94</v>
      </c>
      <c r="C51" s="231" t="s">
        <v>10</v>
      </c>
      <c r="D51" s="231" t="s">
        <v>101</v>
      </c>
      <c r="E51" s="231" t="str">
        <f>+'Artesanal S.española XV-IV'!D8</f>
        <v>REGIÓN II</v>
      </c>
      <c r="F51" s="231" t="s">
        <v>89</v>
      </c>
      <c r="G51" s="231" t="s">
        <v>91</v>
      </c>
      <c r="H51" s="231">
        <f>+'Artesanal S.española XV-IV'!F8</f>
        <v>2385</v>
      </c>
      <c r="I51" s="231">
        <f>+'Artesanal S.española XV-IV'!G8</f>
        <v>0</v>
      </c>
      <c r="J51" s="231">
        <f>+'Artesanal S.española XV-IV'!H8</f>
        <v>2385</v>
      </c>
      <c r="K51" s="231">
        <f>+'Artesanal S.española XV-IV'!I8</f>
        <v>2303.6669999999999</v>
      </c>
      <c r="L51" s="231">
        <f>+'Artesanal S.española XV-IV'!J8</f>
        <v>81.333000000000084</v>
      </c>
      <c r="M51" s="232">
        <f>+'Artesanal S.española XV-IV'!K8</f>
        <v>0.96589811320754715</v>
      </c>
      <c r="N51" s="233" t="s">
        <v>69</v>
      </c>
      <c r="O51" s="234">
        <f>+Resumen!C$4</f>
        <v>44926</v>
      </c>
      <c r="P51" s="87">
        <v>2022</v>
      </c>
    </row>
    <row r="52" spans="1:16" s="235" customFormat="1">
      <c r="A52" s="235" t="s">
        <v>94</v>
      </c>
      <c r="B52" s="235" t="s">
        <v>94</v>
      </c>
      <c r="C52" s="235" t="s">
        <v>10</v>
      </c>
      <c r="D52" s="235" t="s">
        <v>101</v>
      </c>
      <c r="E52" s="235" t="s">
        <v>103</v>
      </c>
      <c r="F52" s="235" t="s">
        <v>89</v>
      </c>
      <c r="G52" s="235" t="s">
        <v>91</v>
      </c>
      <c r="H52" s="235">
        <f>+'Artesanal S.española XV-IV'!M8</f>
        <v>2385</v>
      </c>
      <c r="I52" s="235">
        <f>+'Artesanal S.española XV-IV'!N8</f>
        <v>0</v>
      </c>
      <c r="J52" s="235">
        <f>+'Artesanal S.española XV-IV'!O8</f>
        <v>2385</v>
      </c>
      <c r="K52" s="235">
        <f>+'Artesanal S.española XV-IV'!P8</f>
        <v>2303.6669999999999</v>
      </c>
      <c r="L52" s="235">
        <f>+'Artesanal S.española XV-IV'!Q8</f>
        <v>81.333000000000084</v>
      </c>
      <c r="M52" s="236">
        <f>+'Artesanal S.española XV-IV'!R8</f>
        <v>0.96589811320754715</v>
      </c>
      <c r="N52" s="237" t="s">
        <v>69</v>
      </c>
      <c r="O52" s="238">
        <f>+Resumen!C$4</f>
        <v>44926</v>
      </c>
      <c r="P52" s="87">
        <v>2022</v>
      </c>
    </row>
    <row r="53" spans="1:16" s="231" customFormat="1">
      <c r="A53" s="231" t="s">
        <v>94</v>
      </c>
      <c r="B53" s="231" t="s">
        <v>94</v>
      </c>
      <c r="C53" s="231" t="s">
        <v>11</v>
      </c>
      <c r="D53" s="231" t="s">
        <v>101</v>
      </c>
      <c r="E53" s="231" t="str">
        <f>+'Artesanal S.española XV-IV'!D10</f>
        <v>REGIÓN III</v>
      </c>
      <c r="F53" s="231" t="s">
        <v>89</v>
      </c>
      <c r="G53" s="231" t="s">
        <v>91</v>
      </c>
      <c r="H53" s="231">
        <f>+'Artesanal S.española XV-IV'!F10</f>
        <v>650</v>
      </c>
      <c r="I53" s="231">
        <f>+'Artesanal S.española XV-IV'!G10</f>
        <v>0</v>
      </c>
      <c r="J53" s="231">
        <f>+'Artesanal S.española XV-IV'!H10</f>
        <v>650</v>
      </c>
      <c r="K53" s="231">
        <f>+'Artesanal S.española XV-IV'!I10</f>
        <v>186.20599999999999</v>
      </c>
      <c r="L53" s="231">
        <f>+'Artesanal S.española XV-IV'!J10</f>
        <v>463.79399999999998</v>
      </c>
      <c r="M53" s="232">
        <f>+'Artesanal S.española XV-IV'!K10</f>
        <v>0.2864707692307692</v>
      </c>
      <c r="N53" s="233" t="s">
        <v>69</v>
      </c>
      <c r="O53" s="234">
        <f>+Resumen!C$4</f>
        <v>44926</v>
      </c>
      <c r="P53" s="87">
        <v>2022</v>
      </c>
    </row>
    <row r="54" spans="1:16" s="235" customFormat="1">
      <c r="A54" s="235" t="s">
        <v>94</v>
      </c>
      <c r="B54" s="235" t="s">
        <v>94</v>
      </c>
      <c r="C54" s="235" t="s">
        <v>11</v>
      </c>
      <c r="D54" s="235" t="s">
        <v>101</v>
      </c>
      <c r="E54" s="235" t="s">
        <v>103</v>
      </c>
      <c r="F54" s="235" t="s">
        <v>89</v>
      </c>
      <c r="G54" s="235" t="s">
        <v>91</v>
      </c>
      <c r="H54" s="235">
        <f>+'Artesanal S.española XV-IV'!M10</f>
        <v>650</v>
      </c>
      <c r="I54" s="235">
        <f>+'Artesanal S.española XV-IV'!N10</f>
        <v>0</v>
      </c>
      <c r="J54" s="235">
        <f>+'Artesanal S.española XV-IV'!O10</f>
        <v>650</v>
      </c>
      <c r="K54" s="235">
        <f>+'Artesanal S.española XV-IV'!P10</f>
        <v>186.20599999999999</v>
      </c>
      <c r="L54" s="235">
        <f>+'Artesanal S.española XV-IV'!Q10</f>
        <v>463.79399999999998</v>
      </c>
      <c r="M54" s="236">
        <f>+'Artesanal S.española XV-IV'!R10</f>
        <v>0.2864707692307692</v>
      </c>
      <c r="N54" s="237" t="s">
        <v>69</v>
      </c>
      <c r="O54" s="238">
        <f>+Resumen!C$4</f>
        <v>44926</v>
      </c>
      <c r="P54" s="87">
        <v>2022</v>
      </c>
    </row>
    <row r="55" spans="1:16" s="231" customFormat="1">
      <c r="A55" s="231" t="s">
        <v>94</v>
      </c>
      <c r="B55" s="231" t="s">
        <v>94</v>
      </c>
      <c r="C55" s="231" t="s">
        <v>12</v>
      </c>
      <c r="D55" s="231" t="s">
        <v>101</v>
      </c>
      <c r="E55" s="231" t="str">
        <f>+'Artesanal S.española XV-IV'!D11</f>
        <v>REGIÓN IV</v>
      </c>
      <c r="F55" s="231" t="s">
        <v>89</v>
      </c>
      <c r="G55" s="231" t="s">
        <v>91</v>
      </c>
      <c r="H55" s="231">
        <f>+'Artesanal S.española XV-IV'!F11</f>
        <v>650</v>
      </c>
      <c r="I55" s="231">
        <f>+'Artesanal S.española XV-IV'!G11</f>
        <v>0</v>
      </c>
      <c r="J55" s="231">
        <f>+'Artesanal S.española XV-IV'!H11</f>
        <v>650</v>
      </c>
      <c r="K55" s="231">
        <f>+'Artesanal S.española XV-IV'!I11</f>
        <v>131.29400000000001</v>
      </c>
      <c r="L55" s="231">
        <f>+'Artesanal S.española XV-IV'!J11</f>
        <v>518.70600000000002</v>
      </c>
      <c r="M55" s="232">
        <f>+'Artesanal S.española XV-IV'!K11</f>
        <v>0.20199076923076925</v>
      </c>
      <c r="N55" s="233" t="s">
        <v>69</v>
      </c>
      <c r="O55" s="234">
        <f>+Resumen!C$4</f>
        <v>44926</v>
      </c>
      <c r="P55" s="87">
        <v>2022</v>
      </c>
    </row>
    <row r="56" spans="1:16" s="235" customFormat="1">
      <c r="A56" s="235" t="s">
        <v>94</v>
      </c>
      <c r="B56" s="235" t="s">
        <v>94</v>
      </c>
      <c r="C56" s="235" t="s">
        <v>12</v>
      </c>
      <c r="D56" s="235" t="s">
        <v>101</v>
      </c>
      <c r="E56" s="235" t="s">
        <v>103</v>
      </c>
      <c r="F56" s="235" t="s">
        <v>89</v>
      </c>
      <c r="G56" s="235" t="s">
        <v>91</v>
      </c>
      <c r="H56" s="235">
        <f>+'Artesanal S.española XV-IV'!M11</f>
        <v>650</v>
      </c>
      <c r="I56" s="235">
        <f>+'Artesanal S.española XV-IV'!N11</f>
        <v>0</v>
      </c>
      <c r="J56" s="235">
        <f>+'Artesanal S.española XV-IV'!O11</f>
        <v>650</v>
      </c>
      <c r="K56" s="235">
        <f>+'Artesanal S.española XV-IV'!P11</f>
        <v>131.29400000000001</v>
      </c>
      <c r="L56" s="235">
        <f>+'Artesanal S.española XV-IV'!Q11</f>
        <v>518.70600000000002</v>
      </c>
      <c r="M56" s="236">
        <f>+'Artesanal S.española XV-IV'!R11</f>
        <v>0.20199076923076925</v>
      </c>
      <c r="N56" s="237" t="s">
        <v>69</v>
      </c>
      <c r="O56" s="238">
        <f>+Resumen!C$4</f>
        <v>44926</v>
      </c>
      <c r="P56" s="87">
        <v>2022</v>
      </c>
    </row>
    <row r="57" spans="1:16">
      <c r="A57" s="81"/>
      <c r="B57" s="81"/>
    </row>
    <row r="58" spans="1:16">
      <c r="A58" s="81"/>
      <c r="B58" s="81"/>
    </row>
    <row r="59" spans="1:16">
      <c r="A59" s="81"/>
      <c r="B59" s="81"/>
    </row>
  </sheetData>
  <autoFilter ref="A1:Q56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S21"/>
  <sheetViews>
    <sheetView zoomScale="98" zoomScaleNormal="98" workbookViewId="0">
      <selection activeCell="I11" sqref="I11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  <col min="10" max="10" width="11.42578125" style="87"/>
  </cols>
  <sheetData>
    <row r="2" spans="2:19">
      <c r="B2" s="307" t="s">
        <v>194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</row>
    <row r="3" spans="2:19" s="22" customFormat="1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</row>
    <row r="4" spans="2:19">
      <c r="B4" s="299">
        <f>+Resumen!C4</f>
        <v>44926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2:19">
      <c r="N5" s="310" t="s">
        <v>68</v>
      </c>
      <c r="O5" s="310"/>
      <c r="P5" s="310"/>
      <c r="Q5" s="310"/>
      <c r="R5" s="310"/>
      <c r="S5" s="310"/>
    </row>
    <row r="6" spans="2:19" ht="30">
      <c r="B6" s="12" t="s">
        <v>17</v>
      </c>
      <c r="C6" s="111" t="s">
        <v>130</v>
      </c>
      <c r="D6" s="13" t="s">
        <v>26</v>
      </c>
      <c r="E6" s="13" t="s">
        <v>20</v>
      </c>
      <c r="F6" s="12" t="s">
        <v>31</v>
      </c>
      <c r="G6" s="13" t="s">
        <v>4</v>
      </c>
      <c r="H6" s="12" t="s">
        <v>32</v>
      </c>
      <c r="I6" s="118" t="s">
        <v>133</v>
      </c>
      <c r="J6" s="195" t="s">
        <v>190</v>
      </c>
      <c r="K6" s="118" t="s">
        <v>132</v>
      </c>
      <c r="L6" s="13" t="s">
        <v>33</v>
      </c>
      <c r="M6" s="13" t="s">
        <v>34</v>
      </c>
      <c r="N6" s="19" t="s">
        <v>31</v>
      </c>
      <c r="O6" s="20" t="s">
        <v>4</v>
      </c>
      <c r="P6" s="20" t="s">
        <v>32</v>
      </c>
      <c r="Q6" s="20" t="s">
        <v>6</v>
      </c>
      <c r="R6" s="20" t="s">
        <v>7</v>
      </c>
      <c r="S6" s="20" t="s">
        <v>33</v>
      </c>
    </row>
    <row r="7" spans="2:19" ht="30">
      <c r="B7" s="311" t="s">
        <v>18</v>
      </c>
      <c r="C7" s="199" t="s">
        <v>23</v>
      </c>
      <c r="D7" s="200" t="s">
        <v>97</v>
      </c>
      <c r="E7" s="16" t="s">
        <v>53</v>
      </c>
      <c r="F7" s="105">
        <v>103965</v>
      </c>
      <c r="G7" s="100">
        <f>10052</f>
        <v>10052</v>
      </c>
      <c r="H7" s="100">
        <f t="shared" ref="H7:H13" si="0">+F7+G7</f>
        <v>114017</v>
      </c>
      <c r="I7" s="106">
        <v>114012.235</v>
      </c>
      <c r="J7" s="106"/>
      <c r="K7" s="100">
        <f t="shared" ref="K7:K13" si="1">+H7-I7</f>
        <v>4.7649999999994179</v>
      </c>
      <c r="L7" s="139">
        <f t="shared" ref="L7:L13" si="2">+I7/H7</f>
        <v>0.99995820798652835</v>
      </c>
      <c r="M7" s="270">
        <v>44704</v>
      </c>
      <c r="N7" s="202">
        <f t="shared" ref="N7:O12" si="3">+F7</f>
        <v>103965</v>
      </c>
      <c r="O7" s="202">
        <f t="shared" si="3"/>
        <v>10052</v>
      </c>
      <c r="P7" s="202">
        <f>+N7+O7</f>
        <v>114017</v>
      </c>
      <c r="Q7" s="202">
        <f t="shared" ref="Q7:Q13" si="4">+I7</f>
        <v>114012.235</v>
      </c>
      <c r="R7" s="202">
        <f t="shared" ref="R7:R13" si="5">+P7-Q7</f>
        <v>4.7649999999994179</v>
      </c>
      <c r="S7" s="203">
        <f t="shared" ref="S7:S13" si="6">+Q7/P7</f>
        <v>0.99995820798652835</v>
      </c>
    </row>
    <row r="8" spans="2:19">
      <c r="B8" s="312"/>
      <c r="C8" s="266" t="s">
        <v>24</v>
      </c>
      <c r="D8" s="267" t="s">
        <v>98</v>
      </c>
      <c r="E8" s="16" t="s">
        <v>53</v>
      </c>
      <c r="F8" s="105">
        <v>39604</v>
      </c>
      <c r="G8" s="100"/>
      <c r="H8" s="100">
        <f t="shared" si="0"/>
        <v>39604</v>
      </c>
      <c r="I8" s="106">
        <v>39729.65</v>
      </c>
      <c r="J8" s="106"/>
      <c r="K8" s="100">
        <f t="shared" si="1"/>
        <v>-125.65000000000146</v>
      </c>
      <c r="L8" s="18">
        <f t="shared" si="2"/>
        <v>1.0031726593273407</v>
      </c>
      <c r="M8" s="191">
        <v>44744</v>
      </c>
      <c r="N8" s="268">
        <f>F8</f>
        <v>39604</v>
      </c>
      <c r="O8" s="268">
        <f t="shared" si="3"/>
        <v>0</v>
      </c>
      <c r="P8" s="268">
        <f>+N8+O8</f>
        <v>39604</v>
      </c>
      <c r="Q8" s="268">
        <f t="shared" si="4"/>
        <v>39729.65</v>
      </c>
      <c r="R8" s="268">
        <f t="shared" si="5"/>
        <v>-125.65000000000146</v>
      </c>
      <c r="S8" s="269">
        <f t="shared" si="6"/>
        <v>1.0031726593273407</v>
      </c>
    </row>
    <row r="9" spans="2:19" s="87" customFormat="1">
      <c r="B9" s="313"/>
      <c r="C9" s="117" t="s">
        <v>131</v>
      </c>
      <c r="D9" s="115" t="s">
        <v>15</v>
      </c>
      <c r="E9" s="16" t="s">
        <v>53</v>
      </c>
      <c r="F9" s="105">
        <v>1000</v>
      </c>
      <c r="G9" s="100"/>
      <c r="H9" s="100">
        <f t="shared" si="0"/>
        <v>1000</v>
      </c>
      <c r="I9" s="188"/>
      <c r="J9" s="188"/>
      <c r="K9" s="100">
        <f t="shared" si="1"/>
        <v>1000</v>
      </c>
      <c r="L9" s="18">
        <f t="shared" si="2"/>
        <v>0</v>
      </c>
      <c r="M9" s="191" t="s">
        <v>69</v>
      </c>
      <c r="N9" s="113">
        <f t="shared" si="3"/>
        <v>1000</v>
      </c>
      <c r="O9" s="113">
        <f t="shared" si="3"/>
        <v>0</v>
      </c>
      <c r="P9" s="113">
        <f>+H9</f>
        <v>1000</v>
      </c>
      <c r="Q9" s="113">
        <f t="shared" si="4"/>
        <v>0</v>
      </c>
      <c r="R9" s="113">
        <f t="shared" si="5"/>
        <v>1000</v>
      </c>
      <c r="S9" s="114">
        <f t="shared" si="6"/>
        <v>0</v>
      </c>
    </row>
    <row r="10" spans="2:19">
      <c r="B10" s="308" t="s">
        <v>21</v>
      </c>
      <c r="C10" s="15" t="s">
        <v>25</v>
      </c>
      <c r="D10" s="79" t="s">
        <v>99</v>
      </c>
      <c r="E10" s="16" t="s">
        <v>53</v>
      </c>
      <c r="F10" s="105">
        <v>17571</v>
      </c>
      <c r="G10" s="100"/>
      <c r="H10" s="100">
        <f t="shared" si="0"/>
        <v>17571</v>
      </c>
      <c r="I10" s="106">
        <v>16377</v>
      </c>
      <c r="J10" s="106"/>
      <c r="K10" s="100">
        <f t="shared" si="1"/>
        <v>1194</v>
      </c>
      <c r="L10" s="139">
        <f t="shared" si="2"/>
        <v>0.93204712310056348</v>
      </c>
      <c r="M10" s="191" t="s">
        <v>69</v>
      </c>
      <c r="N10" s="101">
        <f t="shared" si="3"/>
        <v>17571</v>
      </c>
      <c r="O10" s="101">
        <f t="shared" si="3"/>
        <v>0</v>
      </c>
      <c r="P10" s="101">
        <f>+N10+O10</f>
        <v>17571</v>
      </c>
      <c r="Q10" s="101">
        <f t="shared" si="4"/>
        <v>16377</v>
      </c>
      <c r="R10" s="101">
        <f t="shared" si="5"/>
        <v>1194</v>
      </c>
      <c r="S10" s="21">
        <f t="shared" si="6"/>
        <v>0.93204712310056348</v>
      </c>
    </row>
    <row r="11" spans="2:19">
      <c r="B11" s="309"/>
      <c r="C11" s="314" t="s">
        <v>27</v>
      </c>
      <c r="D11" s="79" t="s">
        <v>206</v>
      </c>
      <c r="E11" s="16" t="s">
        <v>53</v>
      </c>
      <c r="F11" s="105">
        <v>7454.5720000000001</v>
      </c>
      <c r="G11" s="100"/>
      <c r="H11" s="100">
        <f t="shared" si="0"/>
        <v>7454.5720000000001</v>
      </c>
      <c r="I11" s="106">
        <v>7193.6660000000002</v>
      </c>
      <c r="J11" s="106"/>
      <c r="K11" s="100">
        <f t="shared" si="1"/>
        <v>260.90599999999995</v>
      </c>
      <c r="L11" s="139">
        <f t="shared" si="2"/>
        <v>0.96500053926637241</v>
      </c>
      <c r="M11" s="191" t="s">
        <v>69</v>
      </c>
      <c r="N11" s="101">
        <f t="shared" si="3"/>
        <v>7454.5720000000001</v>
      </c>
      <c r="O11" s="101">
        <f t="shared" si="3"/>
        <v>0</v>
      </c>
      <c r="P11" s="101">
        <f>+N11+O11</f>
        <v>7454.5720000000001</v>
      </c>
      <c r="Q11" s="101">
        <f t="shared" si="4"/>
        <v>7193.6660000000002</v>
      </c>
      <c r="R11" s="101">
        <f t="shared" si="5"/>
        <v>260.90599999999995</v>
      </c>
      <c r="S11" s="21">
        <f t="shared" si="6"/>
        <v>0.96500053926637241</v>
      </c>
    </row>
    <row r="12" spans="2:19" s="87" customFormat="1">
      <c r="B12" s="309"/>
      <c r="C12" s="315"/>
      <c r="D12" s="253" t="s">
        <v>207</v>
      </c>
      <c r="E12" s="16" t="s">
        <v>53</v>
      </c>
      <c r="F12" s="245">
        <v>76.427999999999997</v>
      </c>
      <c r="G12" s="246"/>
      <c r="H12" s="246">
        <f t="shared" si="0"/>
        <v>76.427999999999997</v>
      </c>
      <c r="I12" s="247">
        <v>121.087</v>
      </c>
      <c r="J12" s="247"/>
      <c r="K12" s="246">
        <f t="shared" si="1"/>
        <v>-44.659000000000006</v>
      </c>
      <c r="L12" s="254">
        <f t="shared" si="2"/>
        <v>1.584327733291464</v>
      </c>
      <c r="M12" s="255">
        <v>44676</v>
      </c>
      <c r="N12" s="204">
        <f t="shared" si="3"/>
        <v>76.427999999999997</v>
      </c>
      <c r="O12" s="101">
        <f>+G12</f>
        <v>0</v>
      </c>
      <c r="P12" s="101">
        <f>+N12+O12</f>
        <v>76.427999999999997</v>
      </c>
      <c r="Q12" s="101">
        <f t="shared" si="4"/>
        <v>121.087</v>
      </c>
      <c r="R12" s="101">
        <f t="shared" si="5"/>
        <v>-44.659000000000006</v>
      </c>
      <c r="S12" s="21">
        <f t="shared" si="6"/>
        <v>1.584327733291464</v>
      </c>
    </row>
    <row r="13" spans="2:19" s="87" customFormat="1">
      <c r="B13" s="309"/>
      <c r="C13" s="116" t="s">
        <v>131</v>
      </c>
      <c r="D13" s="79" t="s">
        <v>16</v>
      </c>
      <c r="E13" s="16" t="s">
        <v>53</v>
      </c>
      <c r="F13" s="105">
        <v>500</v>
      </c>
      <c r="G13" s="100"/>
      <c r="H13" s="100">
        <f t="shared" si="0"/>
        <v>500</v>
      </c>
      <c r="I13" s="188"/>
      <c r="J13" s="188"/>
      <c r="K13" s="100">
        <f t="shared" si="1"/>
        <v>500</v>
      </c>
      <c r="L13" s="18">
        <f t="shared" si="2"/>
        <v>0</v>
      </c>
      <c r="M13" s="191" t="s">
        <v>69</v>
      </c>
      <c r="N13" s="101">
        <f>+F13</f>
        <v>500</v>
      </c>
      <c r="O13" s="101">
        <f>+G13</f>
        <v>0</v>
      </c>
      <c r="P13" s="101">
        <f>+H13</f>
        <v>500</v>
      </c>
      <c r="Q13" s="101">
        <f t="shared" si="4"/>
        <v>0</v>
      </c>
      <c r="R13" s="101">
        <f t="shared" si="5"/>
        <v>500</v>
      </c>
      <c r="S13" s="21">
        <f t="shared" si="6"/>
        <v>0</v>
      </c>
    </row>
    <row r="14" spans="2:19">
      <c r="B14" s="3"/>
      <c r="F14" s="120"/>
    </row>
    <row r="17" spans="2:5">
      <c r="E17" s="87"/>
    </row>
    <row r="20" spans="2:5">
      <c r="B20" s="87"/>
    </row>
    <row r="21" spans="2:5">
      <c r="B21" s="87"/>
    </row>
  </sheetData>
  <mergeCells count="6">
    <mergeCell ref="B2:S3"/>
    <mergeCell ref="B10:B13"/>
    <mergeCell ref="B4:S4"/>
    <mergeCell ref="N5:S5"/>
    <mergeCell ref="B7:B9"/>
    <mergeCell ref="C11:C12"/>
  </mergeCells>
  <conditionalFormatting sqref="K7:K13">
    <cfRule type="cellIs" dxfId="8" priority="3" operator="lessThan">
      <formula>0</formula>
    </cfRule>
  </conditionalFormatting>
  <conditionalFormatting sqref="S10:S13 S7:S8 L7:L13">
    <cfRule type="cellIs" dxfId="7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E28" sqref="E28"/>
    </sheetView>
  </sheetViews>
  <sheetFormatPr baseColWidth="10" defaultRowHeight="15"/>
  <cols>
    <col min="2" max="2" width="18.7109375" customWidth="1"/>
    <col min="3" max="3" width="27.28515625" customWidth="1"/>
    <col min="4" max="4" width="22.28515625" bestFit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316" t="s">
        <v>197</v>
      </c>
      <c r="C2" s="316"/>
      <c r="D2" s="316"/>
      <c r="E2" s="316"/>
      <c r="F2" s="316"/>
      <c r="G2" s="316"/>
      <c r="H2" s="316"/>
      <c r="I2" s="316"/>
    </row>
    <row r="3" spans="2:9">
      <c r="B3" s="317">
        <f>Resumen!C4</f>
        <v>44926</v>
      </c>
      <c r="C3" s="317"/>
      <c r="D3" s="317"/>
      <c r="E3" s="317"/>
      <c r="F3" s="317"/>
      <c r="G3" s="317"/>
      <c r="H3" s="317"/>
      <c r="I3" s="317"/>
    </row>
    <row r="4" spans="2:9">
      <c r="B4" s="99"/>
      <c r="C4" s="99"/>
      <c r="D4" s="99"/>
      <c r="E4" s="99"/>
      <c r="F4" s="99"/>
      <c r="G4" s="99"/>
      <c r="H4" s="99"/>
      <c r="I4" s="99"/>
    </row>
    <row r="5" spans="2:9">
      <c r="B5" s="192" t="s">
        <v>156</v>
      </c>
      <c r="C5" s="192" t="s">
        <v>26</v>
      </c>
      <c r="D5" s="192" t="s">
        <v>35</v>
      </c>
      <c r="E5" s="192" t="s">
        <v>157</v>
      </c>
      <c r="F5" s="192" t="s">
        <v>158</v>
      </c>
      <c r="G5" s="192" t="s">
        <v>159</v>
      </c>
      <c r="H5" s="192" t="s">
        <v>160</v>
      </c>
      <c r="I5" s="192" t="s">
        <v>34</v>
      </c>
    </row>
    <row r="6" spans="2:9" s="87" customFormat="1">
      <c r="B6" s="194" t="s">
        <v>30</v>
      </c>
      <c r="C6" s="196" t="s">
        <v>189</v>
      </c>
      <c r="D6" s="198" t="s">
        <v>205</v>
      </c>
      <c r="E6" s="248">
        <v>7265.7</v>
      </c>
      <c r="F6" s="185">
        <v>7260</v>
      </c>
      <c r="G6" s="186">
        <f>E6-F6</f>
        <v>5.6999999999998181</v>
      </c>
      <c r="H6" s="124">
        <f>F6/E6</f>
        <v>0.99921549196911519</v>
      </c>
      <c r="I6" s="185" t="s">
        <v>69</v>
      </c>
    </row>
    <row r="7" spans="2:9">
      <c r="B7" s="222" t="s">
        <v>27</v>
      </c>
      <c r="C7" s="193" t="s">
        <v>28</v>
      </c>
      <c r="D7" s="198" t="s">
        <v>205</v>
      </c>
      <c r="E7" s="248">
        <v>188.19399999999951</v>
      </c>
      <c r="F7" s="134">
        <v>188.19399999999999</v>
      </c>
      <c r="G7" s="197">
        <f>E7-F7</f>
        <v>-4.8316906031686813E-13</v>
      </c>
      <c r="H7" s="124">
        <f>F7/E7</f>
        <v>1.0000000000000027</v>
      </c>
      <c r="I7" s="198" t="s">
        <v>69</v>
      </c>
    </row>
  </sheetData>
  <mergeCells count="2">
    <mergeCell ref="B2:I2"/>
    <mergeCell ref="B3:I3"/>
  </mergeCells>
  <phoneticPr fontId="3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workbookViewId="0">
      <selection activeCell="K17" sqref="K17"/>
    </sheetView>
  </sheetViews>
  <sheetFormatPr baseColWidth="10" defaultRowHeight="15"/>
  <cols>
    <col min="2" max="2" width="8" bestFit="1" customWidth="1"/>
    <col min="3" max="3" width="15.5703125" bestFit="1" customWidth="1"/>
    <col min="4" max="4" width="7" bestFit="1" customWidth="1"/>
    <col min="5" max="5" width="22.28515625" bestFit="1" customWidth="1"/>
    <col min="6" max="6" width="24.42578125" bestFit="1" customWidth="1"/>
    <col min="7" max="7" width="10.7109375" bestFit="1" customWidth="1"/>
    <col min="8" max="8" width="8.7109375" bestFit="1" customWidth="1"/>
    <col min="9" max="9" width="13.42578125" bestFit="1" customWidth="1"/>
  </cols>
  <sheetData>
    <row r="2" spans="2:9">
      <c r="B2" s="251" t="s">
        <v>101</v>
      </c>
      <c r="C2" s="251" t="s">
        <v>203</v>
      </c>
      <c r="D2" s="251" t="s">
        <v>119</v>
      </c>
      <c r="E2" s="251" t="s">
        <v>204</v>
      </c>
      <c r="F2" s="252" t="s">
        <v>308</v>
      </c>
      <c r="G2" s="252" t="s">
        <v>158</v>
      </c>
      <c r="H2" s="252" t="s">
        <v>159</v>
      </c>
      <c r="I2" s="252" t="s">
        <v>160</v>
      </c>
    </row>
    <row r="3" spans="2:9">
      <c r="B3" s="210" t="s">
        <v>11</v>
      </c>
      <c r="C3" s="210" t="s">
        <v>170</v>
      </c>
      <c r="D3" s="210">
        <v>913444</v>
      </c>
      <c r="E3" s="198" t="s">
        <v>205</v>
      </c>
      <c r="F3" s="318">
        <v>13072.517</v>
      </c>
      <c r="G3" s="250">
        <v>671</v>
      </c>
      <c r="H3" s="320">
        <f>F3-(G3+G4+G5+G6+G7+G8+G9+G10+G11+G12+G13+G14+G15+G16+G17)</f>
        <v>3970.5169999999998</v>
      </c>
      <c r="I3" s="323">
        <f>(G3+G4+G5+G6+G7+G8+G9+G10+G11+G12+G13+G14+G15+G16+G17)/F3</f>
        <v>0.69626989201849954</v>
      </c>
    </row>
    <row r="4" spans="2:9">
      <c r="B4" s="210" t="s">
        <v>11</v>
      </c>
      <c r="C4" s="210" t="s">
        <v>171</v>
      </c>
      <c r="D4" s="210">
        <v>966244</v>
      </c>
      <c r="E4" s="198" t="s">
        <v>205</v>
      </c>
      <c r="F4" s="326"/>
      <c r="G4" s="250"/>
      <c r="H4" s="321"/>
      <c r="I4" s="324"/>
    </row>
    <row r="5" spans="2:9">
      <c r="B5" s="210" t="s">
        <v>11</v>
      </c>
      <c r="C5" s="210" t="s">
        <v>172</v>
      </c>
      <c r="D5" s="210">
        <v>968467</v>
      </c>
      <c r="E5" s="198" t="s">
        <v>205</v>
      </c>
      <c r="F5" s="326"/>
      <c r="G5" s="250">
        <v>284</v>
      </c>
      <c r="H5" s="321"/>
      <c r="I5" s="324"/>
    </row>
    <row r="6" spans="2:9">
      <c r="B6" s="210" t="s">
        <v>11</v>
      </c>
      <c r="C6" s="210" t="s">
        <v>173</v>
      </c>
      <c r="D6" s="210">
        <v>950657</v>
      </c>
      <c r="E6" s="198" t="s">
        <v>205</v>
      </c>
      <c r="F6" s="326"/>
      <c r="G6" s="250">
        <v>1070</v>
      </c>
      <c r="H6" s="321"/>
      <c r="I6" s="324"/>
    </row>
    <row r="7" spans="2:9">
      <c r="B7" s="210" t="s">
        <v>11</v>
      </c>
      <c r="C7" s="210" t="s">
        <v>191</v>
      </c>
      <c r="D7" s="210">
        <v>960352</v>
      </c>
      <c r="E7" s="198" t="s">
        <v>205</v>
      </c>
      <c r="F7" s="326"/>
      <c r="G7" s="250">
        <v>523</v>
      </c>
      <c r="H7" s="321"/>
      <c r="I7" s="324"/>
    </row>
    <row r="8" spans="2:9">
      <c r="B8" s="210" t="s">
        <v>11</v>
      </c>
      <c r="C8" s="210" t="s">
        <v>174</v>
      </c>
      <c r="D8" s="210">
        <v>951110</v>
      </c>
      <c r="E8" s="198" t="s">
        <v>205</v>
      </c>
      <c r="F8" s="326"/>
      <c r="G8" s="250">
        <v>718</v>
      </c>
      <c r="H8" s="321"/>
      <c r="I8" s="324"/>
    </row>
    <row r="9" spans="2:9">
      <c r="B9" s="210" t="s">
        <v>11</v>
      </c>
      <c r="C9" s="210" t="s">
        <v>192</v>
      </c>
      <c r="D9" s="210">
        <v>969269</v>
      </c>
      <c r="E9" s="198" t="s">
        <v>205</v>
      </c>
      <c r="F9" s="326"/>
      <c r="G9" s="250">
        <v>1012</v>
      </c>
      <c r="H9" s="321"/>
      <c r="I9" s="324"/>
    </row>
    <row r="10" spans="2:9">
      <c r="B10" s="210" t="s">
        <v>11</v>
      </c>
      <c r="C10" s="210" t="s">
        <v>175</v>
      </c>
      <c r="D10" s="210">
        <v>963710</v>
      </c>
      <c r="E10" s="198" t="s">
        <v>205</v>
      </c>
      <c r="F10" s="326"/>
      <c r="G10" s="250">
        <v>1143</v>
      </c>
      <c r="H10" s="321"/>
      <c r="I10" s="324"/>
    </row>
    <row r="11" spans="2:9">
      <c r="B11" s="210" t="s">
        <v>11</v>
      </c>
      <c r="C11" s="210" t="s">
        <v>176</v>
      </c>
      <c r="D11" s="210">
        <v>923206</v>
      </c>
      <c r="E11" s="198" t="s">
        <v>205</v>
      </c>
      <c r="F11" s="326"/>
      <c r="G11" s="250"/>
      <c r="H11" s="321"/>
      <c r="I11" s="324"/>
    </row>
    <row r="12" spans="2:9">
      <c r="B12" s="210" t="s">
        <v>11</v>
      </c>
      <c r="C12" s="210" t="s">
        <v>177</v>
      </c>
      <c r="D12" s="210">
        <v>962529</v>
      </c>
      <c r="E12" s="198" t="s">
        <v>205</v>
      </c>
      <c r="F12" s="326"/>
      <c r="G12" s="250">
        <v>737</v>
      </c>
      <c r="H12" s="321"/>
      <c r="I12" s="324"/>
    </row>
    <row r="13" spans="2:9">
      <c r="B13" s="210" t="s">
        <v>11</v>
      </c>
      <c r="C13" s="210" t="s">
        <v>178</v>
      </c>
      <c r="D13" s="210">
        <v>967677</v>
      </c>
      <c r="E13" s="198" t="s">
        <v>205</v>
      </c>
      <c r="F13" s="326"/>
      <c r="G13" s="250">
        <v>955</v>
      </c>
      <c r="H13" s="321"/>
      <c r="I13" s="324"/>
    </row>
    <row r="14" spans="2:9">
      <c r="B14" s="210" t="s">
        <v>11</v>
      </c>
      <c r="C14" s="210" t="s">
        <v>179</v>
      </c>
      <c r="D14" s="210">
        <v>35893</v>
      </c>
      <c r="E14" s="198" t="s">
        <v>205</v>
      </c>
      <c r="F14" s="326"/>
      <c r="G14" s="250">
        <v>406</v>
      </c>
      <c r="H14" s="321"/>
      <c r="I14" s="324"/>
    </row>
    <row r="15" spans="2:9">
      <c r="B15" s="210" t="s">
        <v>11</v>
      </c>
      <c r="C15" s="210" t="s">
        <v>180</v>
      </c>
      <c r="D15" s="210">
        <v>955847</v>
      </c>
      <c r="E15" s="198" t="s">
        <v>205</v>
      </c>
      <c r="F15" s="326"/>
      <c r="G15" s="250">
        <v>597</v>
      </c>
      <c r="H15" s="321"/>
      <c r="I15" s="324"/>
    </row>
    <row r="16" spans="2:9">
      <c r="B16" s="210" t="s">
        <v>11</v>
      </c>
      <c r="C16" s="210" t="s">
        <v>181</v>
      </c>
      <c r="D16" s="210">
        <v>951184</v>
      </c>
      <c r="E16" s="198" t="s">
        <v>205</v>
      </c>
      <c r="F16" s="326"/>
      <c r="G16" s="250">
        <v>83</v>
      </c>
      <c r="H16" s="321"/>
      <c r="I16" s="324"/>
    </row>
    <row r="17" spans="2:9">
      <c r="B17" s="210" t="s">
        <v>11</v>
      </c>
      <c r="C17" s="210" t="s">
        <v>182</v>
      </c>
      <c r="D17" s="210">
        <v>955947</v>
      </c>
      <c r="E17" s="198" t="s">
        <v>205</v>
      </c>
      <c r="F17" s="327"/>
      <c r="G17" s="250">
        <v>903</v>
      </c>
      <c r="H17" s="322"/>
      <c r="I17" s="325"/>
    </row>
    <row r="18" spans="2:9">
      <c r="B18" s="210" t="s">
        <v>12</v>
      </c>
      <c r="C18" s="210" t="s">
        <v>145</v>
      </c>
      <c r="D18" s="210">
        <v>965236</v>
      </c>
      <c r="E18" s="198" t="s">
        <v>205</v>
      </c>
      <c r="F18" s="318">
        <v>924.14299999999821</v>
      </c>
      <c r="G18" s="250">
        <v>79.78</v>
      </c>
      <c r="H18" s="320">
        <f>(F18-(G18+G19+G20+G21+G22+G23+G24+G25+G26+G27+G28+G29+G30+G31+G32))</f>
        <v>0.49999999999818101</v>
      </c>
      <c r="I18" s="323">
        <f>(G18+G19+G20+G21+G22+G23+G24+G25+G26+G27+G28+G29+G30+G31+G32)/F18</f>
        <v>0.99945895819153729</v>
      </c>
    </row>
    <row r="19" spans="2:9">
      <c r="B19" s="210" t="s">
        <v>12</v>
      </c>
      <c r="C19" s="210" t="s">
        <v>162</v>
      </c>
      <c r="D19" s="210">
        <v>901588</v>
      </c>
      <c r="E19" s="198" t="s">
        <v>205</v>
      </c>
      <c r="F19" s="326"/>
      <c r="G19" s="250">
        <v>118.02200000000001</v>
      </c>
      <c r="H19" s="321"/>
      <c r="I19" s="324"/>
    </row>
    <row r="20" spans="2:9">
      <c r="B20" s="210" t="s">
        <v>12</v>
      </c>
      <c r="C20" s="210" t="s">
        <v>184</v>
      </c>
      <c r="D20" s="210">
        <v>966397</v>
      </c>
      <c r="E20" s="198" t="s">
        <v>205</v>
      </c>
      <c r="F20" s="326"/>
      <c r="G20" s="250">
        <v>27.86</v>
      </c>
      <c r="H20" s="321"/>
      <c r="I20" s="324"/>
    </row>
    <row r="21" spans="2:9">
      <c r="B21" s="210" t="s">
        <v>12</v>
      </c>
      <c r="C21" s="210" t="s">
        <v>146</v>
      </c>
      <c r="D21" s="210">
        <v>964933</v>
      </c>
      <c r="E21" s="198" t="s">
        <v>205</v>
      </c>
      <c r="F21" s="326"/>
      <c r="G21" s="250"/>
      <c r="H21" s="321"/>
      <c r="I21" s="324"/>
    </row>
    <row r="22" spans="2:9">
      <c r="B22" s="210" t="s">
        <v>12</v>
      </c>
      <c r="C22" s="249" t="s">
        <v>185</v>
      </c>
      <c r="D22" s="249">
        <v>960563</v>
      </c>
      <c r="E22" s="198" t="s">
        <v>205</v>
      </c>
      <c r="F22" s="326"/>
      <c r="G22" s="250">
        <v>152.49199999999999</v>
      </c>
      <c r="H22" s="321"/>
      <c r="I22" s="324"/>
    </row>
    <row r="23" spans="2:9">
      <c r="B23" s="210" t="s">
        <v>12</v>
      </c>
      <c r="C23" s="249" t="s">
        <v>163</v>
      </c>
      <c r="D23" s="249">
        <v>960673</v>
      </c>
      <c r="E23" s="198" t="s">
        <v>205</v>
      </c>
      <c r="F23" s="326"/>
      <c r="G23" s="250"/>
      <c r="H23" s="321"/>
      <c r="I23" s="324"/>
    </row>
    <row r="24" spans="2:9">
      <c r="B24" s="210" t="s">
        <v>12</v>
      </c>
      <c r="C24" s="249" t="s">
        <v>164</v>
      </c>
      <c r="D24" s="249">
        <v>923266</v>
      </c>
      <c r="E24" s="198" t="s">
        <v>205</v>
      </c>
      <c r="F24" s="326"/>
      <c r="G24" s="250">
        <v>154.77199999999999</v>
      </c>
      <c r="H24" s="321"/>
      <c r="I24" s="324"/>
    </row>
    <row r="25" spans="2:9">
      <c r="B25" s="210" t="s">
        <v>12</v>
      </c>
      <c r="C25" s="249" t="s">
        <v>165</v>
      </c>
      <c r="D25" s="249">
        <v>957989</v>
      </c>
      <c r="E25" s="198" t="s">
        <v>205</v>
      </c>
      <c r="F25" s="326"/>
      <c r="G25" s="250">
        <v>86.778000000000006</v>
      </c>
      <c r="H25" s="321"/>
      <c r="I25" s="324"/>
    </row>
    <row r="26" spans="2:9">
      <c r="B26" s="210" t="s">
        <v>12</v>
      </c>
      <c r="C26" s="249" t="s">
        <v>166</v>
      </c>
      <c r="D26" s="249">
        <v>966707</v>
      </c>
      <c r="E26" s="198" t="s">
        <v>205</v>
      </c>
      <c r="F26" s="326"/>
      <c r="G26" s="250">
        <v>150.00899999999999</v>
      </c>
      <c r="H26" s="321"/>
      <c r="I26" s="324"/>
    </row>
    <row r="27" spans="2:9">
      <c r="B27" s="210" t="s">
        <v>12</v>
      </c>
      <c r="C27" s="249" t="s">
        <v>186</v>
      </c>
      <c r="D27" s="249">
        <v>958708</v>
      </c>
      <c r="E27" s="198" t="s">
        <v>205</v>
      </c>
      <c r="F27" s="326"/>
      <c r="G27" s="250"/>
      <c r="H27" s="321"/>
      <c r="I27" s="324"/>
    </row>
    <row r="28" spans="2:9">
      <c r="B28" s="210" t="s">
        <v>12</v>
      </c>
      <c r="C28" s="249" t="s">
        <v>167</v>
      </c>
      <c r="D28" s="249">
        <v>953023</v>
      </c>
      <c r="E28" s="198" t="s">
        <v>205</v>
      </c>
      <c r="F28" s="326"/>
      <c r="G28" s="250">
        <v>29.404</v>
      </c>
      <c r="H28" s="321"/>
      <c r="I28" s="324"/>
    </row>
    <row r="29" spans="2:9">
      <c r="B29" s="210" t="s">
        <v>12</v>
      </c>
      <c r="C29" s="249" t="s">
        <v>187</v>
      </c>
      <c r="D29" s="249">
        <v>923167</v>
      </c>
      <c r="E29" s="198" t="s">
        <v>205</v>
      </c>
      <c r="F29" s="326"/>
      <c r="G29" s="250"/>
      <c r="H29" s="321"/>
      <c r="I29" s="324"/>
    </row>
    <row r="30" spans="2:9">
      <c r="B30" s="210" t="s">
        <v>12</v>
      </c>
      <c r="C30" s="249" t="s">
        <v>168</v>
      </c>
      <c r="D30" s="249">
        <v>956427</v>
      </c>
      <c r="E30" s="198" t="s">
        <v>205</v>
      </c>
      <c r="F30" s="326"/>
      <c r="G30" s="250">
        <v>70.585999999999999</v>
      </c>
      <c r="H30" s="321"/>
      <c r="I30" s="324"/>
    </row>
    <row r="31" spans="2:9">
      <c r="B31" s="210" t="s">
        <v>12</v>
      </c>
      <c r="C31" s="249" t="s">
        <v>169</v>
      </c>
      <c r="D31" s="249">
        <v>950875</v>
      </c>
      <c r="E31" s="198" t="s">
        <v>205</v>
      </c>
      <c r="F31" s="326"/>
      <c r="G31" s="250">
        <v>53.94</v>
      </c>
      <c r="H31" s="321"/>
      <c r="I31" s="324"/>
    </row>
    <row r="32" spans="2:9">
      <c r="B32" s="210" t="s">
        <v>12</v>
      </c>
      <c r="C32" s="249" t="s">
        <v>188</v>
      </c>
      <c r="D32" s="249">
        <v>968871</v>
      </c>
      <c r="E32" s="198" t="s">
        <v>205</v>
      </c>
      <c r="F32" s="327"/>
      <c r="G32" s="250"/>
      <c r="H32" s="322"/>
      <c r="I32" s="325"/>
    </row>
    <row r="33" spans="2:9">
      <c r="B33" s="210" t="s">
        <v>12</v>
      </c>
      <c r="C33" s="210" t="s">
        <v>147</v>
      </c>
      <c r="D33" s="210">
        <v>955952</v>
      </c>
      <c r="E33" s="198" t="s">
        <v>205</v>
      </c>
      <c r="F33" s="318">
        <v>213.81700000000001</v>
      </c>
      <c r="G33" s="250"/>
      <c r="H33" s="320">
        <f>F33-(G33+G34+G35+G36+G37+G38+G39+G40+G41)</f>
        <v>0</v>
      </c>
      <c r="I33" s="323">
        <f>(G33+G34+G35+G36+G37+G38+G39+G40+G41)/F33</f>
        <v>0.99999999999999989</v>
      </c>
    </row>
    <row r="34" spans="2:9">
      <c r="B34" s="210" t="s">
        <v>12</v>
      </c>
      <c r="C34" s="210" t="s">
        <v>148</v>
      </c>
      <c r="D34" s="210">
        <v>965267</v>
      </c>
      <c r="E34" s="198" t="s">
        <v>205</v>
      </c>
      <c r="F34" s="326"/>
      <c r="G34" s="250">
        <v>68.031000000000006</v>
      </c>
      <c r="H34" s="321"/>
      <c r="I34" s="324"/>
    </row>
    <row r="35" spans="2:9">
      <c r="B35" s="210" t="s">
        <v>12</v>
      </c>
      <c r="C35" s="210" t="s">
        <v>149</v>
      </c>
      <c r="D35" s="210">
        <v>969387</v>
      </c>
      <c r="E35" s="198" t="s">
        <v>205</v>
      </c>
      <c r="F35" s="326"/>
      <c r="G35" s="250"/>
      <c r="H35" s="321"/>
      <c r="I35" s="324"/>
    </row>
    <row r="36" spans="2:9">
      <c r="B36" s="210" t="s">
        <v>12</v>
      </c>
      <c r="C36" s="210" t="s">
        <v>150</v>
      </c>
      <c r="D36" s="210">
        <v>969425</v>
      </c>
      <c r="E36" s="198" t="s">
        <v>205</v>
      </c>
      <c r="F36" s="326"/>
      <c r="G36" s="250">
        <v>45.600999999999999</v>
      </c>
      <c r="H36" s="321"/>
      <c r="I36" s="324"/>
    </row>
    <row r="37" spans="2:9">
      <c r="B37" s="210" t="s">
        <v>12</v>
      </c>
      <c r="C37" s="210" t="s">
        <v>151</v>
      </c>
      <c r="D37" s="210">
        <v>967553</v>
      </c>
      <c r="E37" s="198" t="s">
        <v>205</v>
      </c>
      <c r="F37" s="326"/>
      <c r="G37" s="250"/>
      <c r="H37" s="321"/>
      <c r="I37" s="324"/>
    </row>
    <row r="38" spans="2:9">
      <c r="B38" s="210" t="s">
        <v>12</v>
      </c>
      <c r="C38" s="210" t="s">
        <v>152</v>
      </c>
      <c r="D38" s="210">
        <v>968930</v>
      </c>
      <c r="E38" s="198" t="s">
        <v>205</v>
      </c>
      <c r="F38" s="326"/>
      <c r="G38" s="250">
        <v>9.5640000000000001</v>
      </c>
      <c r="H38" s="321"/>
      <c r="I38" s="324"/>
    </row>
    <row r="39" spans="2:9">
      <c r="B39" s="210" t="s">
        <v>12</v>
      </c>
      <c r="C39" s="210" t="s">
        <v>153</v>
      </c>
      <c r="D39" s="210">
        <v>968704</v>
      </c>
      <c r="E39" s="198" t="s">
        <v>205</v>
      </c>
      <c r="F39" s="326"/>
      <c r="G39" s="250">
        <v>38.771000000000001</v>
      </c>
      <c r="H39" s="321"/>
      <c r="I39" s="324"/>
    </row>
    <row r="40" spans="2:9">
      <c r="B40" s="210" t="s">
        <v>12</v>
      </c>
      <c r="C40" s="210" t="s">
        <v>154</v>
      </c>
      <c r="D40" s="210">
        <v>957378</v>
      </c>
      <c r="E40" s="198" t="s">
        <v>205</v>
      </c>
      <c r="F40" s="326"/>
      <c r="G40" s="250">
        <v>51.85</v>
      </c>
      <c r="H40" s="321"/>
      <c r="I40" s="324"/>
    </row>
    <row r="41" spans="2:9">
      <c r="B41" s="210" t="s">
        <v>12</v>
      </c>
      <c r="C41" s="210" t="s">
        <v>155</v>
      </c>
      <c r="D41" s="210">
        <v>969467</v>
      </c>
      <c r="E41" s="198" t="s">
        <v>205</v>
      </c>
      <c r="F41" s="327"/>
      <c r="G41" s="250"/>
      <c r="H41" s="322"/>
      <c r="I41" s="325"/>
    </row>
    <row r="42" spans="2:9">
      <c r="B42" s="213" t="s">
        <v>12</v>
      </c>
      <c r="C42" s="210" t="s">
        <v>148</v>
      </c>
      <c r="D42" s="210">
        <v>965267</v>
      </c>
      <c r="E42" s="198" t="s">
        <v>205</v>
      </c>
      <c r="F42" s="318">
        <v>500</v>
      </c>
      <c r="G42" s="250"/>
      <c r="H42" s="320">
        <f>F42-(G42+G43+G44+G45+G46+G47+G48)</f>
        <v>0</v>
      </c>
      <c r="I42" s="323">
        <f>(G42+G43+G44+G45+G46+G47+G48)/F42</f>
        <v>1</v>
      </c>
    </row>
    <row r="43" spans="2:9">
      <c r="B43" s="213" t="s">
        <v>12</v>
      </c>
      <c r="C43" s="210" t="s">
        <v>149</v>
      </c>
      <c r="D43" s="210">
        <v>969387</v>
      </c>
      <c r="E43" s="198" t="s">
        <v>205</v>
      </c>
      <c r="F43" s="328"/>
      <c r="G43" s="250">
        <v>128.52000000000001</v>
      </c>
      <c r="H43" s="321"/>
      <c r="I43" s="324"/>
    </row>
    <row r="44" spans="2:9">
      <c r="B44" s="213" t="s">
        <v>12</v>
      </c>
      <c r="C44" s="210" t="s">
        <v>150</v>
      </c>
      <c r="D44" s="210">
        <v>969425</v>
      </c>
      <c r="E44" s="198" t="s">
        <v>205</v>
      </c>
      <c r="F44" s="328"/>
      <c r="G44" s="250">
        <v>67.768000000000001</v>
      </c>
      <c r="H44" s="321"/>
      <c r="I44" s="324"/>
    </row>
    <row r="45" spans="2:9">
      <c r="B45" s="213" t="s">
        <v>12</v>
      </c>
      <c r="C45" s="210" t="s">
        <v>152</v>
      </c>
      <c r="D45" s="210">
        <v>968930</v>
      </c>
      <c r="E45" s="198" t="s">
        <v>205</v>
      </c>
      <c r="F45" s="328"/>
      <c r="G45" s="250">
        <v>115.285</v>
      </c>
      <c r="H45" s="321"/>
      <c r="I45" s="324"/>
    </row>
    <row r="46" spans="2:9">
      <c r="B46" s="213" t="s">
        <v>12</v>
      </c>
      <c r="C46" s="210" t="s">
        <v>153</v>
      </c>
      <c r="D46" s="210">
        <v>968704</v>
      </c>
      <c r="E46" s="198" t="s">
        <v>205</v>
      </c>
      <c r="F46" s="328"/>
      <c r="G46" s="250">
        <v>111.048</v>
      </c>
      <c r="H46" s="321"/>
      <c r="I46" s="324"/>
    </row>
    <row r="47" spans="2:9">
      <c r="B47" s="213" t="s">
        <v>12</v>
      </c>
      <c r="C47" s="210" t="s">
        <v>154</v>
      </c>
      <c r="D47" s="210">
        <v>957378</v>
      </c>
      <c r="E47" s="198" t="s">
        <v>205</v>
      </c>
      <c r="F47" s="328"/>
      <c r="G47" s="250">
        <v>77.379000000000005</v>
      </c>
      <c r="H47" s="321"/>
      <c r="I47" s="324"/>
    </row>
    <row r="48" spans="2:9">
      <c r="B48" s="213" t="s">
        <v>12</v>
      </c>
      <c r="C48" s="210" t="s">
        <v>155</v>
      </c>
      <c r="D48" s="210">
        <v>969467</v>
      </c>
      <c r="E48" s="198" t="s">
        <v>205</v>
      </c>
      <c r="F48" s="319"/>
      <c r="G48" s="250"/>
      <c r="H48" s="322"/>
      <c r="I48" s="325"/>
    </row>
    <row r="49" spans="2:9">
      <c r="B49" s="210" t="s">
        <v>12</v>
      </c>
      <c r="C49" s="210" t="s">
        <v>148</v>
      </c>
      <c r="D49" s="210">
        <v>965267</v>
      </c>
      <c r="E49" s="198" t="s">
        <v>205</v>
      </c>
      <c r="F49" s="318">
        <v>200</v>
      </c>
      <c r="G49" s="250"/>
      <c r="H49" s="320">
        <f>F49-(G49+G50+G51+G52+G53)</f>
        <v>0</v>
      </c>
      <c r="I49" s="323">
        <f>(G49+G50+G51+G52+G53)/F49</f>
        <v>1</v>
      </c>
    </row>
    <row r="50" spans="2:9">
      <c r="B50" s="210" t="s">
        <v>12</v>
      </c>
      <c r="C50" s="210" t="s">
        <v>150</v>
      </c>
      <c r="D50" s="210">
        <v>969425</v>
      </c>
      <c r="E50" s="198" t="s">
        <v>205</v>
      </c>
      <c r="F50" s="328"/>
      <c r="G50" s="250">
        <v>54.56</v>
      </c>
      <c r="H50" s="321"/>
      <c r="I50" s="324"/>
    </row>
    <row r="51" spans="2:9">
      <c r="B51" s="210" t="s">
        <v>12</v>
      </c>
      <c r="C51" s="210" t="s">
        <v>153</v>
      </c>
      <c r="D51" s="210">
        <v>968704</v>
      </c>
      <c r="E51" s="198" t="s">
        <v>205</v>
      </c>
      <c r="F51" s="328"/>
      <c r="G51" s="250">
        <v>46.497</v>
      </c>
      <c r="H51" s="321"/>
      <c r="I51" s="324"/>
    </row>
    <row r="52" spans="2:9">
      <c r="B52" s="210" t="s">
        <v>12</v>
      </c>
      <c r="C52" s="210" t="s">
        <v>154</v>
      </c>
      <c r="D52" s="210">
        <v>957378</v>
      </c>
      <c r="E52" s="198" t="s">
        <v>205</v>
      </c>
      <c r="F52" s="328"/>
      <c r="G52" s="250">
        <v>42.253</v>
      </c>
      <c r="H52" s="321"/>
      <c r="I52" s="324"/>
    </row>
    <row r="53" spans="2:9">
      <c r="B53" s="210" t="s">
        <v>12</v>
      </c>
      <c r="C53" s="210" t="s">
        <v>155</v>
      </c>
      <c r="D53" s="210">
        <v>969467</v>
      </c>
      <c r="E53" s="198" t="s">
        <v>205</v>
      </c>
      <c r="F53" s="319"/>
      <c r="G53" s="250">
        <v>56.69</v>
      </c>
      <c r="H53" s="322"/>
      <c r="I53" s="325"/>
    </row>
    <row r="54" spans="2:9">
      <c r="B54" s="210" t="s">
        <v>12</v>
      </c>
      <c r="C54" s="213" t="s">
        <v>161</v>
      </c>
      <c r="D54" s="210">
        <v>697578</v>
      </c>
      <c r="E54" s="198" t="s">
        <v>205</v>
      </c>
      <c r="F54" s="318">
        <v>1250</v>
      </c>
      <c r="G54" s="250"/>
      <c r="H54" s="320">
        <f>F54-(G54+G55+G56+G57+G58+G59+G60+G61+G62+G63+G64+G65+G66+G67+G68+G69+G70)</f>
        <v>0</v>
      </c>
      <c r="I54" s="323">
        <f>(G54+G55+G56+G57+G58+G59+G60+G61+G62+G63+G64+G65+G66+G67+G68+G69+G70)/F54</f>
        <v>1.0000000000000002</v>
      </c>
    </row>
    <row r="55" spans="2:9">
      <c r="B55" s="210" t="s">
        <v>12</v>
      </c>
      <c r="C55" s="213" t="s">
        <v>145</v>
      </c>
      <c r="D55" s="210">
        <v>965236</v>
      </c>
      <c r="E55" s="198" t="s">
        <v>205</v>
      </c>
      <c r="F55" s="328"/>
      <c r="G55" s="250">
        <v>115.256</v>
      </c>
      <c r="H55" s="321"/>
      <c r="I55" s="324"/>
    </row>
    <row r="56" spans="2:9">
      <c r="B56" s="210" t="s">
        <v>12</v>
      </c>
      <c r="C56" s="213" t="s">
        <v>162</v>
      </c>
      <c r="D56" s="210">
        <v>901588</v>
      </c>
      <c r="E56" s="198" t="s">
        <v>205</v>
      </c>
      <c r="F56" s="328"/>
      <c r="G56" s="250">
        <v>129.071</v>
      </c>
      <c r="H56" s="321"/>
      <c r="I56" s="324"/>
    </row>
    <row r="57" spans="2:9">
      <c r="B57" s="210" t="s">
        <v>12</v>
      </c>
      <c r="C57" s="213" t="s">
        <v>184</v>
      </c>
      <c r="D57" s="210">
        <v>966397</v>
      </c>
      <c r="E57" s="198" t="s">
        <v>205</v>
      </c>
      <c r="F57" s="328"/>
      <c r="G57" s="250">
        <v>26.026</v>
      </c>
      <c r="H57" s="321"/>
      <c r="I57" s="324"/>
    </row>
    <row r="58" spans="2:9">
      <c r="B58" s="210" t="s">
        <v>12</v>
      </c>
      <c r="C58" s="213" t="s">
        <v>146</v>
      </c>
      <c r="D58" s="210">
        <v>964933</v>
      </c>
      <c r="E58" s="198" t="s">
        <v>205</v>
      </c>
      <c r="F58" s="328"/>
      <c r="G58" s="250">
        <v>155.886</v>
      </c>
      <c r="H58" s="321"/>
      <c r="I58" s="324"/>
    </row>
    <row r="59" spans="2:9">
      <c r="B59" s="210" t="s">
        <v>12</v>
      </c>
      <c r="C59" s="213" t="s">
        <v>185</v>
      </c>
      <c r="D59" s="210">
        <v>960563</v>
      </c>
      <c r="E59" s="198" t="s">
        <v>205</v>
      </c>
      <c r="F59" s="328"/>
      <c r="G59" s="250">
        <v>154.238</v>
      </c>
      <c r="H59" s="321"/>
      <c r="I59" s="324"/>
    </row>
    <row r="60" spans="2:9">
      <c r="B60" s="210" t="s">
        <v>12</v>
      </c>
      <c r="C60" s="213" t="s">
        <v>163</v>
      </c>
      <c r="D60" s="210">
        <v>960673</v>
      </c>
      <c r="E60" s="198" t="s">
        <v>205</v>
      </c>
      <c r="F60" s="328"/>
      <c r="G60" s="250"/>
      <c r="H60" s="321"/>
      <c r="I60" s="324"/>
    </row>
    <row r="61" spans="2:9">
      <c r="B61" s="210" t="s">
        <v>12</v>
      </c>
      <c r="C61" s="213" t="s">
        <v>188</v>
      </c>
      <c r="D61" s="210">
        <v>968871</v>
      </c>
      <c r="E61" s="198" t="s">
        <v>205</v>
      </c>
      <c r="F61" s="328"/>
      <c r="G61" s="250"/>
      <c r="H61" s="321"/>
      <c r="I61" s="324"/>
    </row>
    <row r="62" spans="2:9">
      <c r="B62" s="210" t="s">
        <v>12</v>
      </c>
      <c r="C62" s="213" t="s">
        <v>164</v>
      </c>
      <c r="D62" s="210">
        <v>923266</v>
      </c>
      <c r="E62" s="198" t="s">
        <v>205</v>
      </c>
      <c r="F62" s="328"/>
      <c r="G62" s="250">
        <v>165.57300000000001</v>
      </c>
      <c r="H62" s="321"/>
      <c r="I62" s="324"/>
    </row>
    <row r="63" spans="2:9">
      <c r="B63" s="210" t="s">
        <v>12</v>
      </c>
      <c r="C63" s="213" t="s">
        <v>166</v>
      </c>
      <c r="D63" s="210">
        <v>966707</v>
      </c>
      <c r="E63" s="198" t="s">
        <v>205</v>
      </c>
      <c r="F63" s="328"/>
      <c r="G63" s="250">
        <v>143.785</v>
      </c>
      <c r="H63" s="321"/>
      <c r="I63" s="324"/>
    </row>
    <row r="64" spans="2:9">
      <c r="B64" s="210" t="s">
        <v>12</v>
      </c>
      <c r="C64" s="213" t="s">
        <v>165</v>
      </c>
      <c r="D64" s="210">
        <v>957989</v>
      </c>
      <c r="E64" s="198" t="s">
        <v>205</v>
      </c>
      <c r="F64" s="328"/>
      <c r="G64" s="250">
        <v>178.13200000000001</v>
      </c>
      <c r="H64" s="321"/>
      <c r="I64" s="324"/>
    </row>
    <row r="65" spans="2:9">
      <c r="B65" s="210" t="s">
        <v>12</v>
      </c>
      <c r="C65" s="213" t="s">
        <v>186</v>
      </c>
      <c r="D65" s="210">
        <v>958708</v>
      </c>
      <c r="E65" s="198" t="s">
        <v>205</v>
      </c>
      <c r="F65" s="328"/>
      <c r="G65" s="250"/>
      <c r="H65" s="321"/>
      <c r="I65" s="324"/>
    </row>
    <row r="66" spans="2:9">
      <c r="B66" s="210" t="s">
        <v>12</v>
      </c>
      <c r="C66" s="213" t="s">
        <v>183</v>
      </c>
      <c r="D66" s="210">
        <v>966095</v>
      </c>
      <c r="E66" s="198" t="s">
        <v>205</v>
      </c>
      <c r="F66" s="328"/>
      <c r="G66" s="250">
        <v>51.13</v>
      </c>
      <c r="H66" s="321"/>
      <c r="I66" s="324"/>
    </row>
    <row r="67" spans="2:9">
      <c r="B67" s="210" t="s">
        <v>12</v>
      </c>
      <c r="C67" s="213" t="s">
        <v>167</v>
      </c>
      <c r="D67" s="210">
        <v>953023</v>
      </c>
      <c r="E67" s="198" t="s">
        <v>205</v>
      </c>
      <c r="F67" s="328"/>
      <c r="G67" s="250">
        <v>27.844000000000001</v>
      </c>
      <c r="H67" s="321"/>
      <c r="I67" s="324"/>
    </row>
    <row r="68" spans="2:9">
      <c r="B68" s="210" t="s">
        <v>12</v>
      </c>
      <c r="C68" s="213" t="s">
        <v>187</v>
      </c>
      <c r="D68" s="210">
        <v>923167</v>
      </c>
      <c r="E68" s="198" t="s">
        <v>205</v>
      </c>
      <c r="F68" s="328"/>
      <c r="G68" s="250"/>
      <c r="H68" s="321"/>
      <c r="I68" s="324"/>
    </row>
    <row r="69" spans="2:9">
      <c r="B69" s="210" t="s">
        <v>12</v>
      </c>
      <c r="C69" s="213" t="s">
        <v>168</v>
      </c>
      <c r="D69" s="210">
        <v>956427</v>
      </c>
      <c r="E69" s="198" t="s">
        <v>205</v>
      </c>
      <c r="F69" s="328"/>
      <c r="G69" s="250">
        <v>67.126000000000005</v>
      </c>
      <c r="H69" s="321"/>
      <c r="I69" s="324"/>
    </row>
    <row r="70" spans="2:9">
      <c r="B70" s="210" t="s">
        <v>12</v>
      </c>
      <c r="C70" s="213" t="s">
        <v>169</v>
      </c>
      <c r="D70" s="210">
        <v>950875</v>
      </c>
      <c r="E70" s="198" t="s">
        <v>205</v>
      </c>
      <c r="F70" s="319"/>
      <c r="G70" s="250">
        <v>35.933</v>
      </c>
      <c r="H70" s="322"/>
      <c r="I70" s="325"/>
    </row>
    <row r="71" spans="2:9">
      <c r="B71" s="213" t="s">
        <v>12</v>
      </c>
      <c r="C71" s="249" t="s">
        <v>186</v>
      </c>
      <c r="D71" s="210">
        <v>958708</v>
      </c>
      <c r="E71" s="198" t="s">
        <v>205</v>
      </c>
      <c r="F71" s="318">
        <v>561</v>
      </c>
      <c r="G71" s="250">
        <v>122.059</v>
      </c>
      <c r="H71" s="320">
        <f>F71-(G71+G72)</f>
        <v>266.36599999999999</v>
      </c>
      <c r="I71" s="323">
        <f>(G71+G72)/F71</f>
        <v>0.5251942959001783</v>
      </c>
    </row>
    <row r="72" spans="2:9">
      <c r="B72" s="213" t="s">
        <v>12</v>
      </c>
      <c r="C72" s="249" t="s">
        <v>187</v>
      </c>
      <c r="D72" s="210">
        <v>923167</v>
      </c>
      <c r="E72" s="198" t="s">
        <v>205</v>
      </c>
      <c r="F72" s="319"/>
      <c r="G72" s="250">
        <v>172.57499999999999</v>
      </c>
      <c r="H72" s="322"/>
      <c r="I72" s="325"/>
    </row>
  </sheetData>
  <mergeCells count="21">
    <mergeCell ref="I49:I53"/>
    <mergeCell ref="H54:H70"/>
    <mergeCell ref="I54:I70"/>
    <mergeCell ref="H71:H72"/>
    <mergeCell ref="I71:I72"/>
    <mergeCell ref="F71:F72"/>
    <mergeCell ref="H3:H17"/>
    <mergeCell ref="I3:I17"/>
    <mergeCell ref="H18:H32"/>
    <mergeCell ref="I18:I32"/>
    <mergeCell ref="H33:H41"/>
    <mergeCell ref="I33:I41"/>
    <mergeCell ref="H42:H48"/>
    <mergeCell ref="I42:I48"/>
    <mergeCell ref="H49:H53"/>
    <mergeCell ref="F3:F17"/>
    <mergeCell ref="F18:F32"/>
    <mergeCell ref="F33:F41"/>
    <mergeCell ref="F42:F48"/>
    <mergeCell ref="F49:F53"/>
    <mergeCell ref="F54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2:R13"/>
  <sheetViews>
    <sheetView workbookViewId="0">
      <selection activeCell="I9" sqref="I9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9.140625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9" customWidth="1"/>
    <col min="17" max="17" width="9" bestFit="1" customWidth="1"/>
    <col min="18" max="18" width="10.85546875" customWidth="1"/>
  </cols>
  <sheetData>
    <row r="2" spans="2:18">
      <c r="B2" s="307" t="s">
        <v>196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2:18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2:18">
      <c r="B4" s="299">
        <f>+Resumen!C4</f>
        <v>44926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2:18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310" t="s">
        <v>68</v>
      </c>
      <c r="N5" s="310"/>
      <c r="O5" s="310"/>
      <c r="P5" s="310"/>
      <c r="Q5" s="310"/>
      <c r="R5" s="310"/>
    </row>
    <row r="6" spans="2:18" ht="30">
      <c r="B6" s="110" t="s">
        <v>17</v>
      </c>
      <c r="C6" s="111" t="s">
        <v>130</v>
      </c>
      <c r="D6" s="108" t="s">
        <v>26</v>
      </c>
      <c r="E6" s="108" t="s">
        <v>20</v>
      </c>
      <c r="F6" s="110" t="s">
        <v>31</v>
      </c>
      <c r="G6" s="108" t="s">
        <v>4</v>
      </c>
      <c r="H6" s="110" t="s">
        <v>32</v>
      </c>
      <c r="I6" s="108" t="s">
        <v>6</v>
      </c>
      <c r="J6" s="108" t="s">
        <v>7</v>
      </c>
      <c r="K6" s="108" t="s">
        <v>33</v>
      </c>
      <c r="L6" s="108" t="s">
        <v>34</v>
      </c>
      <c r="M6" s="19" t="s">
        <v>31</v>
      </c>
      <c r="N6" s="20" t="s">
        <v>4</v>
      </c>
      <c r="O6" s="19" t="s">
        <v>32</v>
      </c>
      <c r="P6" s="20" t="s">
        <v>6</v>
      </c>
      <c r="Q6" s="20" t="s">
        <v>7</v>
      </c>
      <c r="R6" s="19" t="s">
        <v>33</v>
      </c>
    </row>
    <row r="7" spans="2:18" ht="30">
      <c r="B7" s="330" t="s">
        <v>19</v>
      </c>
      <c r="C7" s="199" t="s">
        <v>23</v>
      </c>
      <c r="D7" s="201" t="s">
        <v>97</v>
      </c>
      <c r="E7" s="16" t="s">
        <v>53</v>
      </c>
      <c r="F7" s="105">
        <v>630</v>
      </c>
      <c r="G7" s="100"/>
      <c r="H7" s="100">
        <f t="shared" ref="H7:H12" si="0">+F7+G7</f>
        <v>630</v>
      </c>
      <c r="I7" s="106"/>
      <c r="J7" s="100">
        <f t="shared" ref="J7:J12" si="1">+H7-I7</f>
        <v>630</v>
      </c>
      <c r="K7" s="18">
        <f t="shared" ref="K7:K12" si="2">+I7/H7</f>
        <v>0</v>
      </c>
      <c r="L7" s="109"/>
      <c r="M7" s="204">
        <f t="shared" ref="M7:N12" si="3">+F7</f>
        <v>630</v>
      </c>
      <c r="N7" s="204">
        <f t="shared" si="3"/>
        <v>0</v>
      </c>
      <c r="O7" s="204">
        <f>+M7+N7</f>
        <v>630</v>
      </c>
      <c r="P7" s="204">
        <f t="shared" ref="P7:P12" si="4">+I7</f>
        <v>0</v>
      </c>
      <c r="Q7" s="204">
        <f t="shared" ref="Q7:Q12" si="5">+O7-P7</f>
        <v>630</v>
      </c>
      <c r="R7" s="205">
        <f t="shared" ref="R7:R12" si="6">+P7/O7</f>
        <v>0</v>
      </c>
    </row>
    <row r="8" spans="2:18">
      <c r="B8" s="331"/>
      <c r="C8" s="206" t="s">
        <v>24</v>
      </c>
      <c r="D8" s="201" t="s">
        <v>98</v>
      </c>
      <c r="E8" s="16" t="s">
        <v>53</v>
      </c>
      <c r="F8" s="105">
        <v>2385</v>
      </c>
      <c r="G8" s="100"/>
      <c r="H8" s="100">
        <f t="shared" si="0"/>
        <v>2385</v>
      </c>
      <c r="I8" s="106">
        <v>2303.6669999999999</v>
      </c>
      <c r="J8" s="100">
        <f t="shared" si="1"/>
        <v>81.333000000000084</v>
      </c>
      <c r="K8" s="18">
        <f t="shared" si="2"/>
        <v>0.96589811320754715</v>
      </c>
      <c r="L8" s="109"/>
      <c r="M8" s="204">
        <f t="shared" si="3"/>
        <v>2385</v>
      </c>
      <c r="N8" s="204">
        <f t="shared" si="3"/>
        <v>0</v>
      </c>
      <c r="O8" s="204">
        <f>+M8+N8</f>
        <v>2385</v>
      </c>
      <c r="P8" s="204">
        <f t="shared" si="4"/>
        <v>2303.6669999999999</v>
      </c>
      <c r="Q8" s="204">
        <f t="shared" si="5"/>
        <v>81.333000000000084</v>
      </c>
      <c r="R8" s="205">
        <f t="shared" si="6"/>
        <v>0.96589811320754715</v>
      </c>
    </row>
    <row r="9" spans="2:18" s="87" customFormat="1">
      <c r="B9" s="332"/>
      <c r="C9" s="119" t="s">
        <v>131</v>
      </c>
      <c r="D9" s="115" t="s">
        <v>15</v>
      </c>
      <c r="E9" s="16" t="s">
        <v>53</v>
      </c>
      <c r="F9" s="105">
        <v>500</v>
      </c>
      <c r="G9" s="100"/>
      <c r="H9" s="100">
        <f t="shared" si="0"/>
        <v>500</v>
      </c>
      <c r="I9" s="188"/>
      <c r="J9" s="100">
        <f t="shared" si="1"/>
        <v>500</v>
      </c>
      <c r="K9" s="18">
        <f>+I9/H9</f>
        <v>0</v>
      </c>
      <c r="L9" s="112"/>
      <c r="M9" s="113">
        <f t="shared" si="3"/>
        <v>500</v>
      </c>
      <c r="N9" s="113">
        <f t="shared" si="3"/>
        <v>0</v>
      </c>
      <c r="O9" s="113">
        <f>+H9</f>
        <v>500</v>
      </c>
      <c r="P9" s="113">
        <f t="shared" si="4"/>
        <v>0</v>
      </c>
      <c r="Q9" s="113">
        <f t="shared" si="5"/>
        <v>500</v>
      </c>
      <c r="R9" s="114">
        <f t="shared" si="6"/>
        <v>0</v>
      </c>
    </row>
    <row r="10" spans="2:18" ht="15" customHeight="1">
      <c r="B10" s="329" t="s">
        <v>29</v>
      </c>
      <c r="C10" s="15" t="s">
        <v>30</v>
      </c>
      <c r="D10" s="79" t="s">
        <v>99</v>
      </c>
      <c r="E10" s="16" t="s">
        <v>53</v>
      </c>
      <c r="F10" s="105">
        <v>650</v>
      </c>
      <c r="G10" s="100"/>
      <c r="H10" s="100">
        <f t="shared" si="0"/>
        <v>650</v>
      </c>
      <c r="I10" s="106">
        <v>186.20599999999999</v>
      </c>
      <c r="J10" s="100">
        <f t="shared" si="1"/>
        <v>463.79399999999998</v>
      </c>
      <c r="K10" s="139">
        <f t="shared" si="2"/>
        <v>0.2864707692307692</v>
      </c>
      <c r="L10" s="109"/>
      <c r="M10" s="101">
        <f t="shared" si="3"/>
        <v>650</v>
      </c>
      <c r="N10" s="101">
        <f t="shared" si="3"/>
        <v>0</v>
      </c>
      <c r="O10" s="101">
        <f>+M10+N10</f>
        <v>650</v>
      </c>
      <c r="P10" s="101">
        <f t="shared" si="4"/>
        <v>186.20599999999999</v>
      </c>
      <c r="Q10" s="101">
        <f t="shared" si="5"/>
        <v>463.79399999999998</v>
      </c>
      <c r="R10" s="137">
        <f t="shared" si="6"/>
        <v>0.2864707692307692</v>
      </c>
    </row>
    <row r="11" spans="2:18">
      <c r="B11" s="329"/>
      <c r="C11" s="15" t="s">
        <v>27</v>
      </c>
      <c r="D11" s="79" t="s">
        <v>100</v>
      </c>
      <c r="E11" s="16" t="s">
        <v>53</v>
      </c>
      <c r="F11" s="105">
        <v>650</v>
      </c>
      <c r="G11" s="100"/>
      <c r="H11" s="100">
        <f t="shared" si="0"/>
        <v>650</v>
      </c>
      <c r="I11" s="106">
        <v>131.29400000000001</v>
      </c>
      <c r="J11" s="100">
        <f t="shared" si="1"/>
        <v>518.70600000000002</v>
      </c>
      <c r="K11" s="18">
        <f>+I11/H11</f>
        <v>0.20199076923076925</v>
      </c>
      <c r="L11" s="109"/>
      <c r="M11" s="101">
        <f t="shared" si="3"/>
        <v>650</v>
      </c>
      <c r="N11" s="101">
        <f t="shared" si="3"/>
        <v>0</v>
      </c>
      <c r="O11" s="101">
        <f>+M11+N11</f>
        <v>650</v>
      </c>
      <c r="P11" s="101">
        <f t="shared" si="4"/>
        <v>131.29400000000001</v>
      </c>
      <c r="Q11" s="101">
        <f t="shared" si="5"/>
        <v>518.70600000000002</v>
      </c>
      <c r="R11" s="137">
        <f t="shared" si="6"/>
        <v>0.20199076923076925</v>
      </c>
    </row>
    <row r="12" spans="2:18" s="87" customFormat="1">
      <c r="B12" s="329"/>
      <c r="C12" s="15" t="s">
        <v>131</v>
      </c>
      <c r="D12" s="79" t="s">
        <v>16</v>
      </c>
      <c r="E12" s="16" t="s">
        <v>53</v>
      </c>
      <c r="F12" s="105">
        <v>200</v>
      </c>
      <c r="G12" s="100"/>
      <c r="H12" s="100">
        <f t="shared" si="0"/>
        <v>200</v>
      </c>
      <c r="I12" s="106">
        <v>5.16</v>
      </c>
      <c r="J12" s="100">
        <f t="shared" si="1"/>
        <v>194.84</v>
      </c>
      <c r="K12" s="18">
        <f t="shared" si="2"/>
        <v>2.58E-2</v>
      </c>
      <c r="L12" s="112"/>
      <c r="M12" s="101">
        <f t="shared" si="3"/>
        <v>200</v>
      </c>
      <c r="N12" s="101">
        <f t="shared" si="3"/>
        <v>0</v>
      </c>
      <c r="O12" s="101">
        <f>+M12+N12</f>
        <v>200</v>
      </c>
      <c r="P12" s="101">
        <f t="shared" si="4"/>
        <v>5.16</v>
      </c>
      <c r="Q12" s="101">
        <f t="shared" si="5"/>
        <v>194.84</v>
      </c>
      <c r="R12" s="21">
        <f t="shared" si="6"/>
        <v>2.58E-2</v>
      </c>
    </row>
    <row r="13" spans="2:18">
      <c r="F13" s="121"/>
    </row>
  </sheetData>
  <mergeCells count="5">
    <mergeCell ref="B10:B12"/>
    <mergeCell ref="B7:B9"/>
    <mergeCell ref="B2:R3"/>
    <mergeCell ref="B4:R4"/>
    <mergeCell ref="M5:R5"/>
  </mergeCells>
  <conditionalFormatting sqref="J7:J9">
    <cfRule type="cellIs" dxfId="6" priority="6" operator="lessThan">
      <formula>0</formula>
    </cfRule>
  </conditionalFormatting>
  <conditionalFormatting sqref="K7:K9 R7:R9">
    <cfRule type="cellIs" dxfId="5" priority="5" operator="greaterThan">
      <formula>0.9</formula>
    </cfRule>
  </conditionalFormatting>
  <conditionalFormatting sqref="J10:J12">
    <cfRule type="cellIs" dxfId="4" priority="3" operator="lessThan">
      <formula>0</formula>
    </cfRule>
  </conditionalFormatting>
  <conditionalFormatting sqref="K10:K12">
    <cfRule type="cellIs" dxfId="3" priority="2" operator="greaterThan">
      <formula>0.9</formula>
    </cfRule>
  </conditionalFormatting>
  <conditionalFormatting sqref="R10:R12">
    <cfRule type="cellIs" dxfId="2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P48"/>
  <sheetViews>
    <sheetView zoomScale="90" zoomScaleNormal="90" workbookViewId="0">
      <selection activeCell="F15" sqref="F15"/>
    </sheetView>
  </sheetViews>
  <sheetFormatPr baseColWidth="10" defaultRowHeight="15"/>
  <cols>
    <col min="3" max="3" width="51.1406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27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87" customFormat="1">
      <c r="N4" s="3"/>
    </row>
    <row r="5" spans="2:16" s="87" customFormat="1">
      <c r="B5" s="333" t="s">
        <v>198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2:16" s="87" customFormat="1"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2:16" s="87" customFormat="1">
      <c r="B7" s="299">
        <f>+Resumen!C4</f>
        <v>44926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</row>
    <row r="8" spans="2:16" s="87" customFormat="1" ht="15.75" thickBot="1">
      <c r="N8" s="3"/>
    </row>
    <row r="9" spans="2:16" ht="15.75" thickBot="1">
      <c r="E9" s="334" t="s">
        <v>126</v>
      </c>
      <c r="F9" s="335"/>
      <c r="G9" s="336"/>
      <c r="H9" s="334" t="s">
        <v>125</v>
      </c>
      <c r="I9" s="335"/>
      <c r="J9" s="336"/>
      <c r="K9" s="334" t="s">
        <v>68</v>
      </c>
      <c r="L9" s="335"/>
      <c r="M9" s="335"/>
      <c r="N9" s="335"/>
      <c r="O9" s="335"/>
      <c r="P9" s="336"/>
    </row>
    <row r="10" spans="2:16" ht="60.75" thickBot="1">
      <c r="B10" s="158" t="s">
        <v>17</v>
      </c>
      <c r="C10" s="159" t="s">
        <v>64</v>
      </c>
      <c r="D10" s="160" t="s">
        <v>35</v>
      </c>
      <c r="E10" s="161" t="s">
        <v>31</v>
      </c>
      <c r="F10" s="161" t="s">
        <v>65</v>
      </c>
      <c r="G10" s="161" t="s">
        <v>32</v>
      </c>
      <c r="H10" s="160" t="s">
        <v>66</v>
      </c>
      <c r="I10" s="160" t="s">
        <v>67</v>
      </c>
      <c r="J10" s="162" t="s">
        <v>36</v>
      </c>
      <c r="K10" s="163" t="s">
        <v>31</v>
      </c>
      <c r="L10" s="161" t="s">
        <v>65</v>
      </c>
      <c r="M10" s="161" t="s">
        <v>32</v>
      </c>
      <c r="N10" s="160" t="s">
        <v>66</v>
      </c>
      <c r="O10" s="160" t="s">
        <v>67</v>
      </c>
      <c r="P10" s="162" t="s">
        <v>36</v>
      </c>
    </row>
    <row r="11" spans="2:16" ht="15.75" thickBot="1">
      <c r="B11" s="346" t="s">
        <v>18</v>
      </c>
      <c r="C11" s="223" t="s">
        <v>37</v>
      </c>
      <c r="D11" s="164" t="s">
        <v>53</v>
      </c>
      <c r="E11" s="165">
        <v>7454.1760000000004</v>
      </c>
      <c r="F11" s="5">
        <f>-1734.166-3799.269</f>
        <v>-5533.4349999999995</v>
      </c>
      <c r="G11" s="28">
        <f>+E11+F11</f>
        <v>1920.7410000000009</v>
      </c>
      <c r="H11" s="5"/>
      <c r="I11" s="28">
        <f>+G11-H11</f>
        <v>1920.7410000000009</v>
      </c>
      <c r="J11" s="77">
        <f>+H11/G11</f>
        <v>0</v>
      </c>
      <c r="K11" s="219">
        <f t="shared" ref="K11:L15" si="0">E11</f>
        <v>7454.1760000000004</v>
      </c>
      <c r="L11" s="216">
        <f t="shared" si="0"/>
        <v>-5533.4349999999995</v>
      </c>
      <c r="M11" s="217">
        <f>+K11+L11</f>
        <v>1920.7410000000009</v>
      </c>
      <c r="N11" s="216">
        <f>H11</f>
        <v>0</v>
      </c>
      <c r="O11" s="217">
        <f>+M11-N11</f>
        <v>1920.7410000000009</v>
      </c>
      <c r="P11" s="214">
        <f t="shared" ref="P11:P17" si="1">+N11/M11</f>
        <v>0</v>
      </c>
    </row>
    <row r="12" spans="2:16" ht="15.75" thickBot="1">
      <c r="B12" s="342"/>
      <c r="C12" s="224" t="s">
        <v>38</v>
      </c>
      <c r="D12" s="164" t="s">
        <v>53</v>
      </c>
      <c r="E12" s="167">
        <v>204642.50599999999</v>
      </c>
      <c r="F12" s="4">
        <f>-1000-1000-10000-8500-2000-3000-4000-2000-2000-3000-300</f>
        <v>-36800</v>
      </c>
      <c r="G12" s="26">
        <f>+E12+F12</f>
        <v>167842.50599999999</v>
      </c>
      <c r="H12" s="190">
        <v>15493.045</v>
      </c>
      <c r="I12" s="26">
        <f>+G12-H12</f>
        <v>152349.46099999998</v>
      </c>
      <c r="J12" s="76">
        <f>+H12/G12</f>
        <v>9.2307040506175483E-2</v>
      </c>
      <c r="K12" s="219">
        <f t="shared" si="0"/>
        <v>204642.50599999999</v>
      </c>
      <c r="L12" s="216">
        <f t="shared" si="0"/>
        <v>-36800</v>
      </c>
      <c r="M12" s="217">
        <f>+K12+L12</f>
        <v>167842.50599999999</v>
      </c>
      <c r="N12" s="216">
        <f>H12</f>
        <v>15493.045</v>
      </c>
      <c r="O12" s="217">
        <f>+M12-N12</f>
        <v>152349.46099999998</v>
      </c>
      <c r="P12" s="214">
        <f t="shared" si="1"/>
        <v>9.2307040506175483E-2</v>
      </c>
    </row>
    <row r="13" spans="2:16" s="87" customFormat="1" ht="15.75" thickBot="1">
      <c r="B13" s="342"/>
      <c r="C13" s="225" t="s">
        <v>135</v>
      </c>
      <c r="D13" s="164" t="s">
        <v>53</v>
      </c>
      <c r="E13" s="167">
        <v>26239.050999999999</v>
      </c>
      <c r="F13" s="4">
        <f>-19477.96-6761</f>
        <v>-26238.959999999999</v>
      </c>
      <c r="G13" s="26">
        <f>+E13+F13</f>
        <v>9.1000000000349246E-2</v>
      </c>
      <c r="H13" s="4"/>
      <c r="I13" s="26">
        <f>+G13-H13</f>
        <v>9.1000000000349246E-2</v>
      </c>
      <c r="J13" s="76">
        <f>+H13/G13</f>
        <v>0</v>
      </c>
      <c r="K13" s="219">
        <f t="shared" si="0"/>
        <v>26239.050999999999</v>
      </c>
      <c r="L13" s="216">
        <f t="shared" si="0"/>
        <v>-26238.959999999999</v>
      </c>
      <c r="M13" s="217">
        <f>+K13+L13</f>
        <v>9.1000000000349246E-2</v>
      </c>
      <c r="N13" s="216">
        <f>H13</f>
        <v>0</v>
      </c>
      <c r="O13" s="217">
        <f>+M13-N13</f>
        <v>9.1000000000349246E-2</v>
      </c>
      <c r="P13" s="214">
        <f t="shared" si="1"/>
        <v>0</v>
      </c>
    </row>
    <row r="14" spans="2:16" s="87" customFormat="1" ht="15.75" thickBot="1">
      <c r="B14" s="342"/>
      <c r="C14" s="225" t="s">
        <v>136</v>
      </c>
      <c r="D14" s="164" t="s">
        <v>53</v>
      </c>
      <c r="E14" s="167">
        <v>4655.3159999999998</v>
      </c>
      <c r="F14" s="4">
        <f>-4392.925</f>
        <v>-4392.9250000000002</v>
      </c>
      <c r="G14" s="26">
        <f>+E14+F14</f>
        <v>262.39099999999962</v>
      </c>
      <c r="H14" s="143"/>
      <c r="I14" s="26">
        <f>+G14-H14</f>
        <v>262.39099999999962</v>
      </c>
      <c r="J14" s="76">
        <f>+H14/G14</f>
        <v>0</v>
      </c>
      <c r="K14" s="219">
        <f t="shared" si="0"/>
        <v>4655.3159999999998</v>
      </c>
      <c r="L14" s="216">
        <f t="shared" si="0"/>
        <v>-4392.9250000000002</v>
      </c>
      <c r="M14" s="217">
        <f>+K14+L14</f>
        <v>262.39099999999962</v>
      </c>
      <c r="N14" s="216">
        <f>H14</f>
        <v>0</v>
      </c>
      <c r="O14" s="217">
        <f>+M14-N14</f>
        <v>262.39099999999962</v>
      </c>
      <c r="P14" s="214">
        <f t="shared" si="1"/>
        <v>0</v>
      </c>
    </row>
    <row r="15" spans="2:16" s="7" customFormat="1">
      <c r="B15" s="342"/>
      <c r="C15" s="224" t="s">
        <v>39</v>
      </c>
      <c r="D15" s="164" t="s">
        <v>53</v>
      </c>
      <c r="E15" s="167">
        <v>603429.78200000001</v>
      </c>
      <c r="F15" s="189">
        <f>-128000-33000-53000-253.83-2000-600</f>
        <v>-216853.83</v>
      </c>
      <c r="G15" s="26">
        <f>+E15+F15</f>
        <v>386575.95200000005</v>
      </c>
      <c r="H15" s="143">
        <v>47380.014999999999</v>
      </c>
      <c r="I15" s="26">
        <f>+G15-H15</f>
        <v>339195.93700000003</v>
      </c>
      <c r="J15" s="76">
        <f>+H15/G15</f>
        <v>0.12256327574147705</v>
      </c>
      <c r="K15" s="219">
        <f t="shared" si="0"/>
        <v>603429.78200000001</v>
      </c>
      <c r="L15" s="216">
        <f t="shared" si="0"/>
        <v>-216853.83</v>
      </c>
      <c r="M15" s="217">
        <f>+K15+L15</f>
        <v>386575.95200000005</v>
      </c>
      <c r="N15" s="216">
        <f>H15</f>
        <v>47380.014999999999</v>
      </c>
      <c r="O15" s="217">
        <f>+M15-N15</f>
        <v>339195.93700000003</v>
      </c>
      <c r="P15" s="214">
        <f t="shared" si="1"/>
        <v>0.12256327574147705</v>
      </c>
    </row>
    <row r="16" spans="2:16" s="8" customFormat="1" ht="15.75" thickBot="1">
      <c r="B16" s="29"/>
      <c r="C16" s="30"/>
      <c r="D16" s="31"/>
      <c r="E16" s="140">
        <f>SUM(E11:E15)</f>
        <v>846420.83100000001</v>
      </c>
      <c r="F16" s="6"/>
      <c r="G16" s="32"/>
      <c r="H16" s="6"/>
      <c r="I16" s="6"/>
      <c r="J16" s="55"/>
      <c r="K16" s="104">
        <f>SUM(K11:K15)</f>
        <v>846420.83100000001</v>
      </c>
      <c r="L16" s="125">
        <f>SUM(L11:L15)</f>
        <v>-289819.14999999997</v>
      </c>
      <c r="M16" s="89">
        <f>SUM(M11:M15)</f>
        <v>556601.6810000001</v>
      </c>
      <c r="N16" s="92">
        <f>SUM(N11:N15)</f>
        <v>62873.06</v>
      </c>
      <c r="O16" s="89">
        <f>SUM(O11:O15)</f>
        <v>493728.62100000004</v>
      </c>
      <c r="P16" s="91">
        <f t="shared" si="1"/>
        <v>0.11295880365837413</v>
      </c>
    </row>
    <row r="17" spans="2:16" ht="20.100000000000001" customHeight="1" thickBot="1">
      <c r="B17" s="341" t="s">
        <v>21</v>
      </c>
      <c r="C17" s="226" t="s">
        <v>50</v>
      </c>
      <c r="D17" s="168" t="s">
        <v>53</v>
      </c>
      <c r="E17" s="169">
        <f>64.005+102.408+102.408</f>
        <v>268.82100000000003</v>
      </c>
      <c r="F17" s="141">
        <f>-268.821</f>
        <v>-268.82100000000003</v>
      </c>
      <c r="G17" s="40">
        <f>+E17+F17</f>
        <v>0</v>
      </c>
      <c r="H17" s="33"/>
      <c r="I17" s="40">
        <f>+G17-H17</f>
        <v>0</v>
      </c>
      <c r="J17" s="56" t="e">
        <f>+H17/G17</f>
        <v>#DIV/0!</v>
      </c>
      <c r="K17" s="71">
        <f>+E17</f>
        <v>268.82100000000003</v>
      </c>
      <c r="L17" s="72">
        <f>+F17</f>
        <v>-268.82100000000003</v>
      </c>
      <c r="M17" s="73">
        <f>+K17+L17</f>
        <v>0</v>
      </c>
      <c r="N17" s="72">
        <f>+H17</f>
        <v>0</v>
      </c>
      <c r="O17" s="73">
        <f>+M17-N17</f>
        <v>0</v>
      </c>
      <c r="P17" s="74" t="e">
        <f t="shared" si="1"/>
        <v>#DIV/0!</v>
      </c>
    </row>
    <row r="18" spans="2:16" ht="20.100000000000001" customHeight="1" thickBot="1">
      <c r="B18" s="342"/>
      <c r="C18" s="227" t="s">
        <v>40</v>
      </c>
      <c r="D18" s="166" t="s">
        <v>53</v>
      </c>
      <c r="E18" s="167">
        <f>1433.64</f>
        <v>1433.64</v>
      </c>
      <c r="F18" s="142">
        <f>-1430</f>
        <v>-1430</v>
      </c>
      <c r="G18" s="26">
        <f t="shared" ref="G18:G32" si="2">+E18+F18</f>
        <v>3.6400000000001</v>
      </c>
      <c r="H18" s="4"/>
      <c r="I18" s="26">
        <f t="shared" ref="I18:I29" si="3">+G18-H18</f>
        <v>3.6400000000001</v>
      </c>
      <c r="J18" s="54">
        <f t="shared" ref="J18:J29" si="4">+H18/G18</f>
        <v>0</v>
      </c>
      <c r="K18" s="75">
        <f t="shared" ref="K18:K29" si="5">+E18</f>
        <v>1433.64</v>
      </c>
      <c r="L18" s="62">
        <f t="shared" ref="L18:L29" si="6">+F18</f>
        <v>-1430</v>
      </c>
      <c r="M18" s="61">
        <f t="shared" ref="M18:M29" si="7">+K18+L18</f>
        <v>3.6400000000001</v>
      </c>
      <c r="N18" s="62">
        <f t="shared" ref="N18:N29" si="8">+H18</f>
        <v>0</v>
      </c>
      <c r="O18" s="61">
        <f t="shared" ref="O18:O29" si="9">+M18-N18</f>
        <v>3.6400000000001</v>
      </c>
      <c r="P18" s="74">
        <f t="shared" ref="P18:P31" si="10">+N18/M18</f>
        <v>0</v>
      </c>
    </row>
    <row r="19" spans="2:16" ht="20.100000000000001" customHeight="1" thickBot="1">
      <c r="B19" s="342"/>
      <c r="C19" s="228" t="s">
        <v>49</v>
      </c>
      <c r="D19" s="166" t="s">
        <v>53</v>
      </c>
      <c r="E19" s="167">
        <f>64.005+64.005+64.005</f>
        <v>192.01499999999999</v>
      </c>
      <c r="F19" s="142">
        <f>-192.015</f>
        <v>-192.01499999999999</v>
      </c>
      <c r="G19" s="26">
        <f t="shared" si="2"/>
        <v>0</v>
      </c>
      <c r="H19" s="4"/>
      <c r="I19" s="26">
        <f t="shared" si="3"/>
        <v>0</v>
      </c>
      <c r="J19" s="54" t="e">
        <f t="shared" si="4"/>
        <v>#DIV/0!</v>
      </c>
      <c r="K19" s="75">
        <f t="shared" si="5"/>
        <v>192.01499999999999</v>
      </c>
      <c r="L19" s="62">
        <f t="shared" si="6"/>
        <v>-192.01499999999999</v>
      </c>
      <c r="M19" s="61">
        <f t="shared" si="7"/>
        <v>0</v>
      </c>
      <c r="N19" s="62">
        <f t="shared" si="8"/>
        <v>0</v>
      </c>
      <c r="O19" s="61">
        <f t="shared" si="9"/>
        <v>0</v>
      </c>
      <c r="P19" s="74" t="e">
        <f t="shared" si="10"/>
        <v>#DIV/0!</v>
      </c>
    </row>
    <row r="20" spans="2:16" ht="20.100000000000001" customHeight="1" thickBot="1">
      <c r="B20" s="342"/>
      <c r="C20" s="227" t="s">
        <v>41</v>
      </c>
      <c r="D20" s="166" t="s">
        <v>53</v>
      </c>
      <c r="E20" s="167">
        <f>10688.277+32.003+32.003+32.003+32.003+32.003+32.003+32.003+32.003+51.204+51.204+51.204+51.204+51.204</f>
        <v>11200.321000000004</v>
      </c>
      <c r="F20" s="142">
        <f>-5688.277-1500-3000-1012.044</f>
        <v>-11200.321</v>
      </c>
      <c r="G20" s="26">
        <f t="shared" si="2"/>
        <v>0</v>
      </c>
      <c r="H20" s="4"/>
      <c r="I20" s="26">
        <f t="shared" si="3"/>
        <v>0</v>
      </c>
      <c r="J20" s="54" t="e">
        <f t="shared" si="4"/>
        <v>#DIV/0!</v>
      </c>
      <c r="K20" s="75">
        <f t="shared" si="5"/>
        <v>11200.321000000004</v>
      </c>
      <c r="L20" s="62">
        <f t="shared" si="6"/>
        <v>-11200.321</v>
      </c>
      <c r="M20" s="61">
        <f t="shared" si="7"/>
        <v>0</v>
      </c>
      <c r="N20" s="62">
        <f t="shared" si="8"/>
        <v>0</v>
      </c>
      <c r="O20" s="61">
        <f t="shared" si="9"/>
        <v>0</v>
      </c>
      <c r="P20" s="74" t="e">
        <f t="shared" si="10"/>
        <v>#DIV/0!</v>
      </c>
    </row>
    <row r="21" spans="2:16" ht="20.100000000000001" customHeight="1" thickBot="1">
      <c r="B21" s="342"/>
      <c r="C21" s="227" t="s">
        <v>42</v>
      </c>
      <c r="D21" s="166" t="s">
        <v>53</v>
      </c>
      <c r="E21" s="167">
        <f>82.7</f>
        <v>82.7</v>
      </c>
      <c r="F21" s="142"/>
      <c r="G21" s="26">
        <f t="shared" si="2"/>
        <v>82.7</v>
      </c>
      <c r="H21" s="4"/>
      <c r="I21" s="26">
        <f t="shared" si="3"/>
        <v>82.7</v>
      </c>
      <c r="J21" s="54">
        <f t="shared" si="4"/>
        <v>0</v>
      </c>
      <c r="K21" s="75">
        <f t="shared" si="5"/>
        <v>82.7</v>
      </c>
      <c r="L21" s="62">
        <f t="shared" si="6"/>
        <v>0</v>
      </c>
      <c r="M21" s="61">
        <f t="shared" si="7"/>
        <v>82.7</v>
      </c>
      <c r="N21" s="62">
        <f t="shared" si="8"/>
        <v>0</v>
      </c>
      <c r="O21" s="61">
        <f t="shared" si="9"/>
        <v>82.7</v>
      </c>
      <c r="P21" s="74">
        <f t="shared" si="10"/>
        <v>0</v>
      </c>
    </row>
    <row r="22" spans="2:16" ht="20.100000000000001" customHeight="1" thickBot="1">
      <c r="B22" s="342"/>
      <c r="C22" s="227" t="s">
        <v>46</v>
      </c>
      <c r="D22" s="166" t="s">
        <v>53</v>
      </c>
      <c r="E22" s="170">
        <f>65.71+76.806+76.806+76.806+76.806+76.806+89.607+153.612</f>
        <v>692.95899999999995</v>
      </c>
      <c r="F22" s="142">
        <f>-692.959</f>
        <v>-692.95899999999995</v>
      </c>
      <c r="G22" s="26">
        <f t="shared" si="2"/>
        <v>0</v>
      </c>
      <c r="H22" s="4"/>
      <c r="I22" s="26">
        <f t="shared" si="3"/>
        <v>0</v>
      </c>
      <c r="J22" s="54" t="e">
        <f t="shared" si="4"/>
        <v>#DIV/0!</v>
      </c>
      <c r="K22" s="75">
        <f t="shared" si="5"/>
        <v>692.95899999999995</v>
      </c>
      <c r="L22" s="62">
        <f t="shared" si="6"/>
        <v>-692.95899999999995</v>
      </c>
      <c r="M22" s="61">
        <f t="shared" si="7"/>
        <v>0</v>
      </c>
      <c r="N22" s="62">
        <f t="shared" si="8"/>
        <v>0</v>
      </c>
      <c r="O22" s="61">
        <f t="shared" si="9"/>
        <v>0</v>
      </c>
      <c r="P22" s="74" t="e">
        <f t="shared" si="10"/>
        <v>#DIV/0!</v>
      </c>
    </row>
    <row r="23" spans="2:16" ht="20.100000000000001" customHeight="1" thickBot="1">
      <c r="B23" s="342"/>
      <c r="C23" s="227" t="s">
        <v>43</v>
      </c>
      <c r="D23" s="166" t="s">
        <v>53</v>
      </c>
      <c r="E23" s="167">
        <f>19.803</f>
        <v>19.803000000000001</v>
      </c>
      <c r="F23" s="142"/>
      <c r="G23" s="26">
        <f t="shared" si="2"/>
        <v>19.803000000000001</v>
      </c>
      <c r="H23" s="4"/>
      <c r="I23" s="26">
        <f t="shared" si="3"/>
        <v>19.803000000000001</v>
      </c>
      <c r="J23" s="54">
        <f t="shared" si="4"/>
        <v>0</v>
      </c>
      <c r="K23" s="75">
        <f t="shared" si="5"/>
        <v>19.803000000000001</v>
      </c>
      <c r="L23" s="62">
        <f t="shared" si="6"/>
        <v>0</v>
      </c>
      <c r="M23" s="61">
        <f t="shared" si="7"/>
        <v>19.803000000000001</v>
      </c>
      <c r="N23" s="62">
        <f t="shared" si="8"/>
        <v>0</v>
      </c>
      <c r="O23" s="61">
        <f t="shared" si="9"/>
        <v>19.803000000000001</v>
      </c>
      <c r="P23" s="74">
        <f t="shared" si="10"/>
        <v>0</v>
      </c>
    </row>
    <row r="24" spans="2:16" ht="20.100000000000001" customHeight="1" thickBot="1">
      <c r="B24" s="342"/>
      <c r="C24" s="228" t="s">
        <v>51</v>
      </c>
      <c r="D24" s="166" t="s">
        <v>53</v>
      </c>
      <c r="E24" s="167">
        <f>102.408</f>
        <v>102.408</v>
      </c>
      <c r="F24" s="142">
        <f>-102.408</f>
        <v>-102.408</v>
      </c>
      <c r="G24" s="26">
        <f t="shared" si="2"/>
        <v>0</v>
      </c>
      <c r="H24" s="4"/>
      <c r="I24" s="26">
        <f t="shared" si="3"/>
        <v>0</v>
      </c>
      <c r="J24" s="54">
        <v>0</v>
      </c>
      <c r="K24" s="75">
        <f t="shared" si="5"/>
        <v>102.408</v>
      </c>
      <c r="L24" s="62">
        <f t="shared" si="6"/>
        <v>-102.408</v>
      </c>
      <c r="M24" s="61">
        <f t="shared" si="7"/>
        <v>0</v>
      </c>
      <c r="N24" s="62">
        <f t="shared" si="8"/>
        <v>0</v>
      </c>
      <c r="O24" s="61">
        <f t="shared" si="9"/>
        <v>0</v>
      </c>
      <c r="P24" s="74" t="e">
        <f t="shared" si="10"/>
        <v>#DIV/0!</v>
      </c>
    </row>
    <row r="25" spans="2:16" ht="20.100000000000001" customHeight="1" thickBot="1">
      <c r="B25" s="342"/>
      <c r="C25" s="227" t="s">
        <v>48</v>
      </c>
      <c r="D25" s="166" t="s">
        <v>53</v>
      </c>
      <c r="E25" s="167">
        <f>64.005</f>
        <v>64.004999999999995</v>
      </c>
      <c r="F25" s="142"/>
      <c r="G25" s="26">
        <f t="shared" si="2"/>
        <v>64.004999999999995</v>
      </c>
      <c r="H25" s="4"/>
      <c r="I25" s="26">
        <f t="shared" si="3"/>
        <v>64.004999999999995</v>
      </c>
      <c r="J25" s="54">
        <f t="shared" si="4"/>
        <v>0</v>
      </c>
      <c r="K25" s="75">
        <f t="shared" si="5"/>
        <v>64.004999999999995</v>
      </c>
      <c r="L25" s="62">
        <f t="shared" si="6"/>
        <v>0</v>
      </c>
      <c r="M25" s="61">
        <f t="shared" si="7"/>
        <v>64.004999999999995</v>
      </c>
      <c r="N25" s="62">
        <f t="shared" si="8"/>
        <v>0</v>
      </c>
      <c r="O25" s="61">
        <f t="shared" si="9"/>
        <v>64.004999999999995</v>
      </c>
      <c r="P25" s="74">
        <f t="shared" si="10"/>
        <v>0</v>
      </c>
    </row>
    <row r="26" spans="2:16" ht="20.100000000000001" customHeight="1" thickBot="1">
      <c r="B26" s="342"/>
      <c r="C26" s="228" t="s">
        <v>52</v>
      </c>
      <c r="D26" s="166" t="s">
        <v>53</v>
      </c>
      <c r="E26" s="167">
        <f>102.408</f>
        <v>102.408</v>
      </c>
      <c r="F26" s="142">
        <f>-102.408</f>
        <v>-102.408</v>
      </c>
      <c r="G26" s="26">
        <f t="shared" si="2"/>
        <v>0</v>
      </c>
      <c r="H26" s="4"/>
      <c r="I26" s="26">
        <f t="shared" si="3"/>
        <v>0</v>
      </c>
      <c r="J26" s="54">
        <v>0</v>
      </c>
      <c r="K26" s="75">
        <f t="shared" si="5"/>
        <v>102.408</v>
      </c>
      <c r="L26" s="62">
        <f t="shared" si="6"/>
        <v>-102.408</v>
      </c>
      <c r="M26" s="61">
        <f t="shared" si="7"/>
        <v>0</v>
      </c>
      <c r="N26" s="62">
        <f t="shared" si="8"/>
        <v>0</v>
      </c>
      <c r="O26" s="61">
        <f t="shared" si="9"/>
        <v>0</v>
      </c>
      <c r="P26" s="74" t="e">
        <f t="shared" si="10"/>
        <v>#DIV/0!</v>
      </c>
    </row>
    <row r="27" spans="2:16" ht="20.100000000000001" customHeight="1" thickBot="1">
      <c r="B27" s="342"/>
      <c r="C27" s="227" t="s">
        <v>47</v>
      </c>
      <c r="D27" s="166" t="s">
        <v>53</v>
      </c>
      <c r="E27" s="167">
        <f>2.391</f>
        <v>2.391</v>
      </c>
      <c r="F27" s="142">
        <f>-0.25602</f>
        <v>-0.25602000000000003</v>
      </c>
      <c r="G27" s="26">
        <f t="shared" si="2"/>
        <v>2.1349800000000001</v>
      </c>
      <c r="H27" s="4"/>
      <c r="I27" s="26">
        <f t="shared" si="3"/>
        <v>2.1349800000000001</v>
      </c>
      <c r="J27" s="54">
        <f t="shared" si="4"/>
        <v>0</v>
      </c>
      <c r="K27" s="75">
        <f t="shared" si="5"/>
        <v>2.391</v>
      </c>
      <c r="L27" s="62">
        <f t="shared" si="6"/>
        <v>-0.25602000000000003</v>
      </c>
      <c r="M27" s="61">
        <f t="shared" si="7"/>
        <v>2.1349800000000001</v>
      </c>
      <c r="N27" s="62">
        <f t="shared" si="8"/>
        <v>0</v>
      </c>
      <c r="O27" s="61">
        <f t="shared" si="9"/>
        <v>2.1349800000000001</v>
      </c>
      <c r="P27" s="74">
        <f t="shared" si="10"/>
        <v>0</v>
      </c>
    </row>
    <row r="28" spans="2:16" ht="20.100000000000001" customHeight="1" thickBot="1">
      <c r="B28" s="342"/>
      <c r="C28" s="227" t="s">
        <v>45</v>
      </c>
      <c r="D28" s="166" t="s">
        <v>53</v>
      </c>
      <c r="E28" s="167">
        <f>9220.535+89.607+102.408+102.408+153.612+153.612+153.612+153.612+179.214+179.214</f>
        <v>10487.833999999995</v>
      </c>
      <c r="F28" s="142">
        <f>-9000-500-500-470+204.816+204.816-405</f>
        <v>-10465.367999999999</v>
      </c>
      <c r="G28" s="26">
        <f t="shared" si="2"/>
        <v>22.465999999996711</v>
      </c>
      <c r="H28" s="4"/>
      <c r="I28" s="26">
        <f t="shared" si="3"/>
        <v>22.465999999996711</v>
      </c>
      <c r="J28" s="54">
        <f t="shared" si="4"/>
        <v>0</v>
      </c>
      <c r="K28" s="75">
        <f t="shared" si="5"/>
        <v>10487.833999999995</v>
      </c>
      <c r="L28" s="62">
        <f t="shared" si="6"/>
        <v>-10465.367999999999</v>
      </c>
      <c r="M28" s="61">
        <f t="shared" si="7"/>
        <v>22.465999999996711</v>
      </c>
      <c r="N28" s="62">
        <f t="shared" si="8"/>
        <v>0</v>
      </c>
      <c r="O28" s="61">
        <f t="shared" si="9"/>
        <v>22.465999999996711</v>
      </c>
      <c r="P28" s="74">
        <f t="shared" si="10"/>
        <v>0</v>
      </c>
    </row>
    <row r="29" spans="2:16" ht="20.100000000000001" customHeight="1" thickBot="1">
      <c r="B29" s="342"/>
      <c r="C29" s="227" t="s">
        <v>44</v>
      </c>
      <c r="D29" s="166" t="s">
        <v>53</v>
      </c>
      <c r="E29" s="167">
        <f>248.644</f>
        <v>248.64400000000001</v>
      </c>
      <c r="F29" s="142">
        <f>-240</f>
        <v>-240</v>
      </c>
      <c r="G29" s="26">
        <f t="shared" si="2"/>
        <v>8.6440000000000055</v>
      </c>
      <c r="H29" s="4"/>
      <c r="I29" s="26">
        <f t="shared" si="3"/>
        <v>8.6440000000000055</v>
      </c>
      <c r="J29" s="54">
        <f t="shared" si="4"/>
        <v>0</v>
      </c>
      <c r="K29" s="75">
        <f t="shared" si="5"/>
        <v>248.64400000000001</v>
      </c>
      <c r="L29" s="62">
        <f t="shared" si="6"/>
        <v>-240</v>
      </c>
      <c r="M29" s="61">
        <f t="shared" si="7"/>
        <v>8.6440000000000055</v>
      </c>
      <c r="N29" s="62">
        <f t="shared" si="8"/>
        <v>0</v>
      </c>
      <c r="O29" s="61">
        <f t="shared" si="9"/>
        <v>8.6440000000000055</v>
      </c>
      <c r="P29" s="74">
        <f t="shared" si="10"/>
        <v>0</v>
      </c>
    </row>
    <row r="30" spans="2:16" s="87" customFormat="1" ht="20.100000000000001" customHeight="1" thickBot="1">
      <c r="B30" s="343"/>
      <c r="C30" s="229" t="s">
        <v>124</v>
      </c>
      <c r="D30" s="171" t="s">
        <v>53</v>
      </c>
      <c r="E30" s="172">
        <f>64.005+64.005+64.005+102.408</f>
        <v>294.423</v>
      </c>
      <c r="F30" s="156">
        <f>-294.423</f>
        <v>-294.423</v>
      </c>
      <c r="G30" s="26">
        <f t="shared" si="2"/>
        <v>0</v>
      </c>
      <c r="H30" s="157"/>
      <c r="I30" s="26">
        <f>+G30-H30</f>
        <v>0</v>
      </c>
      <c r="J30" s="54" t="e">
        <f>+H30/G30</f>
        <v>#DIV/0!</v>
      </c>
      <c r="K30" s="75">
        <f t="shared" ref="K30:L32" si="11">+E30</f>
        <v>294.423</v>
      </c>
      <c r="L30" s="62">
        <f t="shared" si="11"/>
        <v>-294.423</v>
      </c>
      <c r="M30" s="61">
        <f>+K30+L30</f>
        <v>0</v>
      </c>
      <c r="N30" s="62">
        <f>+H30</f>
        <v>0</v>
      </c>
      <c r="O30" s="61">
        <f>+M30-N30</f>
        <v>0</v>
      </c>
      <c r="P30" s="74" t="e">
        <f t="shared" si="10"/>
        <v>#DIV/0!</v>
      </c>
    </row>
    <row r="31" spans="2:16" s="87" customFormat="1" ht="20.100000000000001" customHeight="1" thickBot="1">
      <c r="B31" s="343"/>
      <c r="C31" s="230" t="s">
        <v>193</v>
      </c>
      <c r="D31" s="171" t="s">
        <v>53</v>
      </c>
      <c r="E31" s="207">
        <f>204.816+204.816</f>
        <v>409.63200000000001</v>
      </c>
      <c r="F31" s="208">
        <f>-204.816-204.816</f>
        <v>-409.63200000000001</v>
      </c>
      <c r="G31" s="26">
        <f t="shared" ref="G31" si="12">+E31+F31</f>
        <v>0</v>
      </c>
      <c r="H31" s="209"/>
      <c r="I31" s="26">
        <f>+G31-H31</f>
        <v>0</v>
      </c>
      <c r="J31" s="54" t="e">
        <f>+H31/G31</f>
        <v>#DIV/0!</v>
      </c>
      <c r="K31" s="75">
        <f t="shared" si="11"/>
        <v>409.63200000000001</v>
      </c>
      <c r="L31" s="62">
        <f t="shared" si="11"/>
        <v>-409.63200000000001</v>
      </c>
      <c r="M31" s="61">
        <f>+K31+L31</f>
        <v>0</v>
      </c>
      <c r="N31" s="62">
        <f>+H31</f>
        <v>0</v>
      </c>
      <c r="O31" s="61">
        <f>+M31-N31</f>
        <v>0</v>
      </c>
      <c r="P31" s="74" t="e">
        <f t="shared" si="10"/>
        <v>#DIV/0!</v>
      </c>
    </row>
    <row r="32" spans="2:16" s="87" customFormat="1" ht="20.100000000000001" customHeight="1">
      <c r="B32" s="343"/>
      <c r="C32" s="230" t="s">
        <v>319</v>
      </c>
      <c r="D32" s="171" t="s">
        <v>53</v>
      </c>
      <c r="E32" s="207">
        <v>0</v>
      </c>
      <c r="F32" s="208">
        <v>0.25602000000000003</v>
      </c>
      <c r="G32" s="26">
        <f t="shared" si="2"/>
        <v>0.25602000000000003</v>
      </c>
      <c r="H32" s="209"/>
      <c r="I32" s="26">
        <f>+G32-H32</f>
        <v>0.25602000000000003</v>
      </c>
      <c r="J32" s="54">
        <f>+H32/G32</f>
        <v>0</v>
      </c>
      <c r="K32" s="75">
        <f t="shared" si="11"/>
        <v>0</v>
      </c>
      <c r="L32" s="62">
        <f t="shared" si="11"/>
        <v>0.25602000000000003</v>
      </c>
      <c r="M32" s="61">
        <f>+K32+L32</f>
        <v>0.25602000000000003</v>
      </c>
      <c r="N32" s="62">
        <f>+H32</f>
        <v>0</v>
      </c>
      <c r="O32" s="61">
        <f>+M32-N32</f>
        <v>0.25602000000000003</v>
      </c>
      <c r="P32" s="74">
        <f t="shared" ref="P32:P38" si="13">+N32/M32</f>
        <v>0</v>
      </c>
    </row>
    <row r="33" spans="2:16" s="9" customFormat="1" ht="15.75" thickBot="1">
      <c r="B33" s="29"/>
      <c r="C33" s="34"/>
      <c r="D33" s="31"/>
      <c r="E33" s="140">
        <f>SUM(E17:E32)</f>
        <v>25602.004000000001</v>
      </c>
      <c r="F33" s="6"/>
      <c r="G33" s="6"/>
      <c r="H33" s="6"/>
      <c r="I33" s="6"/>
      <c r="J33" s="55"/>
      <c r="K33" s="103">
        <f>SUM(K17:K32)</f>
        <v>25602.004000000001</v>
      </c>
      <c r="L33" s="95">
        <f>SUM(L17:L32)</f>
        <v>-25398.354999999996</v>
      </c>
      <c r="M33" s="95">
        <f>SUM(M17:M32)</f>
        <v>203.64899999999682</v>
      </c>
      <c r="N33" s="125">
        <f>SUM(N17:N32)</f>
        <v>0</v>
      </c>
      <c r="O33" s="95">
        <f>SUM(O17:O32)</f>
        <v>203.64899999999682</v>
      </c>
      <c r="P33" s="60">
        <f t="shared" si="13"/>
        <v>0</v>
      </c>
    </row>
    <row r="34" spans="2:16" ht="15.75" thickBot="1">
      <c r="B34" s="344" t="s">
        <v>19</v>
      </c>
      <c r="C34" s="220" t="s">
        <v>54</v>
      </c>
      <c r="D34" s="44" t="s">
        <v>53</v>
      </c>
      <c r="E34" s="45">
        <v>4.8810000000000002</v>
      </c>
      <c r="F34" s="38"/>
      <c r="G34" s="51">
        <f>+E34+F34</f>
        <v>4.8810000000000002</v>
      </c>
      <c r="H34" s="38"/>
      <c r="I34" s="51">
        <f>+G34-H34</f>
        <v>4.8810000000000002</v>
      </c>
      <c r="J34" s="69">
        <f>+H34/G34</f>
        <v>0</v>
      </c>
      <c r="K34" s="215">
        <f t="shared" ref="K34:L36" si="14">E34</f>
        <v>4.8810000000000002</v>
      </c>
      <c r="L34" s="216">
        <f t="shared" si="14"/>
        <v>0</v>
      </c>
      <c r="M34" s="217">
        <f>+K34+L34</f>
        <v>4.8810000000000002</v>
      </c>
      <c r="N34" s="216">
        <f>H34</f>
        <v>0</v>
      </c>
      <c r="O34" s="217">
        <f>+M34-N34</f>
        <v>4.8810000000000002</v>
      </c>
      <c r="P34" s="218">
        <f t="shared" si="13"/>
        <v>0</v>
      </c>
    </row>
    <row r="35" spans="2:16" ht="15.75" thickBot="1">
      <c r="B35" s="345"/>
      <c r="C35" s="221" t="s">
        <v>55</v>
      </c>
      <c r="D35" s="44" t="s">
        <v>53</v>
      </c>
      <c r="E35" s="46">
        <v>313.08800000000002</v>
      </c>
      <c r="F35" s="11"/>
      <c r="G35" s="52">
        <f>+E35+F35</f>
        <v>313.08800000000002</v>
      </c>
      <c r="H35" s="132"/>
      <c r="I35" s="52">
        <f>+G35-H35</f>
        <v>313.08800000000002</v>
      </c>
      <c r="J35" s="70">
        <f>+H35/G35</f>
        <v>0</v>
      </c>
      <c r="K35" s="215">
        <f t="shared" si="14"/>
        <v>313.08800000000002</v>
      </c>
      <c r="L35" s="216">
        <f t="shared" si="14"/>
        <v>0</v>
      </c>
      <c r="M35" s="217">
        <f>+K35+L35</f>
        <v>313.08800000000002</v>
      </c>
      <c r="N35" s="216">
        <f>H35</f>
        <v>0</v>
      </c>
      <c r="O35" s="217">
        <f>+M35-N35</f>
        <v>313.08800000000002</v>
      </c>
      <c r="P35" s="218">
        <f t="shared" si="13"/>
        <v>0</v>
      </c>
    </row>
    <row r="36" spans="2:16">
      <c r="B36" s="345"/>
      <c r="C36" s="221" t="s">
        <v>56</v>
      </c>
      <c r="D36" s="44" t="s">
        <v>53</v>
      </c>
      <c r="E36" s="46">
        <v>1167.0309999999999</v>
      </c>
      <c r="F36" s="11"/>
      <c r="G36" s="52">
        <f>+E36+F36</f>
        <v>1167.0309999999999</v>
      </c>
      <c r="H36" s="143"/>
      <c r="I36" s="52">
        <f>+G36-H36</f>
        <v>1167.0309999999999</v>
      </c>
      <c r="J36" s="70">
        <f>+H36/G36</f>
        <v>0</v>
      </c>
      <c r="K36" s="215">
        <f t="shared" si="14"/>
        <v>1167.0309999999999</v>
      </c>
      <c r="L36" s="216">
        <f t="shared" si="14"/>
        <v>0</v>
      </c>
      <c r="M36" s="217">
        <f>+K36+L36</f>
        <v>1167.0309999999999</v>
      </c>
      <c r="N36" s="216">
        <f>H36</f>
        <v>0</v>
      </c>
      <c r="O36" s="217">
        <f>+M36-N36</f>
        <v>1167.0309999999999</v>
      </c>
      <c r="P36" s="218">
        <f t="shared" si="13"/>
        <v>0</v>
      </c>
    </row>
    <row r="37" spans="2:16" s="10" customFormat="1" ht="15.75" thickBot="1">
      <c r="B37" s="35"/>
      <c r="C37" s="36"/>
      <c r="D37" s="31"/>
      <c r="E37" s="140">
        <f>SUM(E34:E36)</f>
        <v>1485</v>
      </c>
      <c r="F37" s="37"/>
      <c r="G37" s="37"/>
      <c r="H37" s="37"/>
      <c r="I37" s="37"/>
      <c r="J37" s="60"/>
      <c r="K37" s="102">
        <f>SUM(K34:K36)</f>
        <v>1485</v>
      </c>
      <c r="L37" s="92">
        <f>SUM(L34:L36)</f>
        <v>0</v>
      </c>
      <c r="M37" s="92">
        <f>SUM(M34:M36)</f>
        <v>1485</v>
      </c>
      <c r="N37" s="92">
        <f>SUM(N34:N36)</f>
        <v>0</v>
      </c>
      <c r="O37" s="92">
        <f>SUM(O34:O36)</f>
        <v>1485</v>
      </c>
      <c r="P37" s="136">
        <f t="shared" si="13"/>
        <v>0</v>
      </c>
    </row>
    <row r="38" spans="2:16">
      <c r="B38" s="337" t="s">
        <v>29</v>
      </c>
      <c r="C38" s="41" t="s">
        <v>57</v>
      </c>
      <c r="D38" s="48" t="s">
        <v>58</v>
      </c>
      <c r="E38" s="45">
        <f>204.947</f>
        <v>204.947</v>
      </c>
      <c r="F38" s="38"/>
      <c r="G38" s="51">
        <f>+E38+F38</f>
        <v>204.947</v>
      </c>
      <c r="H38" s="38"/>
      <c r="I38" s="51">
        <f>+G38-H38</f>
        <v>204.947</v>
      </c>
      <c r="J38" s="57">
        <f>+H38/G38</f>
        <v>0</v>
      </c>
      <c r="K38" s="64">
        <f>+E38</f>
        <v>204.947</v>
      </c>
      <c r="L38" s="24">
        <f>+F38</f>
        <v>0</v>
      </c>
      <c r="M38" s="65">
        <f>+K38+L38</f>
        <v>204.947</v>
      </c>
      <c r="N38" s="146">
        <f t="shared" ref="N38:N47" si="15">+H38</f>
        <v>0</v>
      </c>
      <c r="O38" s="65">
        <f>+M38-N38</f>
        <v>204.947</v>
      </c>
      <c r="P38" s="57">
        <f t="shared" si="13"/>
        <v>0</v>
      </c>
    </row>
    <row r="39" spans="2:16">
      <c r="B39" s="338"/>
      <c r="C39" s="42" t="s">
        <v>41</v>
      </c>
      <c r="D39" s="49" t="s">
        <v>58</v>
      </c>
      <c r="E39" s="46">
        <f>892.307</f>
        <v>892.30700000000002</v>
      </c>
      <c r="F39" s="11"/>
      <c r="G39" s="52">
        <f t="shared" ref="G39:G45" si="16">+E39+F39</f>
        <v>892.30700000000002</v>
      </c>
      <c r="H39" s="11"/>
      <c r="I39" s="52">
        <f t="shared" ref="I39:I45" si="17">+G39-H39</f>
        <v>892.30700000000002</v>
      </c>
      <c r="J39" s="58">
        <f t="shared" ref="J39:J45" si="18">+H39/G39</f>
        <v>0</v>
      </c>
      <c r="K39" s="66">
        <f t="shared" ref="K39:K45" si="19">+E39</f>
        <v>892.30700000000002</v>
      </c>
      <c r="L39" s="23">
        <f>+F39</f>
        <v>0</v>
      </c>
      <c r="M39" s="63">
        <f t="shared" ref="M39:M45" si="20">+K39+L39</f>
        <v>892.30700000000002</v>
      </c>
      <c r="N39" s="144">
        <f t="shared" si="15"/>
        <v>0</v>
      </c>
      <c r="O39" s="63">
        <f t="shared" ref="O39:O45" si="21">+M39-N39</f>
        <v>892.30700000000002</v>
      </c>
      <c r="P39" s="58">
        <f t="shared" ref="P39:P45" si="22">+N39/M39</f>
        <v>0</v>
      </c>
    </row>
    <row r="40" spans="2:16">
      <c r="B40" s="338"/>
      <c r="C40" s="42" t="s">
        <v>48</v>
      </c>
      <c r="D40" s="49" t="s">
        <v>58</v>
      </c>
      <c r="E40" s="46">
        <f>0.15</f>
        <v>0.15</v>
      </c>
      <c r="F40" s="11"/>
      <c r="G40" s="52">
        <f t="shared" si="16"/>
        <v>0.15</v>
      </c>
      <c r="H40" s="11"/>
      <c r="I40" s="52">
        <f t="shared" si="17"/>
        <v>0.15</v>
      </c>
      <c r="J40" s="58">
        <f t="shared" si="18"/>
        <v>0</v>
      </c>
      <c r="K40" s="66">
        <f t="shared" si="19"/>
        <v>0.15</v>
      </c>
      <c r="L40" s="23">
        <f t="shared" ref="L40:L45" si="23">+F40</f>
        <v>0</v>
      </c>
      <c r="M40" s="63">
        <f t="shared" si="20"/>
        <v>0.15</v>
      </c>
      <c r="N40" s="144">
        <f t="shared" si="15"/>
        <v>0</v>
      </c>
      <c r="O40" s="63">
        <f t="shared" si="21"/>
        <v>0.15</v>
      </c>
      <c r="P40" s="58">
        <f t="shared" si="22"/>
        <v>0</v>
      </c>
    </row>
    <row r="41" spans="2:16">
      <c r="B41" s="338"/>
      <c r="C41" s="42" t="s">
        <v>59</v>
      </c>
      <c r="D41" s="49" t="s">
        <v>58</v>
      </c>
      <c r="E41" s="46">
        <f>5.746</f>
        <v>5.7460000000000004</v>
      </c>
      <c r="F41" s="11"/>
      <c r="G41" s="52">
        <f t="shared" si="16"/>
        <v>5.7460000000000004</v>
      </c>
      <c r="H41" s="11"/>
      <c r="I41" s="52">
        <f t="shared" si="17"/>
        <v>5.7460000000000004</v>
      </c>
      <c r="J41" s="58">
        <f t="shared" si="18"/>
        <v>0</v>
      </c>
      <c r="K41" s="66">
        <f t="shared" si="19"/>
        <v>5.7460000000000004</v>
      </c>
      <c r="L41" s="23">
        <f t="shared" si="23"/>
        <v>0</v>
      </c>
      <c r="M41" s="63">
        <f t="shared" si="20"/>
        <v>5.7460000000000004</v>
      </c>
      <c r="N41" s="144">
        <f t="shared" si="15"/>
        <v>0</v>
      </c>
      <c r="O41" s="63">
        <f t="shared" si="21"/>
        <v>5.7460000000000004</v>
      </c>
      <c r="P41" s="58">
        <f t="shared" si="22"/>
        <v>0</v>
      </c>
    </row>
    <row r="42" spans="2:16">
      <c r="B42" s="338"/>
      <c r="C42" s="42" t="s">
        <v>60</v>
      </c>
      <c r="D42" s="49" t="s">
        <v>58</v>
      </c>
      <c r="E42" s="46">
        <f>6.495</f>
        <v>6.4950000000000001</v>
      </c>
      <c r="F42" s="11"/>
      <c r="G42" s="52">
        <f t="shared" si="16"/>
        <v>6.4950000000000001</v>
      </c>
      <c r="H42" s="11"/>
      <c r="I42" s="52">
        <f t="shared" si="17"/>
        <v>6.4950000000000001</v>
      </c>
      <c r="J42" s="58">
        <f t="shared" si="18"/>
        <v>0</v>
      </c>
      <c r="K42" s="66">
        <f t="shared" si="19"/>
        <v>6.4950000000000001</v>
      </c>
      <c r="L42" s="23">
        <f t="shared" si="23"/>
        <v>0</v>
      </c>
      <c r="M42" s="63">
        <f t="shared" si="20"/>
        <v>6.4950000000000001</v>
      </c>
      <c r="N42" s="144">
        <f t="shared" si="15"/>
        <v>0</v>
      </c>
      <c r="O42" s="63">
        <f t="shared" si="21"/>
        <v>6.4950000000000001</v>
      </c>
      <c r="P42" s="58">
        <f t="shared" si="22"/>
        <v>0</v>
      </c>
    </row>
    <row r="43" spans="2:16">
      <c r="B43" s="338"/>
      <c r="C43" s="107" t="s">
        <v>44</v>
      </c>
      <c r="D43" s="49" t="s">
        <v>58</v>
      </c>
      <c r="E43" s="46">
        <f>2.977</f>
        <v>2.9769999999999999</v>
      </c>
      <c r="F43" s="11"/>
      <c r="G43" s="52">
        <f t="shared" si="16"/>
        <v>2.9769999999999999</v>
      </c>
      <c r="H43" s="11"/>
      <c r="I43" s="52">
        <f t="shared" si="17"/>
        <v>2.9769999999999999</v>
      </c>
      <c r="J43" s="58">
        <f t="shared" si="18"/>
        <v>0</v>
      </c>
      <c r="K43" s="66">
        <f t="shared" si="19"/>
        <v>2.9769999999999999</v>
      </c>
      <c r="L43" s="23">
        <f t="shared" si="23"/>
        <v>0</v>
      </c>
      <c r="M43" s="63">
        <f t="shared" si="20"/>
        <v>2.9769999999999999</v>
      </c>
      <c r="N43" s="144">
        <f t="shared" si="15"/>
        <v>0</v>
      </c>
      <c r="O43" s="63">
        <f t="shared" si="21"/>
        <v>2.9769999999999999</v>
      </c>
      <c r="P43" s="58">
        <f t="shared" si="22"/>
        <v>0</v>
      </c>
    </row>
    <row r="44" spans="2:16">
      <c r="B44" s="338"/>
      <c r="C44" s="42" t="s">
        <v>61</v>
      </c>
      <c r="D44" s="49" t="s">
        <v>58</v>
      </c>
      <c r="E44" s="46">
        <f>383.03</f>
        <v>383.03</v>
      </c>
      <c r="F44" s="11">
        <f>-60</f>
        <v>-60</v>
      </c>
      <c r="G44" s="52">
        <f t="shared" si="16"/>
        <v>323.02999999999997</v>
      </c>
      <c r="H44" s="11"/>
      <c r="I44" s="52">
        <f t="shared" si="17"/>
        <v>323.02999999999997</v>
      </c>
      <c r="J44" s="58">
        <f t="shared" si="18"/>
        <v>0</v>
      </c>
      <c r="K44" s="66">
        <f t="shared" si="19"/>
        <v>383.03</v>
      </c>
      <c r="L44" s="23">
        <f t="shared" si="23"/>
        <v>-60</v>
      </c>
      <c r="M44" s="63">
        <f t="shared" si="20"/>
        <v>323.02999999999997</v>
      </c>
      <c r="N44" s="144">
        <f t="shared" si="15"/>
        <v>0</v>
      </c>
      <c r="O44" s="63">
        <f t="shared" si="21"/>
        <v>323.02999999999997</v>
      </c>
      <c r="P44" s="58">
        <f t="shared" si="22"/>
        <v>0</v>
      </c>
    </row>
    <row r="45" spans="2:16">
      <c r="B45" s="338"/>
      <c r="C45" s="42" t="s">
        <v>62</v>
      </c>
      <c r="D45" s="49" t="s">
        <v>58</v>
      </c>
      <c r="E45" s="46">
        <f>2.593</f>
        <v>2.593</v>
      </c>
      <c r="F45" s="11"/>
      <c r="G45" s="52">
        <f t="shared" si="16"/>
        <v>2.593</v>
      </c>
      <c r="H45" s="11"/>
      <c r="I45" s="52">
        <f t="shared" si="17"/>
        <v>2.593</v>
      </c>
      <c r="J45" s="58">
        <f t="shared" si="18"/>
        <v>0</v>
      </c>
      <c r="K45" s="66">
        <f t="shared" si="19"/>
        <v>2.593</v>
      </c>
      <c r="L45" s="23">
        <f t="shared" si="23"/>
        <v>0</v>
      </c>
      <c r="M45" s="63">
        <f t="shared" si="20"/>
        <v>2.593</v>
      </c>
      <c r="N45" s="144">
        <f t="shared" si="15"/>
        <v>0</v>
      </c>
      <c r="O45" s="63">
        <f t="shared" si="21"/>
        <v>2.593</v>
      </c>
      <c r="P45" s="58">
        <f t="shared" si="22"/>
        <v>0</v>
      </c>
    </row>
    <row r="46" spans="2:16" s="87" customFormat="1">
      <c r="B46" s="339"/>
      <c r="C46" s="274" t="s">
        <v>63</v>
      </c>
      <c r="D46" s="275" t="s">
        <v>58</v>
      </c>
      <c r="E46" s="276">
        <f>1.755</f>
        <v>1.7549999999999999</v>
      </c>
      <c r="F46" s="277">
        <f>-0.105</f>
        <v>-0.105</v>
      </c>
      <c r="G46" s="278">
        <f>+E46+F46</f>
        <v>1.65</v>
      </c>
      <c r="H46" s="277"/>
      <c r="I46" s="278">
        <f>+G46-H46</f>
        <v>1.65</v>
      </c>
      <c r="J46" s="279">
        <f>+H46/G46</f>
        <v>0</v>
      </c>
      <c r="K46" s="280">
        <f>+E46</f>
        <v>1.7549999999999999</v>
      </c>
      <c r="L46" s="281">
        <f>+F46</f>
        <v>-0.105</v>
      </c>
      <c r="M46" s="282">
        <f>+K46+L46</f>
        <v>1.65</v>
      </c>
      <c r="N46" s="283">
        <f t="shared" ref="N46" si="24">+H46</f>
        <v>0</v>
      </c>
      <c r="O46" s="282">
        <f>+M46-N46</f>
        <v>1.65</v>
      </c>
      <c r="P46" s="279">
        <f>+N46/M46</f>
        <v>0</v>
      </c>
    </row>
    <row r="47" spans="2:16" ht="15.75" thickBot="1">
      <c r="B47" s="340"/>
      <c r="C47" s="43" t="s">
        <v>319</v>
      </c>
      <c r="D47" s="50" t="s">
        <v>58</v>
      </c>
      <c r="E47" s="47">
        <v>0</v>
      </c>
      <c r="F47" s="39">
        <f>0.105</f>
        <v>0.105</v>
      </c>
      <c r="G47" s="53">
        <f>+E47+F47</f>
        <v>0.105</v>
      </c>
      <c r="H47" s="39"/>
      <c r="I47" s="53">
        <f>+G47-H47</f>
        <v>0.105</v>
      </c>
      <c r="J47" s="59">
        <f>+H47/G47</f>
        <v>0</v>
      </c>
      <c r="K47" s="67">
        <f>+E47</f>
        <v>0</v>
      </c>
      <c r="L47" s="25">
        <f>+F47</f>
        <v>0.105</v>
      </c>
      <c r="M47" s="68">
        <f>+K47+L47</f>
        <v>0.105</v>
      </c>
      <c r="N47" s="145">
        <f t="shared" si="15"/>
        <v>0</v>
      </c>
      <c r="O47" s="68">
        <f>+M47-N47</f>
        <v>0.105</v>
      </c>
      <c r="P47" s="59">
        <f>+N47/M47</f>
        <v>0</v>
      </c>
    </row>
    <row r="48" spans="2:16">
      <c r="E48" s="121">
        <f>SUM(E38:E47)</f>
        <v>1500.0000000000002</v>
      </c>
      <c r="F48">
        <f>SUM(F38:F47)</f>
        <v>-60</v>
      </c>
      <c r="K48" s="93">
        <f>SUM(K38:K47)</f>
        <v>1500.0000000000002</v>
      </c>
      <c r="L48" s="93">
        <f>SUM(L38:L47)</f>
        <v>-60</v>
      </c>
      <c r="M48" s="93">
        <f>SUM(M38:M47)</f>
        <v>1440.0000000000002</v>
      </c>
      <c r="N48" s="149">
        <f>SUM(N38:N47)</f>
        <v>0</v>
      </c>
      <c r="O48" s="93">
        <f>SUM(O38:O47)</f>
        <v>1440.0000000000002</v>
      </c>
      <c r="P48" s="94">
        <f>+N48/M48</f>
        <v>0</v>
      </c>
    </row>
  </sheetData>
  <sortState ref="C16:C32">
    <sortCondition ref="C16"/>
  </sortState>
  <mergeCells count="9">
    <mergeCell ref="B5:P6"/>
    <mergeCell ref="B7:P7"/>
    <mergeCell ref="H9:J9"/>
    <mergeCell ref="E9:G9"/>
    <mergeCell ref="B38:B47"/>
    <mergeCell ref="K9:P9"/>
    <mergeCell ref="B17:B32"/>
    <mergeCell ref="B34:B36"/>
    <mergeCell ref="B11:B15"/>
  </mergeCells>
  <conditionalFormatting sqref="J11:J47 P11:P48">
    <cfRule type="cellIs" dxfId="1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35 G15 M34 M33:O33 M11 G12 M17:M29 M38:M45 G36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91"/>
  <sheetViews>
    <sheetView workbookViewId="0">
      <pane ySplit="4" topLeftCell="A5" activePane="bottomLeft" state="frozen"/>
      <selection pane="bottomLeft" activeCell="I246" sqref="I246"/>
    </sheetView>
  </sheetViews>
  <sheetFormatPr baseColWidth="10" defaultRowHeight="15"/>
  <cols>
    <col min="1" max="1" width="4.5703125" style="99" customWidth="1"/>
    <col min="2" max="2" width="9.140625" style="150" bestFit="1" customWidth="1"/>
    <col min="3" max="3" width="13.140625" style="150" customWidth="1"/>
    <col min="4" max="5" width="11.42578125" style="150"/>
    <col min="6" max="6" width="19.85546875" style="150" bestFit="1" customWidth="1"/>
    <col min="7" max="8" width="11.42578125" style="150"/>
    <col min="9" max="9" width="10.42578125" style="150" bestFit="1" customWidth="1"/>
    <col min="10" max="10" width="11.85546875" style="150" bestFit="1" customWidth="1"/>
    <col min="11" max="11" width="12.7109375" style="150" bestFit="1" customWidth="1"/>
    <col min="12" max="13" width="10" style="150" customWidth="1"/>
    <col min="14" max="14" width="13.42578125" style="150" customWidth="1"/>
    <col min="15" max="15" width="13.5703125" style="150" customWidth="1"/>
    <col min="16" max="17" width="11.42578125" style="99"/>
    <col min="18" max="19" width="15" style="99" bestFit="1" customWidth="1"/>
    <col min="20" max="20" width="13" style="99" bestFit="1" customWidth="1"/>
    <col min="21" max="21" width="15" style="99" bestFit="1" customWidth="1"/>
    <col min="22" max="22" width="16.42578125" style="99" bestFit="1" customWidth="1"/>
    <col min="23" max="16384" width="11.42578125" style="99"/>
  </cols>
  <sheetData>
    <row r="1" spans="2:22" ht="15.75" thickBot="1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22" ht="15.75" thickBot="1">
      <c r="B2" s="99"/>
      <c r="C2" s="99"/>
      <c r="D2" s="99"/>
      <c r="E2" s="99"/>
      <c r="F2" s="99"/>
      <c r="G2" s="99"/>
      <c r="H2" s="366" t="s">
        <v>199</v>
      </c>
      <c r="I2" s="362"/>
      <c r="J2" s="362"/>
      <c r="K2" s="363"/>
      <c r="L2" s="362" t="s">
        <v>200</v>
      </c>
      <c r="M2" s="362"/>
      <c r="N2" s="362"/>
      <c r="O2" s="363"/>
    </row>
    <row r="3" spans="2:22" ht="15.75" thickBot="1">
      <c r="B3" s="99"/>
      <c r="C3" s="99"/>
      <c r="D3" s="99"/>
      <c r="E3" s="99"/>
      <c r="F3" s="99"/>
      <c r="G3" s="99"/>
      <c r="H3" s="147" t="s">
        <v>120</v>
      </c>
      <c r="I3" s="147" t="s">
        <v>121</v>
      </c>
      <c r="J3" s="147" t="s">
        <v>122</v>
      </c>
      <c r="K3" s="147" t="s">
        <v>123</v>
      </c>
      <c r="L3" s="148" t="s">
        <v>120</v>
      </c>
      <c r="M3" s="148" t="s">
        <v>121</v>
      </c>
      <c r="N3" s="148" t="s">
        <v>122</v>
      </c>
      <c r="O3" s="148" t="s">
        <v>123</v>
      </c>
      <c r="S3" s="364" t="s">
        <v>309</v>
      </c>
      <c r="T3" s="365"/>
      <c r="U3" s="365"/>
      <c r="V3" s="365"/>
    </row>
    <row r="4" spans="2:22" ht="30">
      <c r="B4" s="152" t="s">
        <v>115</v>
      </c>
      <c r="C4" s="153" t="s">
        <v>116</v>
      </c>
      <c r="D4" s="154" t="s">
        <v>117</v>
      </c>
      <c r="E4" s="153" t="s">
        <v>22</v>
      </c>
      <c r="F4" s="153" t="s">
        <v>118</v>
      </c>
      <c r="G4" s="153" t="s">
        <v>119</v>
      </c>
      <c r="H4" s="153" t="s">
        <v>107</v>
      </c>
      <c r="I4" s="153" t="s">
        <v>107</v>
      </c>
      <c r="J4" s="153" t="s">
        <v>107</v>
      </c>
      <c r="K4" s="153" t="s">
        <v>107</v>
      </c>
      <c r="L4" s="128" t="s">
        <v>108</v>
      </c>
      <c r="M4" s="128" t="s">
        <v>108</v>
      </c>
      <c r="N4" s="128" t="s">
        <v>108</v>
      </c>
      <c r="O4" s="129" t="s">
        <v>108</v>
      </c>
      <c r="S4" s="131" t="s">
        <v>120</v>
      </c>
      <c r="T4" s="131" t="s">
        <v>121</v>
      </c>
      <c r="U4" s="131" t="s">
        <v>122</v>
      </c>
      <c r="V4" s="131" t="s">
        <v>123</v>
      </c>
    </row>
    <row r="5" spans="2:22" ht="15" customHeight="1">
      <c r="B5" s="181" t="s">
        <v>217</v>
      </c>
      <c r="C5" s="187">
        <v>44624</v>
      </c>
      <c r="D5" s="186">
        <v>576</v>
      </c>
      <c r="E5" s="181" t="s">
        <v>95</v>
      </c>
      <c r="F5" s="181" t="s">
        <v>218</v>
      </c>
      <c r="G5" s="186">
        <v>965747</v>
      </c>
      <c r="H5" s="360">
        <v>128000</v>
      </c>
      <c r="I5" s="211">
        <v>3782.110999999999</v>
      </c>
      <c r="J5" s="360">
        <f>H5-(SUM(I5:I48))</f>
        <v>5889.9309999999969</v>
      </c>
      <c r="K5" s="361">
        <f>(SUM(I5:I48))/H5</f>
        <v>0.95398491406250008</v>
      </c>
      <c r="L5" s="186"/>
      <c r="M5" s="186"/>
      <c r="N5" s="186"/>
      <c r="O5" s="186"/>
      <c r="R5" s="134" t="s">
        <v>107</v>
      </c>
      <c r="S5" s="198">
        <f>SUM(H5:H1006)</f>
        <v>315217.50499999995</v>
      </c>
      <c r="T5" s="198">
        <f>SUM(I5:I1006)</f>
        <v>261594.86400000006</v>
      </c>
      <c r="U5" s="198">
        <f>+S5-T5</f>
        <v>53622.640999999887</v>
      </c>
      <c r="V5" s="96">
        <f>+T5/S5</f>
        <v>0.82988685542701734</v>
      </c>
    </row>
    <row r="6" spans="2:22" ht="15" customHeight="1">
      <c r="B6" s="181" t="s">
        <v>217</v>
      </c>
      <c r="C6" s="187">
        <v>44624</v>
      </c>
      <c r="D6" s="186">
        <v>576</v>
      </c>
      <c r="E6" s="181" t="s">
        <v>95</v>
      </c>
      <c r="F6" s="181" t="s">
        <v>219</v>
      </c>
      <c r="G6" s="186">
        <v>956794</v>
      </c>
      <c r="H6" s="326"/>
      <c r="I6" s="211">
        <v>469.63799999999998</v>
      </c>
      <c r="J6" s="326"/>
      <c r="K6" s="349"/>
      <c r="L6" s="186"/>
      <c r="M6" s="186"/>
      <c r="N6" s="186"/>
      <c r="O6" s="186"/>
      <c r="R6" s="134" t="s">
        <v>128</v>
      </c>
      <c r="S6" s="198">
        <f>L173</f>
        <v>60</v>
      </c>
      <c r="T6" s="198">
        <f>M173+M174+M175</f>
        <v>0</v>
      </c>
      <c r="U6" s="198">
        <f>+S6-T6</f>
        <v>60</v>
      </c>
      <c r="V6" s="96">
        <f>+T6/S6</f>
        <v>0</v>
      </c>
    </row>
    <row r="7" spans="2:22" ht="15" customHeight="1">
      <c r="B7" s="181" t="s">
        <v>217</v>
      </c>
      <c r="C7" s="187">
        <v>44624</v>
      </c>
      <c r="D7" s="186">
        <v>576</v>
      </c>
      <c r="E7" s="181" t="s">
        <v>95</v>
      </c>
      <c r="F7" s="181" t="s">
        <v>220</v>
      </c>
      <c r="G7" s="186">
        <v>963544</v>
      </c>
      <c r="H7" s="326"/>
      <c r="I7" s="211">
        <v>4442.7079999999987</v>
      </c>
      <c r="J7" s="326"/>
      <c r="K7" s="349"/>
      <c r="L7" s="186"/>
      <c r="M7" s="186"/>
      <c r="N7" s="186"/>
      <c r="O7" s="186"/>
      <c r="R7" s="134" t="s">
        <v>129</v>
      </c>
      <c r="S7" s="133">
        <f>SUM(S5:S6)</f>
        <v>315277.50499999995</v>
      </c>
      <c r="T7" s="134">
        <f>SUM(T5:T6)</f>
        <v>261594.86400000006</v>
      </c>
      <c r="U7" s="133">
        <f>+S7-T7</f>
        <v>53682.640999999887</v>
      </c>
      <c r="V7" s="135">
        <f>+T7/S7</f>
        <v>0.82972892087559535</v>
      </c>
    </row>
    <row r="8" spans="2:22" ht="15" customHeight="1">
      <c r="B8" s="181" t="s">
        <v>217</v>
      </c>
      <c r="C8" s="187">
        <v>44624</v>
      </c>
      <c r="D8" s="186">
        <v>576</v>
      </c>
      <c r="E8" s="181" t="s">
        <v>95</v>
      </c>
      <c r="F8" s="181" t="s">
        <v>221</v>
      </c>
      <c r="G8" s="186">
        <v>963409</v>
      </c>
      <c r="H8" s="326"/>
      <c r="I8" s="211">
        <v>3086.3059999999996</v>
      </c>
      <c r="J8" s="326"/>
      <c r="K8" s="349"/>
      <c r="L8" s="186"/>
      <c r="M8" s="186"/>
      <c r="N8" s="186"/>
      <c r="O8" s="186"/>
      <c r="R8" s="260" t="s">
        <v>298</v>
      </c>
      <c r="S8" s="258">
        <f>H5+H96+H106+H113+H114+H115+H132+H133+H134+H135+H138+H161+H179+H218+H219+H251+H252+H261</f>
        <v>193526.22499999998</v>
      </c>
      <c r="T8" s="258">
        <f>(SUM(I5:I48))+(SUM(I96:I105))+I106+I113+I114+(SUM(I115:I121))+I132+I133+I134+I135+I136+I137+(SUM(I138:I144))+(SUM(I161:I167))+I179+I218+I219+I251+(SUM(I252:I260))+I261</f>
        <v>177237.788</v>
      </c>
      <c r="U8" s="258">
        <f>S8-T8</f>
        <v>16288.436999999976</v>
      </c>
      <c r="V8" s="259">
        <f>T8/S8</f>
        <v>0.91583343807796602</v>
      </c>
    </row>
    <row r="9" spans="2:22" ht="15" customHeight="1">
      <c r="B9" s="181" t="s">
        <v>217</v>
      </c>
      <c r="C9" s="187">
        <v>44624</v>
      </c>
      <c r="D9" s="186">
        <v>576</v>
      </c>
      <c r="E9" s="181" t="s">
        <v>95</v>
      </c>
      <c r="F9" s="181" t="s">
        <v>222</v>
      </c>
      <c r="G9" s="186">
        <v>966363</v>
      </c>
      <c r="H9" s="326"/>
      <c r="I9" s="211">
        <v>2867.0410000000002</v>
      </c>
      <c r="J9" s="326"/>
      <c r="K9" s="349"/>
      <c r="L9" s="186"/>
      <c r="M9" s="186"/>
      <c r="N9" s="186"/>
      <c r="O9" s="186"/>
      <c r="R9" s="260" t="s">
        <v>299</v>
      </c>
      <c r="S9" s="258">
        <f>H49+H65</f>
        <v>86000</v>
      </c>
      <c r="T9" s="258">
        <f>(SUM(I49:I64))+(SUM(I65:I78))</f>
        <v>57130.607000000004</v>
      </c>
      <c r="U9" s="258">
        <f>S9-T9</f>
        <v>28869.392999999996</v>
      </c>
      <c r="V9" s="259">
        <f>T9/S9</f>
        <v>0.66430938372093029</v>
      </c>
    </row>
    <row r="10" spans="2:22" ht="15" customHeight="1">
      <c r="B10" s="181" t="s">
        <v>217</v>
      </c>
      <c r="C10" s="187">
        <v>44624</v>
      </c>
      <c r="D10" s="186">
        <v>576</v>
      </c>
      <c r="E10" s="181" t="s">
        <v>95</v>
      </c>
      <c r="F10" s="181" t="s">
        <v>223</v>
      </c>
      <c r="G10" s="186">
        <v>965738</v>
      </c>
      <c r="H10" s="326"/>
      <c r="I10" s="211">
        <v>2505.6110000000003</v>
      </c>
      <c r="J10" s="326"/>
      <c r="K10" s="349"/>
      <c r="L10" s="186"/>
      <c r="M10" s="186"/>
      <c r="N10" s="186"/>
      <c r="O10" s="186"/>
      <c r="R10" s="260" t="s">
        <v>297</v>
      </c>
      <c r="S10" s="258">
        <f>H122+H176+H177+H178+H195+H199+H220+H224+H229</f>
        <v>7900.3960000000006</v>
      </c>
      <c r="T10" s="258">
        <f>(SUM(I122:I131))+I176+I177+I178+I195+I196+I197+I198+I199+I200+I201+I202+I220+I223+I224+I225+I228+I229+I232</f>
        <v>6405.1350000000002</v>
      </c>
      <c r="U10" s="258">
        <f>S10-T10</f>
        <v>1495.2610000000004</v>
      </c>
      <c r="V10" s="259">
        <f>T10/S10</f>
        <v>0.81073594285653527</v>
      </c>
    </row>
    <row r="11" spans="2:22" ht="15" customHeight="1">
      <c r="B11" s="181" t="s">
        <v>217</v>
      </c>
      <c r="C11" s="187">
        <v>44624</v>
      </c>
      <c r="D11" s="186">
        <v>576</v>
      </c>
      <c r="E11" s="181" t="s">
        <v>95</v>
      </c>
      <c r="F11" s="181" t="s">
        <v>224</v>
      </c>
      <c r="G11" s="186">
        <v>955856</v>
      </c>
      <c r="H11" s="326"/>
      <c r="I11" s="211">
        <v>2491.0949999999993</v>
      </c>
      <c r="J11" s="326"/>
      <c r="K11" s="349"/>
      <c r="L11" s="186"/>
      <c r="M11" s="186"/>
      <c r="N11" s="186"/>
      <c r="O11" s="186"/>
      <c r="R11" s="260" t="s">
        <v>300</v>
      </c>
      <c r="S11" s="258">
        <f>H79+H107+H145+H155+H168+H180+H203+H233+H245</f>
        <v>17497.958999999999</v>
      </c>
      <c r="T11" s="258">
        <f>(SUM(I79:I95))+(SUM(I107:I112))+(SUM(I145:I154))+(SUM(I155:I160))+(SUM(I168:I172))+I173+I174+I175+(SUM(I180:I194))+(SUM(I203:I217))+(SUM(I233:I244))+(SUM(I245:I250))</f>
        <v>16457.438999999998</v>
      </c>
      <c r="U11" s="258">
        <f>S11-T11</f>
        <v>1040.5200000000004</v>
      </c>
      <c r="V11" s="259">
        <f>T11/S11</f>
        <v>0.9405347789419326</v>
      </c>
    </row>
    <row r="12" spans="2:22" ht="15" customHeight="1">
      <c r="B12" s="181" t="s">
        <v>217</v>
      </c>
      <c r="C12" s="187">
        <v>44624</v>
      </c>
      <c r="D12" s="186">
        <v>576</v>
      </c>
      <c r="E12" s="181" t="s">
        <v>95</v>
      </c>
      <c r="F12" s="181" t="s">
        <v>225</v>
      </c>
      <c r="G12" s="186">
        <v>969249</v>
      </c>
      <c r="H12" s="326"/>
      <c r="I12" s="211">
        <v>2141.3049999999998</v>
      </c>
      <c r="J12" s="326"/>
      <c r="K12" s="349"/>
      <c r="L12" s="186"/>
      <c r="M12" s="186"/>
      <c r="N12" s="186"/>
      <c r="O12" s="186"/>
    </row>
    <row r="13" spans="2:22" ht="15" customHeight="1">
      <c r="B13" s="181" t="s">
        <v>217</v>
      </c>
      <c r="C13" s="187">
        <v>44624</v>
      </c>
      <c r="D13" s="186">
        <v>576</v>
      </c>
      <c r="E13" s="181" t="s">
        <v>95</v>
      </c>
      <c r="F13" s="181" t="s">
        <v>226</v>
      </c>
      <c r="G13" s="186">
        <v>964506</v>
      </c>
      <c r="H13" s="326"/>
      <c r="I13" s="211">
        <v>708.74999999999989</v>
      </c>
      <c r="J13" s="326"/>
      <c r="K13" s="349"/>
      <c r="L13" s="186"/>
      <c r="M13" s="186"/>
      <c r="N13" s="186"/>
      <c r="O13" s="186"/>
    </row>
    <row r="14" spans="2:22" ht="15" customHeight="1">
      <c r="B14" s="181" t="s">
        <v>217</v>
      </c>
      <c r="C14" s="187">
        <v>44624</v>
      </c>
      <c r="D14" s="186">
        <v>576</v>
      </c>
      <c r="E14" s="181" t="s">
        <v>95</v>
      </c>
      <c r="F14" s="181" t="s">
        <v>227</v>
      </c>
      <c r="G14" s="186">
        <v>967834</v>
      </c>
      <c r="H14" s="326"/>
      <c r="I14" s="185">
        <v>3244.9529999999986</v>
      </c>
      <c r="J14" s="326"/>
      <c r="K14" s="349"/>
      <c r="L14" s="186"/>
      <c r="M14" s="186"/>
      <c r="N14" s="186"/>
      <c r="O14" s="186"/>
    </row>
    <row r="15" spans="2:22" ht="15" customHeight="1">
      <c r="B15" s="181" t="s">
        <v>217</v>
      </c>
      <c r="C15" s="187">
        <v>44624</v>
      </c>
      <c r="D15" s="186">
        <v>576</v>
      </c>
      <c r="E15" s="181" t="s">
        <v>95</v>
      </c>
      <c r="F15" s="181" t="s">
        <v>209</v>
      </c>
      <c r="G15" s="186">
        <v>966916</v>
      </c>
      <c r="H15" s="326"/>
      <c r="I15" s="185">
        <v>3367.0219999999999</v>
      </c>
      <c r="J15" s="326"/>
      <c r="K15" s="349"/>
      <c r="L15" s="186"/>
      <c r="M15" s="186"/>
      <c r="N15" s="186"/>
      <c r="O15" s="186"/>
    </row>
    <row r="16" spans="2:22" ht="15" customHeight="1">
      <c r="B16" s="181" t="s">
        <v>217</v>
      </c>
      <c r="C16" s="187">
        <v>44624</v>
      </c>
      <c r="D16" s="186">
        <v>576</v>
      </c>
      <c r="E16" s="181" t="s">
        <v>95</v>
      </c>
      <c r="F16" s="181" t="s">
        <v>228</v>
      </c>
      <c r="G16" s="186">
        <v>697783</v>
      </c>
      <c r="H16" s="326"/>
      <c r="I16" s="185">
        <v>126.669</v>
      </c>
      <c r="J16" s="326"/>
      <c r="K16" s="349"/>
      <c r="L16" s="186"/>
      <c r="M16" s="186"/>
      <c r="N16" s="186"/>
      <c r="O16" s="186"/>
    </row>
    <row r="17" spans="2:15" ht="15" customHeight="1">
      <c r="B17" s="181" t="s">
        <v>217</v>
      </c>
      <c r="C17" s="187">
        <v>44624</v>
      </c>
      <c r="D17" s="186">
        <v>576</v>
      </c>
      <c r="E17" s="181" t="s">
        <v>95</v>
      </c>
      <c r="F17" s="181" t="s">
        <v>229</v>
      </c>
      <c r="G17" s="186">
        <v>697526</v>
      </c>
      <c r="H17" s="326"/>
      <c r="I17" s="185"/>
      <c r="J17" s="326"/>
      <c r="K17" s="349"/>
      <c r="L17" s="186"/>
      <c r="M17" s="186"/>
      <c r="N17" s="186"/>
      <c r="O17" s="186"/>
    </row>
    <row r="18" spans="2:15" ht="15" customHeight="1">
      <c r="B18" s="181" t="s">
        <v>217</v>
      </c>
      <c r="C18" s="187">
        <v>44624</v>
      </c>
      <c r="D18" s="186">
        <v>576</v>
      </c>
      <c r="E18" s="181" t="s">
        <v>95</v>
      </c>
      <c r="F18" s="181" t="s">
        <v>230</v>
      </c>
      <c r="G18" s="186">
        <v>698422</v>
      </c>
      <c r="H18" s="326"/>
      <c r="I18" s="185">
        <v>2515.6730000000007</v>
      </c>
      <c r="J18" s="326"/>
      <c r="K18" s="349"/>
      <c r="L18" s="186"/>
      <c r="M18" s="186"/>
      <c r="N18" s="186"/>
      <c r="O18" s="186"/>
    </row>
    <row r="19" spans="2:15" ht="15" customHeight="1">
      <c r="B19" s="181" t="s">
        <v>217</v>
      </c>
      <c r="C19" s="187">
        <v>44624</v>
      </c>
      <c r="D19" s="186">
        <v>576</v>
      </c>
      <c r="E19" s="181" t="s">
        <v>95</v>
      </c>
      <c r="F19" s="181" t="s">
        <v>231</v>
      </c>
      <c r="G19" s="186">
        <v>697319</v>
      </c>
      <c r="H19" s="326"/>
      <c r="I19" s="185">
        <v>1834.7630000000001</v>
      </c>
      <c r="J19" s="326"/>
      <c r="K19" s="349"/>
      <c r="L19" s="186"/>
      <c r="M19" s="186"/>
      <c r="N19" s="186"/>
      <c r="O19" s="186"/>
    </row>
    <row r="20" spans="2:15" ht="15" customHeight="1">
      <c r="B20" s="181" t="s">
        <v>217</v>
      </c>
      <c r="C20" s="187">
        <v>44624</v>
      </c>
      <c r="D20" s="186">
        <v>576</v>
      </c>
      <c r="E20" s="181" t="s">
        <v>95</v>
      </c>
      <c r="F20" s="181" t="s">
        <v>232</v>
      </c>
      <c r="G20" s="186">
        <v>952279</v>
      </c>
      <c r="H20" s="326"/>
      <c r="I20" s="185">
        <v>4674.5399999999991</v>
      </c>
      <c r="J20" s="326"/>
      <c r="K20" s="349"/>
      <c r="L20" s="186"/>
      <c r="M20" s="186"/>
      <c r="N20" s="186"/>
      <c r="O20" s="186"/>
    </row>
    <row r="21" spans="2:15" ht="15" customHeight="1">
      <c r="B21" s="181" t="s">
        <v>217</v>
      </c>
      <c r="C21" s="187">
        <v>44624</v>
      </c>
      <c r="D21" s="186">
        <v>576</v>
      </c>
      <c r="E21" s="181" t="s">
        <v>95</v>
      </c>
      <c r="F21" s="181" t="s">
        <v>233</v>
      </c>
      <c r="G21" s="186">
        <v>961261</v>
      </c>
      <c r="H21" s="326"/>
      <c r="I21" s="185">
        <v>4542.7199999999984</v>
      </c>
      <c r="J21" s="326"/>
      <c r="K21" s="349"/>
      <c r="L21" s="186"/>
      <c r="M21" s="186"/>
      <c r="N21" s="186"/>
      <c r="O21" s="186"/>
    </row>
    <row r="22" spans="2:15">
      <c r="B22" s="181" t="s">
        <v>217</v>
      </c>
      <c r="C22" s="187">
        <v>44624</v>
      </c>
      <c r="D22" s="186">
        <v>576</v>
      </c>
      <c r="E22" s="181" t="s">
        <v>95</v>
      </c>
      <c r="F22" s="213" t="s">
        <v>234</v>
      </c>
      <c r="G22" s="210">
        <v>697514</v>
      </c>
      <c r="H22" s="326"/>
      <c r="I22" s="211">
        <v>5472.6989999999996</v>
      </c>
      <c r="J22" s="326"/>
      <c r="K22" s="349"/>
      <c r="L22" s="210"/>
      <c r="M22" s="210"/>
      <c r="N22" s="210"/>
      <c r="O22" s="210"/>
    </row>
    <row r="23" spans="2:15">
      <c r="B23" s="181" t="s">
        <v>217</v>
      </c>
      <c r="C23" s="187">
        <v>44624</v>
      </c>
      <c r="D23" s="186">
        <v>576</v>
      </c>
      <c r="E23" s="181" t="s">
        <v>95</v>
      </c>
      <c r="F23" s="213" t="s">
        <v>317</v>
      </c>
      <c r="G23" s="210">
        <v>913564</v>
      </c>
      <c r="H23" s="326"/>
      <c r="I23" s="211">
        <v>3469.5040000000004</v>
      </c>
      <c r="J23" s="326"/>
      <c r="K23" s="349"/>
      <c r="L23" s="210"/>
      <c r="M23" s="210"/>
      <c r="N23" s="210"/>
      <c r="O23" s="210"/>
    </row>
    <row r="24" spans="2:15">
      <c r="B24" s="181" t="s">
        <v>217</v>
      </c>
      <c r="C24" s="187">
        <v>44624</v>
      </c>
      <c r="D24" s="186">
        <v>576</v>
      </c>
      <c r="E24" s="181" t="s">
        <v>95</v>
      </c>
      <c r="F24" s="213" t="s">
        <v>235</v>
      </c>
      <c r="G24" s="210">
        <v>968293</v>
      </c>
      <c r="H24" s="326"/>
      <c r="I24" s="211">
        <v>4289.0830000000005</v>
      </c>
      <c r="J24" s="326"/>
      <c r="K24" s="349"/>
      <c r="L24" s="210"/>
      <c r="M24" s="210"/>
      <c r="N24" s="210"/>
      <c r="O24" s="210"/>
    </row>
    <row r="25" spans="2:15">
      <c r="B25" s="181" t="s">
        <v>217</v>
      </c>
      <c r="C25" s="187">
        <v>44624</v>
      </c>
      <c r="D25" s="186">
        <v>576</v>
      </c>
      <c r="E25" s="181" t="s">
        <v>95</v>
      </c>
      <c r="F25" s="213" t="s">
        <v>236</v>
      </c>
      <c r="G25" s="210">
        <v>964503</v>
      </c>
      <c r="H25" s="326"/>
      <c r="I25" s="211">
        <v>3431.8849999999984</v>
      </c>
      <c r="J25" s="326"/>
      <c r="K25" s="349"/>
      <c r="L25" s="210"/>
      <c r="M25" s="210"/>
      <c r="N25" s="210"/>
      <c r="O25" s="210"/>
    </row>
    <row r="26" spans="2:15">
      <c r="B26" s="181" t="s">
        <v>217</v>
      </c>
      <c r="C26" s="187">
        <v>44624</v>
      </c>
      <c r="D26" s="186">
        <v>576</v>
      </c>
      <c r="E26" s="181" t="s">
        <v>95</v>
      </c>
      <c r="F26" s="213" t="s">
        <v>210</v>
      </c>
      <c r="G26" s="210">
        <v>913590</v>
      </c>
      <c r="H26" s="326"/>
      <c r="I26" s="211">
        <v>2856.6529999999993</v>
      </c>
      <c r="J26" s="326"/>
      <c r="K26" s="349"/>
      <c r="L26" s="210"/>
      <c r="M26" s="210"/>
      <c r="N26" s="210"/>
      <c r="O26" s="210"/>
    </row>
    <row r="27" spans="2:15">
      <c r="B27" s="181" t="s">
        <v>217</v>
      </c>
      <c r="C27" s="187">
        <v>44624</v>
      </c>
      <c r="D27" s="186">
        <v>576</v>
      </c>
      <c r="E27" s="181" t="s">
        <v>95</v>
      </c>
      <c r="F27" s="213" t="s">
        <v>237</v>
      </c>
      <c r="G27" s="210">
        <v>698685</v>
      </c>
      <c r="H27" s="326"/>
      <c r="I27" s="211">
        <f>4126.982+276.907</f>
        <v>4403.8890000000001</v>
      </c>
      <c r="J27" s="326"/>
      <c r="K27" s="349"/>
      <c r="L27" s="210"/>
      <c r="M27" s="210"/>
      <c r="N27" s="210"/>
      <c r="O27" s="210"/>
    </row>
    <row r="28" spans="2:15">
      <c r="B28" s="181" t="s">
        <v>217</v>
      </c>
      <c r="C28" s="187">
        <v>44624</v>
      </c>
      <c r="D28" s="186">
        <v>576</v>
      </c>
      <c r="E28" s="181" t="s">
        <v>95</v>
      </c>
      <c r="F28" s="213" t="s">
        <v>238</v>
      </c>
      <c r="G28" s="210">
        <v>952277</v>
      </c>
      <c r="H28" s="326"/>
      <c r="I28" s="211">
        <v>3891.85</v>
      </c>
      <c r="J28" s="326"/>
      <c r="K28" s="349"/>
      <c r="L28" s="210"/>
      <c r="M28" s="210"/>
      <c r="N28" s="210"/>
      <c r="O28" s="210"/>
    </row>
    <row r="29" spans="2:15">
      <c r="B29" s="181" t="s">
        <v>217</v>
      </c>
      <c r="C29" s="187">
        <v>44624</v>
      </c>
      <c r="D29" s="186">
        <v>576</v>
      </c>
      <c r="E29" s="181" t="s">
        <v>95</v>
      </c>
      <c r="F29" s="213" t="s">
        <v>239</v>
      </c>
      <c r="G29" s="210">
        <v>914147</v>
      </c>
      <c r="H29" s="326"/>
      <c r="I29" s="211">
        <v>2128.6080000000002</v>
      </c>
      <c r="J29" s="326"/>
      <c r="K29" s="349"/>
      <c r="L29" s="210"/>
      <c r="M29" s="210"/>
      <c r="N29" s="210"/>
      <c r="O29" s="210"/>
    </row>
    <row r="30" spans="2:15">
      <c r="B30" s="181" t="s">
        <v>217</v>
      </c>
      <c r="C30" s="187">
        <v>44624</v>
      </c>
      <c r="D30" s="186">
        <v>576</v>
      </c>
      <c r="E30" s="181" t="s">
        <v>95</v>
      </c>
      <c r="F30" s="213" t="s">
        <v>240</v>
      </c>
      <c r="G30" s="210">
        <v>960140</v>
      </c>
      <c r="H30" s="326"/>
      <c r="I30" s="211">
        <v>5384.3940000000002</v>
      </c>
      <c r="J30" s="326"/>
      <c r="K30" s="349"/>
      <c r="L30" s="210"/>
      <c r="M30" s="210"/>
      <c r="N30" s="210"/>
      <c r="O30" s="210"/>
    </row>
    <row r="31" spans="2:15">
      <c r="B31" s="181" t="s">
        <v>217</v>
      </c>
      <c r="C31" s="187">
        <v>44624</v>
      </c>
      <c r="D31" s="186">
        <v>576</v>
      </c>
      <c r="E31" s="181" t="s">
        <v>95</v>
      </c>
      <c r="F31" s="213" t="s">
        <v>241</v>
      </c>
      <c r="G31" s="210">
        <v>953852</v>
      </c>
      <c r="H31" s="326"/>
      <c r="I31" s="211">
        <v>2705.8620000000005</v>
      </c>
      <c r="J31" s="326"/>
      <c r="K31" s="349"/>
      <c r="L31" s="210"/>
      <c r="M31" s="210"/>
      <c r="N31" s="210"/>
      <c r="O31" s="210"/>
    </row>
    <row r="32" spans="2:15">
      <c r="B32" s="181" t="s">
        <v>217</v>
      </c>
      <c r="C32" s="187">
        <v>44624</v>
      </c>
      <c r="D32" s="186">
        <v>576</v>
      </c>
      <c r="E32" s="181" t="s">
        <v>95</v>
      </c>
      <c r="F32" s="213" t="s">
        <v>242</v>
      </c>
      <c r="G32" s="210">
        <v>914125</v>
      </c>
      <c r="H32" s="326"/>
      <c r="I32" s="211">
        <v>2560.6659999999997</v>
      </c>
      <c r="J32" s="326"/>
      <c r="K32" s="349"/>
      <c r="L32" s="210"/>
      <c r="M32" s="210"/>
      <c r="N32" s="210"/>
      <c r="O32" s="210"/>
    </row>
    <row r="33" spans="2:15">
      <c r="B33" s="181" t="s">
        <v>217</v>
      </c>
      <c r="C33" s="187">
        <v>44624</v>
      </c>
      <c r="D33" s="186">
        <v>576</v>
      </c>
      <c r="E33" s="181" t="s">
        <v>95</v>
      </c>
      <c r="F33" s="213" t="s">
        <v>243</v>
      </c>
      <c r="G33" s="210">
        <v>968795</v>
      </c>
      <c r="H33" s="326"/>
      <c r="I33" s="211">
        <v>2621.2250000000008</v>
      </c>
      <c r="J33" s="326"/>
      <c r="K33" s="349"/>
      <c r="L33" s="210"/>
      <c r="M33" s="210"/>
      <c r="N33" s="210"/>
      <c r="O33" s="210"/>
    </row>
    <row r="34" spans="2:15">
      <c r="B34" s="181" t="s">
        <v>217</v>
      </c>
      <c r="C34" s="187">
        <v>44624</v>
      </c>
      <c r="D34" s="186">
        <v>576</v>
      </c>
      <c r="E34" s="181" t="s">
        <v>95</v>
      </c>
      <c r="F34" s="213" t="s">
        <v>244</v>
      </c>
      <c r="G34" s="210">
        <v>698348</v>
      </c>
      <c r="H34" s="326"/>
      <c r="I34" s="211">
        <v>1722.0519999999999</v>
      </c>
      <c r="J34" s="326"/>
      <c r="K34" s="349"/>
      <c r="L34" s="210"/>
      <c r="M34" s="210"/>
      <c r="N34" s="210"/>
      <c r="O34" s="210"/>
    </row>
    <row r="35" spans="2:15">
      <c r="B35" s="181" t="s">
        <v>217</v>
      </c>
      <c r="C35" s="187">
        <v>44624</v>
      </c>
      <c r="D35" s="186">
        <v>576</v>
      </c>
      <c r="E35" s="181" t="s">
        <v>95</v>
      </c>
      <c r="F35" s="213" t="s">
        <v>245</v>
      </c>
      <c r="G35" s="210">
        <v>968111</v>
      </c>
      <c r="H35" s="326"/>
      <c r="I35" s="211">
        <v>5558.8030000000053</v>
      </c>
      <c r="J35" s="326"/>
      <c r="K35" s="349"/>
      <c r="L35" s="210"/>
      <c r="M35" s="210"/>
      <c r="N35" s="210"/>
      <c r="O35" s="210"/>
    </row>
    <row r="36" spans="2:15">
      <c r="B36" s="181" t="s">
        <v>217</v>
      </c>
      <c r="C36" s="187">
        <v>44624</v>
      </c>
      <c r="D36" s="186">
        <v>576</v>
      </c>
      <c r="E36" s="181" t="s">
        <v>95</v>
      </c>
      <c r="F36" s="213" t="s">
        <v>246</v>
      </c>
      <c r="G36" s="210">
        <v>963908</v>
      </c>
      <c r="H36" s="326"/>
      <c r="I36" s="211">
        <v>3513.2590000000014</v>
      </c>
      <c r="J36" s="326"/>
      <c r="K36" s="349"/>
      <c r="L36" s="210"/>
      <c r="M36" s="210"/>
      <c r="N36" s="210"/>
      <c r="O36" s="210"/>
    </row>
    <row r="37" spans="2:15">
      <c r="B37" s="181" t="s">
        <v>217</v>
      </c>
      <c r="C37" s="187">
        <v>44624</v>
      </c>
      <c r="D37" s="186">
        <v>576</v>
      </c>
      <c r="E37" s="181" t="s">
        <v>95</v>
      </c>
      <c r="F37" s="213" t="s">
        <v>247</v>
      </c>
      <c r="G37" s="210">
        <v>914124</v>
      </c>
      <c r="H37" s="326"/>
      <c r="I37" s="211">
        <v>2040.6240000000003</v>
      </c>
      <c r="J37" s="326"/>
      <c r="K37" s="349"/>
      <c r="L37" s="210"/>
      <c r="M37" s="210"/>
      <c r="N37" s="210"/>
      <c r="O37" s="210"/>
    </row>
    <row r="38" spans="2:15">
      <c r="B38" s="181" t="s">
        <v>217</v>
      </c>
      <c r="C38" s="187">
        <v>44624</v>
      </c>
      <c r="D38" s="186">
        <v>576</v>
      </c>
      <c r="E38" s="181" t="s">
        <v>95</v>
      </c>
      <c r="F38" s="213" t="s">
        <v>248</v>
      </c>
      <c r="G38" s="210">
        <v>914128</v>
      </c>
      <c r="H38" s="326"/>
      <c r="I38" s="211">
        <v>4941.0430000000015</v>
      </c>
      <c r="J38" s="326"/>
      <c r="K38" s="349"/>
      <c r="L38" s="210"/>
      <c r="M38" s="210"/>
      <c r="N38" s="210"/>
      <c r="O38" s="210"/>
    </row>
    <row r="39" spans="2:15">
      <c r="B39" s="181" t="s">
        <v>217</v>
      </c>
      <c r="C39" s="187">
        <v>44624</v>
      </c>
      <c r="D39" s="186">
        <v>576</v>
      </c>
      <c r="E39" s="181" t="s">
        <v>95</v>
      </c>
      <c r="F39" s="213" t="s">
        <v>249</v>
      </c>
      <c r="G39" s="210">
        <v>961059</v>
      </c>
      <c r="H39" s="326"/>
      <c r="I39" s="211">
        <v>5256.7750000000015</v>
      </c>
      <c r="J39" s="326"/>
      <c r="K39" s="349"/>
      <c r="L39" s="210"/>
      <c r="M39" s="210"/>
      <c r="N39" s="210"/>
      <c r="O39" s="210"/>
    </row>
    <row r="40" spans="2:15">
      <c r="B40" s="181" t="s">
        <v>217</v>
      </c>
      <c r="C40" s="187">
        <v>44624</v>
      </c>
      <c r="D40" s="186">
        <v>576</v>
      </c>
      <c r="E40" s="181" t="s">
        <v>95</v>
      </c>
      <c r="F40" s="213" t="s">
        <v>250</v>
      </c>
      <c r="G40" s="210">
        <v>969314</v>
      </c>
      <c r="H40" s="326"/>
      <c r="I40" s="211">
        <v>3028.1310000000008</v>
      </c>
      <c r="J40" s="326"/>
      <c r="K40" s="349"/>
      <c r="L40" s="271"/>
      <c r="M40" s="271"/>
      <c r="N40" s="271"/>
      <c r="O40" s="271"/>
    </row>
    <row r="41" spans="2:15">
      <c r="B41" s="181" t="s">
        <v>217</v>
      </c>
      <c r="C41" s="187">
        <v>44624</v>
      </c>
      <c r="D41" s="186">
        <v>576</v>
      </c>
      <c r="E41" s="181" t="s">
        <v>95</v>
      </c>
      <c r="F41" s="213" t="s">
        <v>316</v>
      </c>
      <c r="G41" s="210">
        <v>699580</v>
      </c>
      <c r="H41" s="326"/>
      <c r="I41" s="211">
        <v>2927.491</v>
      </c>
      <c r="J41" s="326"/>
      <c r="K41" s="349"/>
      <c r="L41" s="272"/>
      <c r="M41" s="272"/>
      <c r="N41" s="272"/>
      <c r="O41" s="272"/>
    </row>
    <row r="42" spans="2:15">
      <c r="B42" s="181" t="s">
        <v>217</v>
      </c>
      <c r="C42" s="187">
        <v>44624</v>
      </c>
      <c r="D42" s="186">
        <v>576</v>
      </c>
      <c r="E42" s="181" t="s">
        <v>95</v>
      </c>
      <c r="F42" s="213" t="s">
        <v>320</v>
      </c>
      <c r="G42" s="210">
        <v>699756</v>
      </c>
      <c r="H42" s="326"/>
      <c r="I42" s="211">
        <v>1278.9079999999999</v>
      </c>
      <c r="J42" s="326"/>
      <c r="K42" s="349"/>
      <c r="L42" s="272"/>
      <c r="M42" s="272"/>
      <c r="N42" s="272"/>
      <c r="O42" s="272"/>
    </row>
    <row r="43" spans="2:15">
      <c r="B43" s="181" t="s">
        <v>217</v>
      </c>
      <c r="C43" s="187">
        <v>44624</v>
      </c>
      <c r="D43" s="186">
        <v>576</v>
      </c>
      <c r="E43" s="181" t="s">
        <v>95</v>
      </c>
      <c r="F43" s="213" t="s">
        <v>321</v>
      </c>
      <c r="G43" s="210">
        <v>699818</v>
      </c>
      <c r="H43" s="326"/>
      <c r="I43" s="273">
        <v>1453.6000000000004</v>
      </c>
      <c r="J43" s="326"/>
      <c r="K43" s="349"/>
      <c r="L43" s="272"/>
      <c r="M43" s="272"/>
      <c r="N43" s="272"/>
      <c r="O43" s="272"/>
    </row>
    <row r="44" spans="2:15">
      <c r="B44" s="181" t="s">
        <v>217</v>
      </c>
      <c r="C44" s="187">
        <v>44624</v>
      </c>
      <c r="D44" s="186">
        <v>576</v>
      </c>
      <c r="E44" s="181" t="s">
        <v>95</v>
      </c>
      <c r="F44" s="213" t="s">
        <v>322</v>
      </c>
      <c r="G44" s="210">
        <v>699817</v>
      </c>
      <c r="H44" s="326"/>
      <c r="I44" s="273">
        <v>895.14099999999996</v>
      </c>
      <c r="J44" s="326"/>
      <c r="K44" s="349"/>
      <c r="L44" s="272"/>
      <c r="M44" s="272"/>
      <c r="N44" s="272"/>
      <c r="O44" s="272"/>
    </row>
    <row r="45" spans="2:15">
      <c r="B45" s="181" t="s">
        <v>217</v>
      </c>
      <c r="C45" s="187">
        <v>44624</v>
      </c>
      <c r="D45" s="186">
        <v>576</v>
      </c>
      <c r="E45" s="181" t="s">
        <v>95</v>
      </c>
      <c r="F45" s="213" t="s">
        <v>307</v>
      </c>
      <c r="G45" s="210">
        <v>964706</v>
      </c>
      <c r="H45" s="326"/>
      <c r="I45" s="286"/>
      <c r="J45" s="326"/>
      <c r="K45" s="349"/>
      <c r="L45" s="287"/>
      <c r="M45" s="287"/>
      <c r="N45" s="287"/>
      <c r="O45" s="287"/>
    </row>
    <row r="46" spans="2:15">
      <c r="B46" s="181" t="s">
        <v>217</v>
      </c>
      <c r="C46" s="187">
        <v>44624</v>
      </c>
      <c r="D46" s="186">
        <v>576</v>
      </c>
      <c r="E46" s="181" t="s">
        <v>95</v>
      </c>
      <c r="F46" s="213" t="s">
        <v>323</v>
      </c>
      <c r="G46" s="284">
        <v>700057</v>
      </c>
      <c r="H46" s="326"/>
      <c r="I46" s="286">
        <v>1373.7319999999997</v>
      </c>
      <c r="J46" s="326"/>
      <c r="K46" s="349"/>
      <c r="L46" s="287"/>
      <c r="M46" s="287"/>
      <c r="N46" s="287"/>
      <c r="O46" s="287"/>
    </row>
    <row r="47" spans="2:15">
      <c r="B47" s="181" t="s">
        <v>217</v>
      </c>
      <c r="C47" s="187">
        <v>44624</v>
      </c>
      <c r="D47" s="186">
        <v>576</v>
      </c>
      <c r="E47" s="181" t="s">
        <v>95</v>
      </c>
      <c r="F47" s="213" t="s">
        <v>324</v>
      </c>
      <c r="G47" s="210">
        <v>700047</v>
      </c>
      <c r="H47" s="326"/>
      <c r="I47" s="290">
        <v>777.89599999999996</v>
      </c>
      <c r="J47" s="326"/>
      <c r="K47" s="349"/>
      <c r="L47" s="291"/>
      <c r="M47" s="291"/>
      <c r="N47" s="291"/>
      <c r="O47" s="291"/>
    </row>
    <row r="48" spans="2:15">
      <c r="B48" s="181" t="s">
        <v>217</v>
      </c>
      <c r="C48" s="187">
        <v>44624</v>
      </c>
      <c r="D48" s="186">
        <v>576</v>
      </c>
      <c r="E48" s="181" t="s">
        <v>95</v>
      </c>
      <c r="F48" s="213" t="s">
        <v>326</v>
      </c>
      <c r="G48" s="210">
        <v>700133</v>
      </c>
      <c r="H48" s="327"/>
      <c r="I48" s="211">
        <v>1325.3910000000001</v>
      </c>
      <c r="J48" s="327"/>
      <c r="K48" s="350"/>
      <c r="L48" s="210"/>
      <c r="M48" s="210"/>
      <c r="N48" s="210"/>
      <c r="O48" s="210"/>
    </row>
    <row r="49" spans="2:15">
      <c r="B49" s="181" t="s">
        <v>217</v>
      </c>
      <c r="C49" s="187">
        <v>44624</v>
      </c>
      <c r="D49" s="210">
        <v>577</v>
      </c>
      <c r="E49" s="213" t="s">
        <v>10</v>
      </c>
      <c r="F49" s="213" t="s">
        <v>251</v>
      </c>
      <c r="G49" s="210">
        <v>698967</v>
      </c>
      <c r="H49" s="360">
        <v>33000</v>
      </c>
      <c r="I49" s="211">
        <f>530.93+271.965</f>
        <v>802.89499999999998</v>
      </c>
      <c r="J49" s="360">
        <f>H49-(SUM(I49:I64))</f>
        <v>11154.124</v>
      </c>
      <c r="K49" s="361">
        <f>(SUM(I49:I64))/H49</f>
        <v>0.66199624242424238</v>
      </c>
      <c r="L49" s="210"/>
      <c r="M49" s="210"/>
      <c r="N49" s="210"/>
      <c r="O49" s="210"/>
    </row>
    <row r="50" spans="2:15">
      <c r="B50" s="181" t="s">
        <v>217</v>
      </c>
      <c r="C50" s="187">
        <v>44624</v>
      </c>
      <c r="D50" s="210">
        <v>577</v>
      </c>
      <c r="E50" s="213" t="s">
        <v>10</v>
      </c>
      <c r="F50" s="213" t="s">
        <v>252</v>
      </c>
      <c r="G50" s="210">
        <v>967935</v>
      </c>
      <c r="H50" s="326"/>
      <c r="I50" s="211">
        <v>70.05</v>
      </c>
      <c r="J50" s="326"/>
      <c r="K50" s="349"/>
      <c r="L50" s="210"/>
      <c r="M50" s="210"/>
      <c r="N50" s="210"/>
      <c r="O50" s="210"/>
    </row>
    <row r="51" spans="2:15">
      <c r="B51" s="181" t="s">
        <v>217</v>
      </c>
      <c r="C51" s="187">
        <v>44624</v>
      </c>
      <c r="D51" s="210">
        <v>577</v>
      </c>
      <c r="E51" s="213" t="s">
        <v>10</v>
      </c>
      <c r="F51" s="213" t="s">
        <v>253</v>
      </c>
      <c r="G51" s="210">
        <v>968808</v>
      </c>
      <c r="H51" s="326"/>
      <c r="I51" s="211">
        <v>820.851</v>
      </c>
      <c r="J51" s="326"/>
      <c r="K51" s="349"/>
      <c r="L51" s="210"/>
      <c r="M51" s="210"/>
      <c r="N51" s="210"/>
      <c r="O51" s="210"/>
    </row>
    <row r="52" spans="2:15">
      <c r="B52" s="181" t="s">
        <v>217</v>
      </c>
      <c r="C52" s="187">
        <v>44624</v>
      </c>
      <c r="D52" s="210">
        <v>577</v>
      </c>
      <c r="E52" s="213" t="s">
        <v>10</v>
      </c>
      <c r="F52" s="213" t="s">
        <v>254</v>
      </c>
      <c r="G52" s="210">
        <v>967513</v>
      </c>
      <c r="H52" s="326"/>
      <c r="I52" s="211">
        <v>2463.7370000000001</v>
      </c>
      <c r="J52" s="326"/>
      <c r="K52" s="349"/>
      <c r="L52" s="210"/>
      <c r="M52" s="210"/>
      <c r="N52" s="210"/>
      <c r="O52" s="210"/>
    </row>
    <row r="53" spans="2:15">
      <c r="B53" s="181" t="s">
        <v>217</v>
      </c>
      <c r="C53" s="187">
        <v>44624</v>
      </c>
      <c r="D53" s="210">
        <v>577</v>
      </c>
      <c r="E53" s="213" t="s">
        <v>10</v>
      </c>
      <c r="F53" s="213" t="s">
        <v>255</v>
      </c>
      <c r="G53" s="210">
        <v>968789</v>
      </c>
      <c r="H53" s="326"/>
      <c r="I53" s="211">
        <v>1384.8400000000001</v>
      </c>
      <c r="J53" s="326"/>
      <c r="K53" s="349"/>
      <c r="L53" s="210"/>
      <c r="M53" s="210"/>
      <c r="N53" s="210"/>
      <c r="O53" s="210"/>
    </row>
    <row r="54" spans="2:15">
      <c r="B54" s="181" t="s">
        <v>217</v>
      </c>
      <c r="C54" s="187">
        <v>44624</v>
      </c>
      <c r="D54" s="210">
        <v>577</v>
      </c>
      <c r="E54" s="213" t="s">
        <v>10</v>
      </c>
      <c r="F54" s="213" t="s">
        <v>256</v>
      </c>
      <c r="G54" s="210">
        <v>919387</v>
      </c>
      <c r="H54" s="326"/>
      <c r="I54" s="211">
        <v>738.50599999999997</v>
      </c>
      <c r="J54" s="326"/>
      <c r="K54" s="349"/>
      <c r="L54" s="210"/>
      <c r="M54" s="210"/>
      <c r="N54" s="210"/>
      <c r="O54" s="210"/>
    </row>
    <row r="55" spans="2:15">
      <c r="B55" s="181" t="s">
        <v>217</v>
      </c>
      <c r="C55" s="187">
        <v>44624</v>
      </c>
      <c r="D55" s="210">
        <v>577</v>
      </c>
      <c r="E55" s="213" t="s">
        <v>10</v>
      </c>
      <c r="F55" s="213" t="s">
        <v>257</v>
      </c>
      <c r="G55" s="210">
        <v>969203</v>
      </c>
      <c r="H55" s="326"/>
      <c r="I55" s="211">
        <v>2556.857</v>
      </c>
      <c r="J55" s="326"/>
      <c r="K55" s="349"/>
      <c r="L55" s="210"/>
      <c r="M55" s="210"/>
      <c r="N55" s="210"/>
      <c r="O55" s="210"/>
    </row>
    <row r="56" spans="2:15">
      <c r="B56" s="181" t="s">
        <v>217</v>
      </c>
      <c r="C56" s="187">
        <v>44624</v>
      </c>
      <c r="D56" s="210">
        <v>577</v>
      </c>
      <c r="E56" s="213" t="s">
        <v>10</v>
      </c>
      <c r="F56" s="213" t="s">
        <v>258</v>
      </c>
      <c r="G56" s="210">
        <v>969609</v>
      </c>
      <c r="H56" s="326"/>
      <c r="I56" s="211">
        <v>1928.2869999999998</v>
      </c>
      <c r="J56" s="326"/>
      <c r="K56" s="349"/>
      <c r="L56" s="210"/>
      <c r="M56" s="210"/>
      <c r="N56" s="210"/>
      <c r="O56" s="210"/>
    </row>
    <row r="57" spans="2:15">
      <c r="B57" s="181" t="s">
        <v>217</v>
      </c>
      <c r="C57" s="187">
        <v>44624</v>
      </c>
      <c r="D57" s="210">
        <v>577</v>
      </c>
      <c r="E57" s="213" t="s">
        <v>10</v>
      </c>
      <c r="F57" s="213" t="s">
        <v>259</v>
      </c>
      <c r="G57" s="210">
        <v>968831</v>
      </c>
      <c r="H57" s="326"/>
      <c r="I57" s="211">
        <f>887.303+81.811</f>
        <v>969.11400000000003</v>
      </c>
      <c r="J57" s="326"/>
      <c r="K57" s="349"/>
      <c r="L57" s="210"/>
      <c r="M57" s="210"/>
      <c r="N57" s="210"/>
      <c r="O57" s="210"/>
    </row>
    <row r="58" spans="2:15">
      <c r="B58" s="181" t="s">
        <v>217</v>
      </c>
      <c r="C58" s="187">
        <v>44624</v>
      </c>
      <c r="D58" s="210">
        <v>577</v>
      </c>
      <c r="E58" s="213" t="s">
        <v>10</v>
      </c>
      <c r="F58" s="213" t="s">
        <v>260</v>
      </c>
      <c r="G58" s="210">
        <v>966479</v>
      </c>
      <c r="H58" s="326"/>
      <c r="I58" s="211">
        <v>2548.0450000000001</v>
      </c>
      <c r="J58" s="326"/>
      <c r="K58" s="349"/>
      <c r="L58" s="210"/>
      <c r="M58" s="210"/>
      <c r="N58" s="210"/>
      <c r="O58" s="210"/>
    </row>
    <row r="59" spans="2:15">
      <c r="B59" s="181" t="s">
        <v>217</v>
      </c>
      <c r="C59" s="187">
        <v>44624</v>
      </c>
      <c r="D59" s="210">
        <v>577</v>
      </c>
      <c r="E59" s="213" t="s">
        <v>10</v>
      </c>
      <c r="F59" s="213" t="s">
        <v>261</v>
      </c>
      <c r="G59" s="210">
        <v>966548</v>
      </c>
      <c r="H59" s="326"/>
      <c r="I59" s="211">
        <v>3935.2539999999999</v>
      </c>
      <c r="J59" s="326"/>
      <c r="K59" s="349"/>
      <c r="L59" s="210"/>
      <c r="M59" s="210"/>
      <c r="N59" s="210"/>
      <c r="O59" s="210"/>
    </row>
    <row r="60" spans="2:15">
      <c r="B60" s="181" t="s">
        <v>217</v>
      </c>
      <c r="C60" s="187">
        <v>44624</v>
      </c>
      <c r="D60" s="210">
        <v>577</v>
      </c>
      <c r="E60" s="213" t="s">
        <v>10</v>
      </c>
      <c r="F60" s="213" t="s">
        <v>295</v>
      </c>
      <c r="G60" s="210">
        <v>699254</v>
      </c>
      <c r="H60" s="326"/>
      <c r="I60" s="211">
        <v>1213.0300000000002</v>
      </c>
      <c r="J60" s="326"/>
      <c r="K60" s="349"/>
      <c r="L60" s="210"/>
      <c r="M60" s="210"/>
      <c r="N60" s="210"/>
      <c r="O60" s="210"/>
    </row>
    <row r="61" spans="2:15">
      <c r="B61" s="181" t="s">
        <v>217</v>
      </c>
      <c r="C61" s="187">
        <v>44624</v>
      </c>
      <c r="D61" s="210">
        <v>577</v>
      </c>
      <c r="E61" s="213" t="s">
        <v>10</v>
      </c>
      <c r="F61" s="213" t="s">
        <v>296</v>
      </c>
      <c r="G61" s="210">
        <v>698811</v>
      </c>
      <c r="H61" s="326"/>
      <c r="I61" s="211">
        <v>947.97900000000004</v>
      </c>
      <c r="J61" s="326"/>
      <c r="K61" s="349"/>
      <c r="L61" s="271"/>
      <c r="M61" s="271"/>
      <c r="N61" s="271"/>
      <c r="O61" s="271"/>
    </row>
    <row r="62" spans="2:15">
      <c r="B62" s="181" t="s">
        <v>217</v>
      </c>
      <c r="C62" s="187">
        <v>44624</v>
      </c>
      <c r="D62" s="210">
        <v>577</v>
      </c>
      <c r="E62" s="213" t="s">
        <v>10</v>
      </c>
      <c r="F62" s="213" t="s">
        <v>315</v>
      </c>
      <c r="G62" s="210">
        <v>699486</v>
      </c>
      <c r="H62" s="326"/>
      <c r="I62" s="211">
        <v>1267.5920000000001</v>
      </c>
      <c r="J62" s="326"/>
      <c r="K62" s="349"/>
      <c r="L62" s="272"/>
      <c r="M62" s="272"/>
      <c r="N62" s="272"/>
      <c r="O62" s="272"/>
    </row>
    <row r="63" spans="2:15">
      <c r="B63" s="181" t="s">
        <v>217</v>
      </c>
      <c r="C63" s="187">
        <v>44624</v>
      </c>
      <c r="D63" s="210">
        <v>577</v>
      </c>
      <c r="E63" s="213" t="s">
        <v>10</v>
      </c>
      <c r="F63" s="213" t="s">
        <v>253</v>
      </c>
      <c r="G63" s="210">
        <v>969667</v>
      </c>
      <c r="H63" s="326"/>
      <c r="I63" s="288"/>
      <c r="J63" s="326"/>
      <c r="K63" s="349"/>
      <c r="L63" s="289"/>
      <c r="M63" s="289"/>
      <c r="N63" s="289"/>
      <c r="O63" s="289"/>
    </row>
    <row r="64" spans="2:15">
      <c r="B64" s="181" t="s">
        <v>217</v>
      </c>
      <c r="C64" s="187">
        <v>44624</v>
      </c>
      <c r="D64" s="210">
        <v>577</v>
      </c>
      <c r="E64" s="213" t="s">
        <v>10</v>
      </c>
      <c r="F64" s="213" t="s">
        <v>325</v>
      </c>
      <c r="G64" s="210">
        <v>699988</v>
      </c>
      <c r="H64" s="327"/>
      <c r="I64" s="211">
        <v>198.839</v>
      </c>
      <c r="J64" s="327"/>
      <c r="K64" s="350"/>
      <c r="L64" s="210"/>
      <c r="M64" s="210"/>
      <c r="N64" s="210"/>
      <c r="O64" s="210"/>
    </row>
    <row r="65" spans="2:15">
      <c r="B65" s="181" t="s">
        <v>217</v>
      </c>
      <c r="C65" s="256">
        <v>44628</v>
      </c>
      <c r="D65" s="210">
        <v>620</v>
      </c>
      <c r="E65" s="213" t="s">
        <v>10</v>
      </c>
      <c r="F65" s="213" t="s">
        <v>262</v>
      </c>
      <c r="G65" s="210">
        <v>967226</v>
      </c>
      <c r="H65" s="358">
        <v>53000</v>
      </c>
      <c r="I65" s="211">
        <v>2547.5980000000004</v>
      </c>
      <c r="J65" s="358">
        <f>H65-(SUM(I65:I78))</f>
        <v>17715.269</v>
      </c>
      <c r="K65" s="359">
        <f>(SUM(I65:I78))/H65</f>
        <v>0.66574964150943394</v>
      </c>
      <c r="L65" s="210"/>
      <c r="M65" s="210"/>
      <c r="N65" s="210"/>
      <c r="O65" s="210"/>
    </row>
    <row r="66" spans="2:15">
      <c r="B66" s="181" t="s">
        <v>217</v>
      </c>
      <c r="C66" s="256">
        <v>44628</v>
      </c>
      <c r="D66" s="210">
        <v>620</v>
      </c>
      <c r="E66" s="213" t="s">
        <v>10</v>
      </c>
      <c r="F66" s="213" t="s">
        <v>263</v>
      </c>
      <c r="G66" s="210">
        <v>967476</v>
      </c>
      <c r="H66" s="326"/>
      <c r="I66" s="211">
        <v>151.35000000000002</v>
      </c>
      <c r="J66" s="326"/>
      <c r="K66" s="349"/>
      <c r="L66" s="210"/>
      <c r="M66" s="210"/>
      <c r="N66" s="210"/>
      <c r="O66" s="210"/>
    </row>
    <row r="67" spans="2:15">
      <c r="B67" s="181" t="s">
        <v>217</v>
      </c>
      <c r="C67" s="256">
        <v>44628</v>
      </c>
      <c r="D67" s="210">
        <v>620</v>
      </c>
      <c r="E67" s="213" t="s">
        <v>10</v>
      </c>
      <c r="F67" s="213" t="s">
        <v>264</v>
      </c>
      <c r="G67" s="210">
        <v>961805</v>
      </c>
      <c r="H67" s="326"/>
      <c r="I67" s="211">
        <v>3082.0990000000002</v>
      </c>
      <c r="J67" s="326"/>
      <c r="K67" s="349"/>
      <c r="L67" s="210"/>
      <c r="M67" s="210"/>
      <c r="N67" s="210"/>
      <c r="O67" s="210"/>
    </row>
    <row r="68" spans="2:15">
      <c r="B68" s="181" t="s">
        <v>217</v>
      </c>
      <c r="C68" s="256">
        <v>44628</v>
      </c>
      <c r="D68" s="210">
        <v>620</v>
      </c>
      <c r="E68" s="213" t="s">
        <v>10</v>
      </c>
      <c r="F68" s="213" t="s">
        <v>265</v>
      </c>
      <c r="G68" s="210">
        <v>961948</v>
      </c>
      <c r="H68" s="326"/>
      <c r="I68" s="211">
        <v>3088.241</v>
      </c>
      <c r="J68" s="326"/>
      <c r="K68" s="349"/>
      <c r="L68" s="210"/>
      <c r="M68" s="210"/>
      <c r="N68" s="210"/>
      <c r="O68" s="210"/>
    </row>
    <row r="69" spans="2:15">
      <c r="B69" s="181" t="s">
        <v>217</v>
      </c>
      <c r="C69" s="256">
        <v>44628</v>
      </c>
      <c r="D69" s="210">
        <v>620</v>
      </c>
      <c r="E69" s="213" t="s">
        <v>10</v>
      </c>
      <c r="F69" s="213" t="s">
        <v>266</v>
      </c>
      <c r="G69" s="210">
        <v>968122</v>
      </c>
      <c r="H69" s="326"/>
      <c r="I69" s="211">
        <v>1670.8</v>
      </c>
      <c r="J69" s="326"/>
      <c r="K69" s="349"/>
      <c r="L69" s="210"/>
      <c r="M69" s="210"/>
      <c r="N69" s="210"/>
      <c r="O69" s="210"/>
    </row>
    <row r="70" spans="2:15">
      <c r="B70" s="181" t="s">
        <v>217</v>
      </c>
      <c r="C70" s="256">
        <v>44628</v>
      </c>
      <c r="D70" s="210">
        <v>620</v>
      </c>
      <c r="E70" s="213" t="s">
        <v>10</v>
      </c>
      <c r="F70" s="213" t="s">
        <v>267</v>
      </c>
      <c r="G70" s="210">
        <v>697302</v>
      </c>
      <c r="H70" s="326"/>
      <c r="I70" s="211">
        <v>1811.1899999999998</v>
      </c>
      <c r="J70" s="326"/>
      <c r="K70" s="349"/>
      <c r="L70" s="210"/>
      <c r="M70" s="210"/>
      <c r="N70" s="210"/>
      <c r="O70" s="210"/>
    </row>
    <row r="71" spans="2:15">
      <c r="B71" s="181" t="s">
        <v>217</v>
      </c>
      <c r="C71" s="256">
        <v>44628</v>
      </c>
      <c r="D71" s="210">
        <v>620</v>
      </c>
      <c r="E71" s="213" t="s">
        <v>10</v>
      </c>
      <c r="F71" s="213" t="s">
        <v>268</v>
      </c>
      <c r="G71" s="210">
        <v>919376</v>
      </c>
      <c r="H71" s="326"/>
      <c r="I71" s="211">
        <v>2403.1790000000001</v>
      </c>
      <c r="J71" s="326"/>
      <c r="K71" s="349"/>
      <c r="L71" s="210"/>
      <c r="M71" s="210"/>
      <c r="N71" s="210"/>
      <c r="O71" s="210"/>
    </row>
    <row r="72" spans="2:15">
      <c r="B72" s="181" t="s">
        <v>217</v>
      </c>
      <c r="C72" s="256">
        <v>44628</v>
      </c>
      <c r="D72" s="210">
        <v>620</v>
      </c>
      <c r="E72" s="213" t="s">
        <v>10</v>
      </c>
      <c r="F72" s="213" t="s">
        <v>269</v>
      </c>
      <c r="G72" s="210">
        <v>958248</v>
      </c>
      <c r="H72" s="326"/>
      <c r="I72" s="211">
        <v>3149.3049999999998</v>
      </c>
      <c r="J72" s="326"/>
      <c r="K72" s="349"/>
      <c r="L72" s="210"/>
      <c r="M72" s="210"/>
      <c r="N72" s="210"/>
      <c r="O72" s="210"/>
    </row>
    <row r="73" spans="2:15">
      <c r="B73" s="181" t="s">
        <v>217</v>
      </c>
      <c r="C73" s="256">
        <v>44628</v>
      </c>
      <c r="D73" s="210">
        <v>620</v>
      </c>
      <c r="E73" s="213" t="s">
        <v>10</v>
      </c>
      <c r="F73" s="213" t="s">
        <v>270</v>
      </c>
      <c r="G73" s="210">
        <v>966135</v>
      </c>
      <c r="H73" s="326"/>
      <c r="I73" s="211">
        <v>2449.34</v>
      </c>
      <c r="J73" s="326"/>
      <c r="K73" s="349"/>
      <c r="L73" s="210"/>
      <c r="M73" s="210"/>
      <c r="N73" s="210"/>
      <c r="O73" s="210"/>
    </row>
    <row r="74" spans="2:15">
      <c r="B74" s="181" t="s">
        <v>217</v>
      </c>
      <c r="C74" s="256">
        <v>44628</v>
      </c>
      <c r="D74" s="210">
        <v>620</v>
      </c>
      <c r="E74" s="213" t="s">
        <v>10</v>
      </c>
      <c r="F74" s="213" t="s">
        <v>271</v>
      </c>
      <c r="G74" s="210">
        <v>969234</v>
      </c>
      <c r="H74" s="326"/>
      <c r="I74" s="211">
        <v>1297.3900000000001</v>
      </c>
      <c r="J74" s="326"/>
      <c r="K74" s="349"/>
      <c r="L74" s="210"/>
      <c r="M74" s="210"/>
      <c r="N74" s="210"/>
      <c r="O74" s="210"/>
    </row>
    <row r="75" spans="2:15">
      <c r="B75" s="181" t="s">
        <v>217</v>
      </c>
      <c r="C75" s="256">
        <v>44628</v>
      </c>
      <c r="D75" s="210">
        <v>620</v>
      </c>
      <c r="E75" s="213" t="s">
        <v>10</v>
      </c>
      <c r="F75" s="213" t="s">
        <v>272</v>
      </c>
      <c r="G75" s="210">
        <v>698468</v>
      </c>
      <c r="H75" s="326"/>
      <c r="I75" s="211">
        <v>3775.3029999999999</v>
      </c>
      <c r="J75" s="326"/>
      <c r="K75" s="349"/>
      <c r="L75" s="210"/>
      <c r="M75" s="210"/>
      <c r="N75" s="210"/>
      <c r="O75" s="210"/>
    </row>
    <row r="76" spans="2:15">
      <c r="B76" s="181" t="s">
        <v>217</v>
      </c>
      <c r="C76" s="256">
        <v>44628</v>
      </c>
      <c r="D76" s="210">
        <v>620</v>
      </c>
      <c r="E76" s="213" t="s">
        <v>10</v>
      </c>
      <c r="F76" s="213" t="s">
        <v>211</v>
      </c>
      <c r="G76" s="210">
        <v>698513</v>
      </c>
      <c r="H76" s="326"/>
      <c r="I76" s="211">
        <v>3740.2280000000001</v>
      </c>
      <c r="J76" s="326"/>
      <c r="K76" s="349"/>
      <c r="L76" s="210"/>
      <c r="M76" s="210"/>
      <c r="N76" s="210"/>
      <c r="O76" s="210"/>
    </row>
    <row r="77" spans="2:15">
      <c r="B77" s="181" t="s">
        <v>217</v>
      </c>
      <c r="C77" s="256">
        <v>44628</v>
      </c>
      <c r="D77" s="210">
        <v>620</v>
      </c>
      <c r="E77" s="213" t="s">
        <v>10</v>
      </c>
      <c r="F77" s="213" t="s">
        <v>273</v>
      </c>
      <c r="G77" s="210">
        <v>968960</v>
      </c>
      <c r="H77" s="326"/>
      <c r="I77" s="211">
        <v>2590.2700000000004</v>
      </c>
      <c r="J77" s="326"/>
      <c r="K77" s="349"/>
      <c r="L77" s="210"/>
      <c r="M77" s="210"/>
      <c r="N77" s="210"/>
      <c r="O77" s="210"/>
    </row>
    <row r="78" spans="2:15">
      <c r="B78" s="181" t="s">
        <v>217</v>
      </c>
      <c r="C78" s="256">
        <v>44628</v>
      </c>
      <c r="D78" s="210">
        <v>620</v>
      </c>
      <c r="E78" s="213" t="s">
        <v>10</v>
      </c>
      <c r="F78" s="213" t="s">
        <v>274</v>
      </c>
      <c r="G78" s="210">
        <v>968156</v>
      </c>
      <c r="H78" s="327"/>
      <c r="I78" s="211">
        <v>3528.4380000000001</v>
      </c>
      <c r="J78" s="327"/>
      <c r="K78" s="350"/>
      <c r="L78" s="210"/>
      <c r="M78" s="210"/>
      <c r="N78" s="210"/>
      <c r="O78" s="210"/>
    </row>
    <row r="79" spans="2:15">
      <c r="B79" s="213" t="s">
        <v>217</v>
      </c>
      <c r="C79" s="256">
        <v>44676</v>
      </c>
      <c r="D79" s="210">
        <v>817</v>
      </c>
      <c r="E79" s="213" t="s">
        <v>12</v>
      </c>
      <c r="F79" s="213" t="s">
        <v>275</v>
      </c>
      <c r="G79" s="210">
        <v>697578</v>
      </c>
      <c r="H79" s="367">
        <v>9000</v>
      </c>
      <c r="I79" s="211"/>
      <c r="J79" s="367">
        <f>H79-(SUM(I79:I95))</f>
        <v>99.165000000000873</v>
      </c>
      <c r="K79" s="368">
        <f>(SUM(I79:I95))/H79</f>
        <v>0.98898166666666654</v>
      </c>
      <c r="L79" s="210"/>
      <c r="M79" s="210"/>
      <c r="N79" s="210"/>
      <c r="O79" s="210"/>
    </row>
    <row r="80" spans="2:15">
      <c r="B80" s="213" t="s">
        <v>217</v>
      </c>
      <c r="C80" s="256">
        <v>44676</v>
      </c>
      <c r="D80" s="210">
        <v>817</v>
      </c>
      <c r="E80" s="213" t="s">
        <v>12</v>
      </c>
      <c r="F80" s="213" t="s">
        <v>162</v>
      </c>
      <c r="G80" s="210">
        <v>901588</v>
      </c>
      <c r="H80" s="326"/>
      <c r="I80" s="211">
        <v>599.67200000000003</v>
      </c>
      <c r="J80" s="326"/>
      <c r="K80" s="349"/>
      <c r="L80" s="210"/>
      <c r="M80" s="210"/>
      <c r="N80" s="210"/>
      <c r="O80" s="210"/>
    </row>
    <row r="81" spans="2:15">
      <c r="B81" s="213" t="s">
        <v>217</v>
      </c>
      <c r="C81" s="256">
        <v>44676</v>
      </c>
      <c r="D81" s="210">
        <v>817</v>
      </c>
      <c r="E81" s="213" t="s">
        <v>12</v>
      </c>
      <c r="F81" s="213" t="s">
        <v>276</v>
      </c>
      <c r="G81" s="210">
        <v>920731</v>
      </c>
      <c r="H81" s="326"/>
      <c r="I81" s="211"/>
      <c r="J81" s="326"/>
      <c r="K81" s="349"/>
      <c r="L81" s="210"/>
      <c r="M81" s="210"/>
      <c r="N81" s="210"/>
      <c r="O81" s="210"/>
    </row>
    <row r="82" spans="2:15">
      <c r="B82" s="213" t="s">
        <v>217</v>
      </c>
      <c r="C82" s="256">
        <v>44676</v>
      </c>
      <c r="D82" s="210">
        <v>817</v>
      </c>
      <c r="E82" s="213" t="s">
        <v>12</v>
      </c>
      <c r="F82" s="213" t="s">
        <v>184</v>
      </c>
      <c r="G82" s="210">
        <v>966397</v>
      </c>
      <c r="H82" s="326"/>
      <c r="I82" s="211">
        <v>586.93100000000004</v>
      </c>
      <c r="J82" s="326"/>
      <c r="K82" s="349"/>
      <c r="L82" s="210"/>
      <c r="M82" s="210"/>
      <c r="N82" s="210"/>
      <c r="O82" s="210"/>
    </row>
    <row r="83" spans="2:15">
      <c r="B83" s="213" t="s">
        <v>217</v>
      </c>
      <c r="C83" s="256">
        <v>44676</v>
      </c>
      <c r="D83" s="210">
        <v>817</v>
      </c>
      <c r="E83" s="213" t="s">
        <v>12</v>
      </c>
      <c r="F83" s="213" t="s">
        <v>146</v>
      </c>
      <c r="G83" s="210">
        <v>964933</v>
      </c>
      <c r="H83" s="326"/>
      <c r="I83" s="211">
        <v>297.81200000000001</v>
      </c>
      <c r="J83" s="326"/>
      <c r="K83" s="349"/>
      <c r="L83" s="210"/>
      <c r="M83" s="210"/>
      <c r="N83" s="210"/>
      <c r="O83" s="210"/>
    </row>
    <row r="84" spans="2:15">
      <c r="B84" s="213" t="s">
        <v>217</v>
      </c>
      <c r="C84" s="256">
        <v>44676</v>
      </c>
      <c r="D84" s="210">
        <v>817</v>
      </c>
      <c r="E84" s="213" t="s">
        <v>12</v>
      </c>
      <c r="F84" s="213" t="s">
        <v>168</v>
      </c>
      <c r="G84" s="210">
        <v>956427</v>
      </c>
      <c r="H84" s="326"/>
      <c r="I84" s="211">
        <v>298.774</v>
      </c>
      <c r="J84" s="326"/>
      <c r="K84" s="349"/>
      <c r="L84" s="210"/>
      <c r="M84" s="210"/>
      <c r="N84" s="210"/>
      <c r="O84" s="210"/>
    </row>
    <row r="85" spans="2:15">
      <c r="B85" s="213" t="s">
        <v>217</v>
      </c>
      <c r="C85" s="256">
        <v>44676</v>
      </c>
      <c r="D85" s="210">
        <v>817</v>
      </c>
      <c r="E85" s="213" t="s">
        <v>12</v>
      </c>
      <c r="F85" s="213" t="s">
        <v>185</v>
      </c>
      <c r="G85" s="210">
        <v>960563</v>
      </c>
      <c r="H85" s="326"/>
      <c r="I85" s="211">
        <v>1195.46</v>
      </c>
      <c r="J85" s="326"/>
      <c r="K85" s="349"/>
      <c r="L85" s="210"/>
      <c r="M85" s="210"/>
      <c r="N85" s="210"/>
      <c r="O85" s="210"/>
    </row>
    <row r="86" spans="2:15">
      <c r="B86" s="213" t="s">
        <v>217</v>
      </c>
      <c r="C86" s="256">
        <v>44676</v>
      </c>
      <c r="D86" s="210">
        <v>817</v>
      </c>
      <c r="E86" s="213" t="s">
        <v>12</v>
      </c>
      <c r="F86" s="213" t="s">
        <v>163</v>
      </c>
      <c r="G86" s="210">
        <v>960673</v>
      </c>
      <c r="H86" s="326"/>
      <c r="I86" s="211">
        <v>116.47199999999999</v>
      </c>
      <c r="J86" s="326"/>
      <c r="K86" s="349"/>
      <c r="L86" s="210"/>
      <c r="M86" s="210"/>
      <c r="N86" s="210"/>
      <c r="O86" s="210"/>
    </row>
    <row r="87" spans="2:15">
      <c r="B87" s="213" t="s">
        <v>217</v>
      </c>
      <c r="C87" s="256">
        <v>44676</v>
      </c>
      <c r="D87" s="210">
        <v>817</v>
      </c>
      <c r="E87" s="213" t="s">
        <v>12</v>
      </c>
      <c r="F87" s="213" t="s">
        <v>188</v>
      </c>
      <c r="G87" s="210">
        <v>968871</v>
      </c>
      <c r="H87" s="326"/>
      <c r="I87" s="211"/>
      <c r="J87" s="326"/>
      <c r="K87" s="349"/>
      <c r="L87" s="210"/>
      <c r="M87" s="210"/>
      <c r="N87" s="210"/>
      <c r="O87" s="210"/>
    </row>
    <row r="88" spans="2:15">
      <c r="B88" s="213" t="s">
        <v>217</v>
      </c>
      <c r="C88" s="256">
        <v>44676</v>
      </c>
      <c r="D88" s="210">
        <v>817</v>
      </c>
      <c r="E88" s="213" t="s">
        <v>12</v>
      </c>
      <c r="F88" s="213" t="s">
        <v>164</v>
      </c>
      <c r="G88" s="210">
        <v>923266</v>
      </c>
      <c r="H88" s="326"/>
      <c r="I88" s="211">
        <v>978.20899999999995</v>
      </c>
      <c r="J88" s="326"/>
      <c r="K88" s="349"/>
      <c r="L88" s="210"/>
      <c r="M88" s="210"/>
      <c r="N88" s="210"/>
      <c r="O88" s="210"/>
    </row>
    <row r="89" spans="2:15">
      <c r="B89" s="213" t="s">
        <v>217</v>
      </c>
      <c r="C89" s="256">
        <v>44676</v>
      </c>
      <c r="D89" s="210">
        <v>817</v>
      </c>
      <c r="E89" s="213" t="s">
        <v>12</v>
      </c>
      <c r="F89" s="213" t="s">
        <v>166</v>
      </c>
      <c r="G89" s="210">
        <v>966707</v>
      </c>
      <c r="H89" s="326"/>
      <c r="I89" s="211">
        <v>1094.7170000000001</v>
      </c>
      <c r="J89" s="326"/>
      <c r="K89" s="349"/>
      <c r="L89" s="210"/>
      <c r="M89" s="210"/>
      <c r="N89" s="210"/>
      <c r="O89" s="210"/>
    </row>
    <row r="90" spans="2:15">
      <c r="B90" s="213" t="s">
        <v>217</v>
      </c>
      <c r="C90" s="256">
        <v>44676</v>
      </c>
      <c r="D90" s="210">
        <v>817</v>
      </c>
      <c r="E90" s="213" t="s">
        <v>12</v>
      </c>
      <c r="F90" s="213" t="s">
        <v>165</v>
      </c>
      <c r="G90" s="210">
        <v>954989</v>
      </c>
      <c r="H90" s="326"/>
      <c r="I90" s="211">
        <v>1008.726</v>
      </c>
      <c r="J90" s="326"/>
      <c r="K90" s="349"/>
      <c r="L90" s="210"/>
      <c r="M90" s="210"/>
      <c r="N90" s="210"/>
      <c r="O90" s="210"/>
    </row>
    <row r="91" spans="2:15">
      <c r="B91" s="213" t="s">
        <v>217</v>
      </c>
      <c r="C91" s="256">
        <v>44676</v>
      </c>
      <c r="D91" s="210">
        <v>817</v>
      </c>
      <c r="E91" s="213" t="s">
        <v>12</v>
      </c>
      <c r="F91" s="213" t="s">
        <v>145</v>
      </c>
      <c r="G91" s="210">
        <v>698592</v>
      </c>
      <c r="H91" s="326"/>
      <c r="I91" s="211">
        <v>1024.4939999999999</v>
      </c>
      <c r="J91" s="326"/>
      <c r="K91" s="349"/>
      <c r="L91" s="210"/>
      <c r="M91" s="210"/>
      <c r="N91" s="210"/>
      <c r="O91" s="210"/>
    </row>
    <row r="92" spans="2:15">
      <c r="B92" s="213" t="s">
        <v>217</v>
      </c>
      <c r="C92" s="256">
        <v>44676</v>
      </c>
      <c r="D92" s="210">
        <v>817</v>
      </c>
      <c r="E92" s="213" t="s">
        <v>12</v>
      </c>
      <c r="F92" s="213" t="s">
        <v>186</v>
      </c>
      <c r="G92" s="210">
        <v>958708</v>
      </c>
      <c r="H92" s="326"/>
      <c r="I92" s="211">
        <v>6.5570000000000004</v>
      </c>
      <c r="J92" s="326"/>
      <c r="K92" s="349"/>
      <c r="L92" s="210"/>
      <c r="M92" s="210"/>
      <c r="N92" s="210"/>
      <c r="O92" s="210"/>
    </row>
    <row r="93" spans="2:15">
      <c r="B93" s="213" t="s">
        <v>217</v>
      </c>
      <c r="C93" s="256">
        <v>44676</v>
      </c>
      <c r="D93" s="210">
        <v>817</v>
      </c>
      <c r="E93" s="213" t="s">
        <v>12</v>
      </c>
      <c r="F93" s="213" t="s">
        <v>183</v>
      </c>
      <c r="G93" s="210">
        <v>966095</v>
      </c>
      <c r="H93" s="326"/>
      <c r="I93" s="211">
        <v>482.88499999999999</v>
      </c>
      <c r="J93" s="326"/>
      <c r="K93" s="349"/>
      <c r="L93" s="210"/>
      <c r="M93" s="210"/>
      <c r="N93" s="210"/>
      <c r="O93" s="210"/>
    </row>
    <row r="94" spans="2:15">
      <c r="B94" s="213" t="s">
        <v>217</v>
      </c>
      <c r="C94" s="256">
        <v>44676</v>
      </c>
      <c r="D94" s="210">
        <v>817</v>
      </c>
      <c r="E94" s="213" t="s">
        <v>12</v>
      </c>
      <c r="F94" s="213" t="s">
        <v>167</v>
      </c>
      <c r="G94" s="210">
        <v>953023</v>
      </c>
      <c r="H94" s="326"/>
      <c r="I94" s="211">
        <v>339.40100000000001</v>
      </c>
      <c r="J94" s="326"/>
      <c r="K94" s="349"/>
      <c r="L94" s="210"/>
      <c r="M94" s="210"/>
      <c r="N94" s="210"/>
      <c r="O94" s="210"/>
    </row>
    <row r="95" spans="2:15">
      <c r="B95" s="213" t="s">
        <v>217</v>
      </c>
      <c r="C95" s="256">
        <v>44676</v>
      </c>
      <c r="D95" s="210">
        <v>817</v>
      </c>
      <c r="E95" s="213" t="s">
        <v>12</v>
      </c>
      <c r="F95" s="213" t="s">
        <v>169</v>
      </c>
      <c r="G95" s="210">
        <v>950875</v>
      </c>
      <c r="H95" s="327"/>
      <c r="I95" s="211">
        <v>870.72500000000002</v>
      </c>
      <c r="J95" s="327"/>
      <c r="K95" s="350"/>
      <c r="L95" s="210"/>
      <c r="M95" s="210"/>
      <c r="N95" s="210"/>
      <c r="O95" s="210"/>
    </row>
    <row r="96" spans="2:15">
      <c r="B96" s="213" t="s">
        <v>217</v>
      </c>
      <c r="C96" s="256">
        <v>44676</v>
      </c>
      <c r="D96" s="210">
        <v>819</v>
      </c>
      <c r="E96" s="181" t="s">
        <v>95</v>
      </c>
      <c r="F96" s="213" t="s">
        <v>277</v>
      </c>
      <c r="G96" s="210">
        <v>699078</v>
      </c>
      <c r="H96" s="367">
        <v>19477.96</v>
      </c>
      <c r="I96" s="211">
        <v>1792.1690000000001</v>
      </c>
      <c r="J96" s="367">
        <f>H96-(SUM(I96:I105))</f>
        <v>38</v>
      </c>
      <c r="K96" s="368">
        <f>(SUM(I96:I105))/H96</f>
        <v>0.99804907700806444</v>
      </c>
      <c r="L96" s="210"/>
      <c r="M96" s="210"/>
      <c r="N96" s="210"/>
      <c r="O96" s="210"/>
    </row>
    <row r="97" spans="2:15">
      <c r="B97" s="213" t="s">
        <v>217</v>
      </c>
      <c r="C97" s="256">
        <v>44676</v>
      </c>
      <c r="D97" s="210">
        <v>819</v>
      </c>
      <c r="E97" s="181" t="s">
        <v>95</v>
      </c>
      <c r="F97" s="213" t="s">
        <v>278</v>
      </c>
      <c r="G97" s="210">
        <v>967544</v>
      </c>
      <c r="H97" s="326"/>
      <c r="I97" s="211">
        <v>3018.203</v>
      </c>
      <c r="J97" s="326"/>
      <c r="K97" s="349"/>
      <c r="L97" s="210"/>
      <c r="M97" s="210"/>
      <c r="N97" s="210"/>
      <c r="O97" s="210"/>
    </row>
    <row r="98" spans="2:15">
      <c r="B98" s="213" t="s">
        <v>217</v>
      </c>
      <c r="C98" s="256">
        <v>44676</v>
      </c>
      <c r="D98" s="210">
        <v>819</v>
      </c>
      <c r="E98" s="181" t="s">
        <v>95</v>
      </c>
      <c r="F98" s="213" t="s">
        <v>279</v>
      </c>
      <c r="G98" s="210">
        <v>968274</v>
      </c>
      <c r="H98" s="326"/>
      <c r="I98" s="211">
        <v>2844.9029999999998</v>
      </c>
      <c r="J98" s="326"/>
      <c r="K98" s="349"/>
      <c r="L98" s="210"/>
      <c r="M98" s="210"/>
      <c r="N98" s="210"/>
      <c r="O98" s="210"/>
    </row>
    <row r="99" spans="2:15">
      <c r="B99" s="213" t="s">
        <v>217</v>
      </c>
      <c r="C99" s="256">
        <v>44676</v>
      </c>
      <c r="D99" s="210">
        <v>819</v>
      </c>
      <c r="E99" s="181" t="s">
        <v>95</v>
      </c>
      <c r="F99" s="213" t="s">
        <v>280</v>
      </c>
      <c r="G99" s="210">
        <v>968447</v>
      </c>
      <c r="H99" s="326"/>
      <c r="I99" s="211">
        <v>2688.2890000000002</v>
      </c>
      <c r="J99" s="326"/>
      <c r="K99" s="349"/>
      <c r="L99" s="210"/>
      <c r="M99" s="210"/>
      <c r="N99" s="210"/>
      <c r="O99" s="210"/>
    </row>
    <row r="100" spans="2:15">
      <c r="B100" s="213" t="s">
        <v>217</v>
      </c>
      <c r="C100" s="256">
        <v>44676</v>
      </c>
      <c r="D100" s="210">
        <v>819</v>
      </c>
      <c r="E100" s="181" t="s">
        <v>95</v>
      </c>
      <c r="F100" s="213" t="s">
        <v>281</v>
      </c>
      <c r="G100" s="210">
        <v>968466</v>
      </c>
      <c r="H100" s="326"/>
      <c r="I100" s="211">
        <v>2460.355</v>
      </c>
      <c r="J100" s="326"/>
      <c r="K100" s="349"/>
      <c r="L100" s="210"/>
      <c r="M100" s="210"/>
      <c r="N100" s="210"/>
      <c r="O100" s="210"/>
    </row>
    <row r="101" spans="2:15">
      <c r="B101" s="213" t="s">
        <v>217</v>
      </c>
      <c r="C101" s="256">
        <v>44676</v>
      </c>
      <c r="D101" s="210">
        <v>819</v>
      </c>
      <c r="E101" s="181" t="s">
        <v>95</v>
      </c>
      <c r="F101" s="213" t="s">
        <v>282</v>
      </c>
      <c r="G101" s="210">
        <v>969068</v>
      </c>
      <c r="H101" s="326"/>
      <c r="I101" s="211">
        <v>2217.8739999999998</v>
      </c>
      <c r="J101" s="326"/>
      <c r="K101" s="349"/>
      <c r="L101" s="210"/>
      <c r="M101" s="210"/>
      <c r="N101" s="210"/>
      <c r="O101" s="210"/>
    </row>
    <row r="102" spans="2:15">
      <c r="B102" s="213" t="s">
        <v>217</v>
      </c>
      <c r="C102" s="256">
        <v>44676</v>
      </c>
      <c r="D102" s="210">
        <v>819</v>
      </c>
      <c r="E102" s="181" t="s">
        <v>95</v>
      </c>
      <c r="F102" s="213" t="s">
        <v>283</v>
      </c>
      <c r="G102" s="210">
        <v>698940</v>
      </c>
      <c r="H102" s="326"/>
      <c r="I102" s="211">
        <v>1957.7280000000001</v>
      </c>
      <c r="J102" s="326"/>
      <c r="K102" s="349"/>
      <c r="L102" s="265"/>
      <c r="M102" s="265"/>
      <c r="N102" s="265"/>
      <c r="O102" s="265"/>
    </row>
    <row r="103" spans="2:15">
      <c r="B103" s="213" t="s">
        <v>217</v>
      </c>
      <c r="C103" s="256">
        <v>44676</v>
      </c>
      <c r="D103" s="210">
        <v>819</v>
      </c>
      <c r="E103" s="181" t="s">
        <v>95</v>
      </c>
      <c r="F103" s="213" t="s">
        <v>294</v>
      </c>
      <c r="G103" s="210">
        <v>699329</v>
      </c>
      <c r="H103" s="326"/>
      <c r="I103" s="211">
        <v>1854.7090000000001</v>
      </c>
      <c r="J103" s="326"/>
      <c r="K103" s="349"/>
      <c r="L103" s="271"/>
      <c r="M103" s="271"/>
      <c r="N103" s="271"/>
      <c r="O103" s="271"/>
    </row>
    <row r="104" spans="2:15">
      <c r="B104" s="213" t="s">
        <v>217</v>
      </c>
      <c r="C104" s="256">
        <v>44676</v>
      </c>
      <c r="D104" s="210">
        <v>819</v>
      </c>
      <c r="E104" s="181" t="s">
        <v>95</v>
      </c>
      <c r="F104" s="213" t="s">
        <v>289</v>
      </c>
      <c r="G104" s="210">
        <v>967665</v>
      </c>
      <c r="H104" s="326"/>
      <c r="I104" s="273">
        <v>290.56</v>
      </c>
      <c r="J104" s="326"/>
      <c r="K104" s="349"/>
      <c r="L104" s="272"/>
      <c r="M104" s="272"/>
      <c r="N104" s="272"/>
      <c r="O104" s="272"/>
    </row>
    <row r="105" spans="2:15">
      <c r="B105" s="213" t="s">
        <v>217</v>
      </c>
      <c r="C105" s="256">
        <v>44676</v>
      </c>
      <c r="D105" s="210">
        <v>819</v>
      </c>
      <c r="E105" s="181" t="s">
        <v>95</v>
      </c>
      <c r="F105" s="213" t="s">
        <v>318</v>
      </c>
      <c r="G105" s="210">
        <v>699687</v>
      </c>
      <c r="H105" s="327"/>
      <c r="I105" s="211">
        <v>315.17</v>
      </c>
      <c r="J105" s="327"/>
      <c r="K105" s="350"/>
      <c r="L105" s="210"/>
      <c r="M105" s="210"/>
      <c r="N105" s="210"/>
      <c r="O105" s="210"/>
    </row>
    <row r="106" spans="2:15">
      <c r="B106" s="213" t="s">
        <v>284</v>
      </c>
      <c r="C106" s="256">
        <v>44680</v>
      </c>
      <c r="D106" s="210">
        <v>842</v>
      </c>
      <c r="E106" s="213" t="s">
        <v>285</v>
      </c>
      <c r="F106" s="213" t="s">
        <v>286</v>
      </c>
      <c r="G106" s="210">
        <v>698639</v>
      </c>
      <c r="H106" s="210">
        <v>253.83</v>
      </c>
      <c r="I106" s="211">
        <v>253.83</v>
      </c>
      <c r="J106" s="210">
        <f>H106-I106</f>
        <v>0</v>
      </c>
      <c r="K106" s="257">
        <f>I106/H106</f>
        <v>1</v>
      </c>
      <c r="L106" s="210"/>
      <c r="M106" s="210"/>
      <c r="N106" s="210"/>
      <c r="O106" s="210"/>
    </row>
    <row r="107" spans="2:15">
      <c r="B107" s="213" t="s">
        <v>217</v>
      </c>
      <c r="C107" s="256">
        <v>44680</v>
      </c>
      <c r="D107" s="210">
        <v>869</v>
      </c>
      <c r="E107" s="213" t="s">
        <v>12</v>
      </c>
      <c r="F107" s="213" t="s">
        <v>287</v>
      </c>
      <c r="G107" s="210">
        <v>698764</v>
      </c>
      <c r="H107" s="355">
        <v>500</v>
      </c>
      <c r="I107" s="211"/>
      <c r="J107" s="380">
        <f>H107-(I107+I108+I109+I110+I111+I112)</f>
        <v>5.2100000000000364</v>
      </c>
      <c r="K107" s="356">
        <f>(I107+I108+I109+I110+I111+I112)/H107</f>
        <v>0.9895799999999999</v>
      </c>
      <c r="L107" s="210"/>
      <c r="M107" s="210"/>
      <c r="N107" s="210"/>
      <c r="O107" s="210"/>
    </row>
    <row r="108" spans="2:15">
      <c r="B108" s="213" t="s">
        <v>217</v>
      </c>
      <c r="C108" s="256">
        <v>44680</v>
      </c>
      <c r="D108" s="210">
        <v>869</v>
      </c>
      <c r="E108" s="213" t="s">
        <v>12</v>
      </c>
      <c r="F108" s="213" t="s">
        <v>148</v>
      </c>
      <c r="G108" s="210">
        <v>965267</v>
      </c>
      <c r="H108" s="326"/>
      <c r="I108" s="211">
        <v>100.81</v>
      </c>
      <c r="J108" s="381"/>
      <c r="K108" s="349"/>
      <c r="L108" s="210"/>
      <c r="M108" s="210"/>
      <c r="N108" s="210"/>
      <c r="O108" s="210"/>
    </row>
    <row r="109" spans="2:15">
      <c r="B109" s="213" t="s">
        <v>217</v>
      </c>
      <c r="C109" s="256">
        <v>44680</v>
      </c>
      <c r="D109" s="210">
        <v>869</v>
      </c>
      <c r="E109" s="213" t="s">
        <v>12</v>
      </c>
      <c r="F109" s="213" t="s">
        <v>150</v>
      </c>
      <c r="G109" s="210">
        <v>969425</v>
      </c>
      <c r="H109" s="326"/>
      <c r="I109" s="211">
        <v>97.71</v>
      </c>
      <c r="J109" s="381"/>
      <c r="K109" s="349"/>
      <c r="L109" s="210"/>
      <c r="M109" s="210"/>
      <c r="N109" s="210"/>
      <c r="O109" s="210"/>
    </row>
    <row r="110" spans="2:15">
      <c r="B110" s="213" t="s">
        <v>217</v>
      </c>
      <c r="C110" s="256">
        <v>44680</v>
      </c>
      <c r="D110" s="210">
        <v>869</v>
      </c>
      <c r="E110" s="213" t="s">
        <v>12</v>
      </c>
      <c r="F110" s="213" t="s">
        <v>152</v>
      </c>
      <c r="G110" s="210">
        <v>968930</v>
      </c>
      <c r="H110" s="326"/>
      <c r="I110" s="211">
        <v>89.46</v>
      </c>
      <c r="J110" s="381"/>
      <c r="K110" s="349"/>
      <c r="L110" s="210"/>
      <c r="M110" s="210"/>
      <c r="N110" s="210"/>
      <c r="O110" s="210"/>
    </row>
    <row r="111" spans="2:15">
      <c r="B111" s="213" t="s">
        <v>217</v>
      </c>
      <c r="C111" s="256">
        <v>44680</v>
      </c>
      <c r="D111" s="210">
        <v>869</v>
      </c>
      <c r="E111" s="213" t="s">
        <v>12</v>
      </c>
      <c r="F111" s="213" t="s">
        <v>153</v>
      </c>
      <c r="G111" s="210">
        <v>968704</v>
      </c>
      <c r="H111" s="326"/>
      <c r="I111" s="211">
        <v>97.21</v>
      </c>
      <c r="J111" s="381"/>
      <c r="K111" s="349"/>
      <c r="L111" s="210"/>
      <c r="M111" s="210"/>
      <c r="N111" s="210"/>
      <c r="O111" s="210"/>
    </row>
    <row r="112" spans="2:15">
      <c r="B112" s="213" t="s">
        <v>217</v>
      </c>
      <c r="C112" s="256">
        <v>44680</v>
      </c>
      <c r="D112" s="210">
        <v>869</v>
      </c>
      <c r="E112" s="213" t="s">
        <v>12</v>
      </c>
      <c r="F112" s="213" t="s">
        <v>154</v>
      </c>
      <c r="G112" s="210">
        <v>957378</v>
      </c>
      <c r="H112" s="327"/>
      <c r="I112" s="211">
        <v>109.6</v>
      </c>
      <c r="J112" s="382"/>
      <c r="K112" s="350"/>
      <c r="L112" s="210"/>
      <c r="M112" s="210"/>
      <c r="N112" s="210"/>
      <c r="O112" s="210"/>
    </row>
    <row r="113" spans="2:15">
      <c r="B113" s="213" t="s">
        <v>284</v>
      </c>
      <c r="C113" s="256">
        <v>44683</v>
      </c>
      <c r="D113" s="210">
        <v>876</v>
      </c>
      <c r="E113" s="213" t="s">
        <v>288</v>
      </c>
      <c r="F113" s="213" t="s">
        <v>289</v>
      </c>
      <c r="G113" s="210">
        <v>967665</v>
      </c>
      <c r="H113" s="210">
        <v>1000</v>
      </c>
      <c r="I113" s="211">
        <v>970.90500000000009</v>
      </c>
      <c r="J113" s="210">
        <f>H113-I113</f>
        <v>29.094999999999914</v>
      </c>
      <c r="K113" s="257">
        <f>I113/H113</f>
        <v>0.97090500000000013</v>
      </c>
      <c r="L113" s="210"/>
      <c r="M113" s="210"/>
      <c r="N113" s="210"/>
      <c r="O113" s="210"/>
    </row>
    <row r="114" spans="2:15">
      <c r="B114" s="213" t="s">
        <v>284</v>
      </c>
      <c r="C114" s="256">
        <v>44683</v>
      </c>
      <c r="D114" s="210">
        <v>877</v>
      </c>
      <c r="E114" s="213" t="s">
        <v>288</v>
      </c>
      <c r="F114" s="213" t="s">
        <v>290</v>
      </c>
      <c r="G114" s="210">
        <v>699168</v>
      </c>
      <c r="H114" s="210">
        <v>1000</v>
      </c>
      <c r="I114" s="211">
        <v>793.82799999999997</v>
      </c>
      <c r="J114" s="210">
        <f>H114-I114</f>
        <v>206.17200000000003</v>
      </c>
      <c r="K114" s="257">
        <f>I114/H114</f>
        <v>0.79382799999999998</v>
      </c>
      <c r="L114" s="210"/>
      <c r="M114" s="210"/>
      <c r="N114" s="210"/>
      <c r="O114" s="210"/>
    </row>
    <row r="115" spans="2:15">
      <c r="B115" s="213" t="s">
        <v>217</v>
      </c>
      <c r="C115" s="256">
        <v>44683</v>
      </c>
      <c r="D115" s="210">
        <v>878</v>
      </c>
      <c r="E115" s="181" t="s">
        <v>95</v>
      </c>
      <c r="F115" s="213" t="s">
        <v>277</v>
      </c>
      <c r="G115" s="210">
        <v>699078</v>
      </c>
      <c r="H115" s="367">
        <v>10000</v>
      </c>
      <c r="I115" s="211">
        <v>991.31500000000005</v>
      </c>
      <c r="J115" s="367">
        <f>H115-(SUM(I115:I121))</f>
        <v>4109.9930000000004</v>
      </c>
      <c r="K115" s="368">
        <f>(SUM(I115:I121))/H115</f>
        <v>0.58900069999999993</v>
      </c>
      <c r="L115" s="210"/>
      <c r="M115" s="210"/>
      <c r="N115" s="210"/>
      <c r="O115" s="210"/>
    </row>
    <row r="116" spans="2:15">
      <c r="B116" s="213" t="s">
        <v>217</v>
      </c>
      <c r="C116" s="256">
        <v>44683</v>
      </c>
      <c r="D116" s="210">
        <v>878</v>
      </c>
      <c r="E116" s="181" t="s">
        <v>95</v>
      </c>
      <c r="F116" s="213" t="s">
        <v>278</v>
      </c>
      <c r="G116" s="210">
        <v>967544</v>
      </c>
      <c r="H116" s="326"/>
      <c r="I116" s="211">
        <v>1554.4929999999999</v>
      </c>
      <c r="J116" s="326"/>
      <c r="K116" s="349"/>
      <c r="L116" s="210"/>
      <c r="M116" s="210"/>
      <c r="N116" s="210"/>
      <c r="O116" s="210"/>
    </row>
    <row r="117" spans="2:15">
      <c r="B117" s="213" t="s">
        <v>217</v>
      </c>
      <c r="C117" s="256">
        <v>44683</v>
      </c>
      <c r="D117" s="210">
        <v>878</v>
      </c>
      <c r="E117" s="181" t="s">
        <v>95</v>
      </c>
      <c r="F117" s="213" t="s">
        <v>279</v>
      </c>
      <c r="G117" s="210">
        <v>968274</v>
      </c>
      <c r="H117" s="326"/>
      <c r="I117" s="211">
        <v>1174.954</v>
      </c>
      <c r="J117" s="326"/>
      <c r="K117" s="349"/>
      <c r="L117" s="210"/>
      <c r="M117" s="210"/>
      <c r="N117" s="210"/>
      <c r="O117" s="210"/>
    </row>
    <row r="118" spans="2:15">
      <c r="B118" s="213" t="s">
        <v>217</v>
      </c>
      <c r="C118" s="256">
        <v>44683</v>
      </c>
      <c r="D118" s="210">
        <v>878</v>
      </c>
      <c r="E118" s="181" t="s">
        <v>95</v>
      </c>
      <c r="F118" s="213" t="s">
        <v>280</v>
      </c>
      <c r="G118" s="210">
        <v>968447</v>
      </c>
      <c r="H118" s="326"/>
      <c r="I118" s="211">
        <v>767.13499999999988</v>
      </c>
      <c r="J118" s="326"/>
      <c r="K118" s="349"/>
      <c r="L118" s="210"/>
      <c r="M118" s="210"/>
      <c r="N118" s="210"/>
      <c r="O118" s="210"/>
    </row>
    <row r="119" spans="2:15">
      <c r="B119" s="213" t="s">
        <v>217</v>
      </c>
      <c r="C119" s="256">
        <v>44683</v>
      </c>
      <c r="D119" s="210">
        <v>878</v>
      </c>
      <c r="E119" s="181" t="s">
        <v>95</v>
      </c>
      <c r="F119" s="213" t="s">
        <v>281</v>
      </c>
      <c r="G119" s="210">
        <v>968466</v>
      </c>
      <c r="H119" s="326"/>
      <c r="I119" s="211">
        <v>397.19199999999995</v>
      </c>
      <c r="J119" s="326"/>
      <c r="K119" s="349"/>
      <c r="L119" s="210"/>
      <c r="M119" s="210"/>
      <c r="N119" s="210"/>
      <c r="O119" s="210"/>
    </row>
    <row r="120" spans="2:15">
      <c r="B120" s="213" t="s">
        <v>217</v>
      </c>
      <c r="C120" s="256">
        <v>44683</v>
      </c>
      <c r="D120" s="210">
        <v>878</v>
      </c>
      <c r="E120" s="181" t="s">
        <v>95</v>
      </c>
      <c r="F120" s="213" t="s">
        <v>282</v>
      </c>
      <c r="G120" s="210">
        <v>969068</v>
      </c>
      <c r="H120" s="326"/>
      <c r="I120" s="211">
        <v>575.67700000000002</v>
      </c>
      <c r="J120" s="326"/>
      <c r="K120" s="349"/>
      <c r="L120" s="210"/>
      <c r="M120" s="210"/>
      <c r="N120" s="210"/>
      <c r="O120" s="210"/>
    </row>
    <row r="121" spans="2:15">
      <c r="B121" s="213" t="s">
        <v>217</v>
      </c>
      <c r="C121" s="256">
        <v>44683</v>
      </c>
      <c r="D121" s="210">
        <v>878</v>
      </c>
      <c r="E121" s="181" t="s">
        <v>95</v>
      </c>
      <c r="F121" s="213" t="s">
        <v>283</v>
      </c>
      <c r="G121" s="210">
        <v>698940</v>
      </c>
      <c r="H121" s="327"/>
      <c r="I121" s="211">
        <v>429.24100000000004</v>
      </c>
      <c r="J121" s="327"/>
      <c r="K121" s="350"/>
      <c r="L121" s="210"/>
      <c r="M121" s="210"/>
      <c r="N121" s="210"/>
      <c r="O121" s="210"/>
    </row>
    <row r="122" spans="2:15">
      <c r="B122" s="213" t="s">
        <v>217</v>
      </c>
      <c r="C122" s="256">
        <v>44683</v>
      </c>
      <c r="D122" s="210">
        <v>879</v>
      </c>
      <c r="E122" s="213" t="s">
        <v>11</v>
      </c>
      <c r="F122" s="213" t="s">
        <v>173</v>
      </c>
      <c r="G122" s="210">
        <v>950657</v>
      </c>
      <c r="H122" s="369">
        <v>5688.277</v>
      </c>
      <c r="I122" s="211">
        <v>446.91500000000002</v>
      </c>
      <c r="J122" s="369">
        <f>H122-(SUM(I122:I131))</f>
        <v>1.5250000000005457</v>
      </c>
      <c r="K122" s="370">
        <f>(SUM(I122:I131))/H122</f>
        <v>0.99973190475780271</v>
      </c>
      <c r="L122" s="210"/>
      <c r="M122" s="210"/>
      <c r="N122" s="210"/>
      <c r="O122" s="210"/>
    </row>
    <row r="123" spans="2:15">
      <c r="B123" s="213" t="s">
        <v>217</v>
      </c>
      <c r="C123" s="256">
        <v>44683</v>
      </c>
      <c r="D123" s="210">
        <v>879</v>
      </c>
      <c r="E123" s="213" t="s">
        <v>11</v>
      </c>
      <c r="F123" s="213" t="s">
        <v>291</v>
      </c>
      <c r="G123" s="210">
        <v>969394</v>
      </c>
      <c r="H123" s="326"/>
      <c r="I123" s="211">
        <v>746.04</v>
      </c>
      <c r="J123" s="326"/>
      <c r="K123" s="349"/>
      <c r="L123" s="210"/>
      <c r="M123" s="210"/>
      <c r="N123" s="210"/>
      <c r="O123" s="210"/>
    </row>
    <row r="124" spans="2:15">
      <c r="B124" s="213" t="s">
        <v>217</v>
      </c>
      <c r="C124" s="256">
        <v>44683</v>
      </c>
      <c r="D124" s="210">
        <v>879</v>
      </c>
      <c r="E124" s="213" t="s">
        <v>11</v>
      </c>
      <c r="F124" s="213" t="s">
        <v>292</v>
      </c>
      <c r="G124" s="210">
        <v>960352</v>
      </c>
      <c r="H124" s="326"/>
      <c r="I124" s="211">
        <v>367.41500000000002</v>
      </c>
      <c r="J124" s="326"/>
      <c r="K124" s="349"/>
      <c r="L124" s="210"/>
      <c r="M124" s="210"/>
      <c r="N124" s="210"/>
      <c r="O124" s="210"/>
    </row>
    <row r="125" spans="2:15">
      <c r="B125" s="213" t="s">
        <v>217</v>
      </c>
      <c r="C125" s="256">
        <v>44683</v>
      </c>
      <c r="D125" s="210">
        <v>879</v>
      </c>
      <c r="E125" s="213" t="s">
        <v>11</v>
      </c>
      <c r="F125" s="213" t="s">
        <v>208</v>
      </c>
      <c r="G125" s="210">
        <v>961267</v>
      </c>
      <c r="H125" s="326"/>
      <c r="I125" s="211">
        <v>124.30500000000001</v>
      </c>
      <c r="J125" s="326"/>
      <c r="K125" s="349"/>
      <c r="L125" s="210"/>
      <c r="M125" s="210"/>
      <c r="N125" s="210"/>
      <c r="O125" s="210"/>
    </row>
    <row r="126" spans="2:15">
      <c r="B126" s="213" t="s">
        <v>217</v>
      </c>
      <c r="C126" s="256">
        <v>44683</v>
      </c>
      <c r="D126" s="210">
        <v>879</v>
      </c>
      <c r="E126" s="213" t="s">
        <v>11</v>
      </c>
      <c r="F126" s="213" t="s">
        <v>192</v>
      </c>
      <c r="G126" s="210">
        <v>969269</v>
      </c>
      <c r="H126" s="326"/>
      <c r="I126" s="211">
        <v>555.77</v>
      </c>
      <c r="J126" s="326"/>
      <c r="K126" s="349"/>
      <c r="L126" s="210"/>
      <c r="M126" s="210"/>
      <c r="N126" s="210"/>
      <c r="O126" s="210"/>
    </row>
    <row r="127" spans="2:15">
      <c r="B127" s="213" t="s">
        <v>217</v>
      </c>
      <c r="C127" s="256">
        <v>44683</v>
      </c>
      <c r="D127" s="210">
        <v>879</v>
      </c>
      <c r="E127" s="213" t="s">
        <v>11</v>
      </c>
      <c r="F127" s="213" t="s">
        <v>175</v>
      </c>
      <c r="G127" s="210">
        <v>963710</v>
      </c>
      <c r="H127" s="326"/>
      <c r="I127" s="211">
        <v>793.77499999999998</v>
      </c>
      <c r="J127" s="326"/>
      <c r="K127" s="349"/>
      <c r="L127" s="210"/>
      <c r="M127" s="210"/>
      <c r="N127" s="210"/>
      <c r="O127" s="210"/>
    </row>
    <row r="128" spans="2:15">
      <c r="B128" s="213" t="s">
        <v>217</v>
      </c>
      <c r="C128" s="256">
        <v>44683</v>
      </c>
      <c r="D128" s="210">
        <v>879</v>
      </c>
      <c r="E128" s="213" t="s">
        <v>11</v>
      </c>
      <c r="F128" s="213" t="s">
        <v>177</v>
      </c>
      <c r="G128" s="210">
        <v>699245</v>
      </c>
      <c r="H128" s="326"/>
      <c r="I128" s="211">
        <v>562.07000000000005</v>
      </c>
      <c r="J128" s="326"/>
      <c r="K128" s="349"/>
      <c r="L128" s="210"/>
      <c r="M128" s="210"/>
      <c r="N128" s="210"/>
      <c r="O128" s="210"/>
    </row>
    <row r="129" spans="2:15">
      <c r="B129" s="213" t="s">
        <v>217</v>
      </c>
      <c r="C129" s="256">
        <v>44683</v>
      </c>
      <c r="D129" s="210">
        <v>879</v>
      </c>
      <c r="E129" s="213" t="s">
        <v>11</v>
      </c>
      <c r="F129" s="213" t="s">
        <v>178</v>
      </c>
      <c r="G129" s="210">
        <v>967677</v>
      </c>
      <c r="H129" s="326"/>
      <c r="I129" s="211">
        <v>660.06200000000001</v>
      </c>
      <c r="J129" s="326"/>
      <c r="K129" s="349"/>
      <c r="L129" s="210"/>
      <c r="M129" s="210"/>
      <c r="N129" s="210"/>
      <c r="O129" s="210"/>
    </row>
    <row r="130" spans="2:15">
      <c r="B130" s="213" t="s">
        <v>217</v>
      </c>
      <c r="C130" s="256">
        <v>44683</v>
      </c>
      <c r="D130" s="210">
        <v>879</v>
      </c>
      <c r="E130" s="213" t="s">
        <v>11</v>
      </c>
      <c r="F130" s="213" t="s">
        <v>180</v>
      </c>
      <c r="G130" s="210">
        <v>955847</v>
      </c>
      <c r="H130" s="326"/>
      <c r="I130" s="211">
        <v>516.94000000000005</v>
      </c>
      <c r="J130" s="326"/>
      <c r="K130" s="349"/>
      <c r="L130" s="210"/>
      <c r="M130" s="210"/>
      <c r="N130" s="210"/>
      <c r="O130" s="210"/>
    </row>
    <row r="131" spans="2:15">
      <c r="B131" s="213" t="s">
        <v>217</v>
      </c>
      <c r="C131" s="256">
        <v>44683</v>
      </c>
      <c r="D131" s="210">
        <v>879</v>
      </c>
      <c r="E131" s="213" t="s">
        <v>11</v>
      </c>
      <c r="F131" s="213" t="s">
        <v>182</v>
      </c>
      <c r="G131" s="210">
        <v>955947</v>
      </c>
      <c r="H131" s="327"/>
      <c r="I131" s="211">
        <v>913.46</v>
      </c>
      <c r="J131" s="327"/>
      <c r="K131" s="350"/>
      <c r="L131" s="210"/>
      <c r="M131" s="210"/>
      <c r="N131" s="210"/>
      <c r="O131" s="210"/>
    </row>
    <row r="132" spans="2:15">
      <c r="B132" s="213" t="s">
        <v>284</v>
      </c>
      <c r="C132" s="256">
        <v>44684</v>
      </c>
      <c r="D132" s="210">
        <v>892</v>
      </c>
      <c r="E132" s="181" t="s">
        <v>95</v>
      </c>
      <c r="F132" s="213" t="s">
        <v>219</v>
      </c>
      <c r="G132" s="210">
        <v>956794</v>
      </c>
      <c r="H132" s="210">
        <v>3000</v>
      </c>
      <c r="I132" s="211">
        <v>2955.0359999999996</v>
      </c>
      <c r="J132" s="210">
        <f>H132-I132</f>
        <v>44.964000000000397</v>
      </c>
      <c r="K132" s="257">
        <f>I132/H132</f>
        <v>0.98501199999999989</v>
      </c>
      <c r="L132" s="210"/>
      <c r="M132" s="210"/>
      <c r="N132" s="210"/>
      <c r="O132" s="210"/>
    </row>
    <row r="133" spans="2:15">
      <c r="B133" s="213" t="s">
        <v>284</v>
      </c>
      <c r="C133" s="256">
        <v>44684</v>
      </c>
      <c r="D133" s="210">
        <v>892</v>
      </c>
      <c r="E133" s="181" t="s">
        <v>95</v>
      </c>
      <c r="F133" s="213" t="s">
        <v>293</v>
      </c>
      <c r="G133" s="210">
        <v>699260</v>
      </c>
      <c r="H133" s="210">
        <v>5500</v>
      </c>
      <c r="I133" s="211">
        <v>4717.3429999999989</v>
      </c>
      <c r="J133" s="210">
        <f>H133-I133</f>
        <v>782.65700000000106</v>
      </c>
      <c r="K133" s="257">
        <f>I133/H133</f>
        <v>0.85769872727272711</v>
      </c>
      <c r="L133" s="210"/>
      <c r="M133" s="210"/>
      <c r="N133" s="210"/>
      <c r="O133" s="210"/>
    </row>
    <row r="134" spans="2:15">
      <c r="B134" s="213" t="s">
        <v>284</v>
      </c>
      <c r="C134" s="256">
        <v>44684</v>
      </c>
      <c r="D134" s="210">
        <v>893</v>
      </c>
      <c r="E134" s="213" t="s">
        <v>288</v>
      </c>
      <c r="F134" s="213" t="s">
        <v>294</v>
      </c>
      <c r="G134" s="210">
        <v>699329</v>
      </c>
      <c r="H134" s="210">
        <v>2000</v>
      </c>
      <c r="I134" s="211">
        <v>1427.6800000000003</v>
      </c>
      <c r="J134" s="210">
        <f>H134-I134</f>
        <v>572.31999999999971</v>
      </c>
      <c r="K134" s="257">
        <f>I134/H134</f>
        <v>0.71384000000000014</v>
      </c>
      <c r="L134" s="210"/>
      <c r="M134" s="210"/>
      <c r="N134" s="210"/>
      <c r="O134" s="210"/>
    </row>
    <row r="135" spans="2:15">
      <c r="B135" s="213" t="s">
        <v>217</v>
      </c>
      <c r="C135" s="256">
        <v>44687</v>
      </c>
      <c r="D135" s="210">
        <v>929</v>
      </c>
      <c r="E135" s="213" t="s">
        <v>288</v>
      </c>
      <c r="F135" s="213" t="s">
        <v>224</v>
      </c>
      <c r="G135" s="210">
        <v>955856</v>
      </c>
      <c r="H135" s="347">
        <v>0</v>
      </c>
      <c r="I135" s="210"/>
      <c r="J135" s="347">
        <f>H135-(I135+I136+I137)</f>
        <v>0</v>
      </c>
      <c r="K135" s="348" t="e">
        <f>(I135+I136+I137)/H135</f>
        <v>#DIV/0!</v>
      </c>
      <c r="L135" s="210"/>
      <c r="M135" s="210"/>
      <c r="N135" s="210"/>
      <c r="O135" s="210"/>
    </row>
    <row r="136" spans="2:15">
      <c r="B136" s="213" t="s">
        <v>217</v>
      </c>
      <c r="C136" s="256">
        <v>44687</v>
      </c>
      <c r="D136" s="210">
        <v>929</v>
      </c>
      <c r="E136" s="213" t="s">
        <v>288</v>
      </c>
      <c r="F136" s="213" t="s">
        <v>225</v>
      </c>
      <c r="G136" s="210">
        <v>969249</v>
      </c>
      <c r="H136" s="326"/>
      <c r="I136" s="210"/>
      <c r="J136" s="326"/>
      <c r="K136" s="349"/>
      <c r="L136" s="210"/>
      <c r="M136" s="210"/>
      <c r="N136" s="210"/>
      <c r="O136" s="210"/>
    </row>
    <row r="137" spans="2:15">
      <c r="B137" s="213" t="s">
        <v>217</v>
      </c>
      <c r="C137" s="256">
        <v>44687</v>
      </c>
      <c r="D137" s="210">
        <v>929</v>
      </c>
      <c r="E137" s="213" t="s">
        <v>288</v>
      </c>
      <c r="F137" s="213" t="s">
        <v>235</v>
      </c>
      <c r="G137" s="210">
        <v>968293</v>
      </c>
      <c r="H137" s="327"/>
      <c r="I137" s="210"/>
      <c r="J137" s="327"/>
      <c r="K137" s="350"/>
      <c r="L137" s="210"/>
      <c r="M137" s="210"/>
      <c r="N137" s="210"/>
      <c r="O137" s="210"/>
    </row>
    <row r="138" spans="2:15">
      <c r="B138" s="213" t="s">
        <v>217</v>
      </c>
      <c r="C138" s="256">
        <v>44693</v>
      </c>
      <c r="D138" s="210">
        <v>955</v>
      </c>
      <c r="E138" s="213" t="s">
        <v>288</v>
      </c>
      <c r="F138" s="181" t="s">
        <v>220</v>
      </c>
      <c r="G138" s="186">
        <v>963544</v>
      </c>
      <c r="H138" s="367">
        <v>1734.1659999999999</v>
      </c>
      <c r="I138" s="211">
        <v>440.94499999999999</v>
      </c>
      <c r="J138" s="367">
        <f>H138-(SUM(I138:I144))</f>
        <v>43.880999999999858</v>
      </c>
      <c r="K138" s="368">
        <f>(SUM(I138:I144))/H138</f>
        <v>0.97469619402064167</v>
      </c>
      <c r="L138" s="210"/>
      <c r="M138" s="210"/>
      <c r="N138" s="210"/>
      <c r="O138" s="210"/>
    </row>
    <row r="139" spans="2:15">
      <c r="B139" s="213" t="s">
        <v>217</v>
      </c>
      <c r="C139" s="256">
        <v>44693</v>
      </c>
      <c r="D139" s="210">
        <v>955</v>
      </c>
      <c r="E139" s="213" t="s">
        <v>288</v>
      </c>
      <c r="F139" s="181" t="s">
        <v>221</v>
      </c>
      <c r="G139" s="186">
        <v>963409</v>
      </c>
      <c r="H139" s="326"/>
      <c r="I139" s="211">
        <v>368.255</v>
      </c>
      <c r="J139" s="326"/>
      <c r="K139" s="349"/>
      <c r="L139" s="210"/>
      <c r="M139" s="210"/>
      <c r="N139" s="210"/>
      <c r="O139" s="210"/>
    </row>
    <row r="140" spans="2:15">
      <c r="B140" s="213" t="s">
        <v>217</v>
      </c>
      <c r="C140" s="256">
        <v>44693</v>
      </c>
      <c r="D140" s="210">
        <v>955</v>
      </c>
      <c r="E140" s="213" t="s">
        <v>288</v>
      </c>
      <c r="F140" s="213" t="s">
        <v>239</v>
      </c>
      <c r="G140" s="210">
        <v>914147</v>
      </c>
      <c r="H140" s="326"/>
      <c r="I140" s="211">
        <v>218.22</v>
      </c>
      <c r="J140" s="326"/>
      <c r="K140" s="349"/>
      <c r="L140" s="210"/>
      <c r="M140" s="210"/>
      <c r="N140" s="210"/>
      <c r="O140" s="210"/>
    </row>
    <row r="141" spans="2:15">
      <c r="B141" s="213" t="s">
        <v>217</v>
      </c>
      <c r="C141" s="256">
        <v>44693</v>
      </c>
      <c r="D141" s="210">
        <v>955</v>
      </c>
      <c r="E141" s="213" t="s">
        <v>288</v>
      </c>
      <c r="F141" s="213" t="s">
        <v>306</v>
      </c>
      <c r="G141" s="210">
        <v>914125</v>
      </c>
      <c r="H141" s="326"/>
      <c r="I141" s="211">
        <v>210.08</v>
      </c>
      <c r="J141" s="326"/>
      <c r="K141" s="349"/>
      <c r="L141" s="210"/>
      <c r="M141" s="210"/>
      <c r="N141" s="210"/>
      <c r="O141" s="210"/>
    </row>
    <row r="142" spans="2:15">
      <c r="B142" s="213" t="s">
        <v>217</v>
      </c>
      <c r="C142" s="256">
        <v>44693</v>
      </c>
      <c r="D142" s="210">
        <v>955</v>
      </c>
      <c r="E142" s="213" t="s">
        <v>288</v>
      </c>
      <c r="F142" s="213" t="s">
        <v>307</v>
      </c>
      <c r="G142" s="210">
        <v>964706</v>
      </c>
      <c r="H142" s="326"/>
      <c r="I142" s="211"/>
      <c r="J142" s="326"/>
      <c r="K142" s="349"/>
      <c r="L142" s="210"/>
      <c r="M142" s="210"/>
      <c r="N142" s="210"/>
      <c r="O142" s="210"/>
    </row>
    <row r="143" spans="2:15">
      <c r="B143" s="213" t="s">
        <v>217</v>
      </c>
      <c r="C143" s="256">
        <v>44693</v>
      </c>
      <c r="D143" s="210">
        <v>955</v>
      </c>
      <c r="E143" s="213" t="s">
        <v>288</v>
      </c>
      <c r="F143" s="213" t="s">
        <v>247</v>
      </c>
      <c r="G143" s="210">
        <v>914124</v>
      </c>
      <c r="H143" s="326"/>
      <c r="I143" s="211">
        <v>234.285</v>
      </c>
      <c r="J143" s="326"/>
      <c r="K143" s="349"/>
      <c r="L143" s="210"/>
      <c r="M143" s="210"/>
      <c r="N143" s="210"/>
      <c r="O143" s="210"/>
    </row>
    <row r="144" spans="2:15">
      <c r="B144" s="213" t="s">
        <v>217</v>
      </c>
      <c r="C144" s="256">
        <v>44693</v>
      </c>
      <c r="D144" s="210">
        <v>955</v>
      </c>
      <c r="E144" s="213" t="s">
        <v>288</v>
      </c>
      <c r="F144" s="213" t="s">
        <v>243</v>
      </c>
      <c r="G144" s="210">
        <v>968795</v>
      </c>
      <c r="H144" s="327"/>
      <c r="I144" s="211">
        <v>218.5</v>
      </c>
      <c r="J144" s="327"/>
      <c r="K144" s="350"/>
      <c r="L144" s="210"/>
      <c r="M144" s="210"/>
      <c r="N144" s="210"/>
      <c r="O144" s="210"/>
    </row>
    <row r="145" spans="2:15">
      <c r="B145" s="213" t="s">
        <v>217</v>
      </c>
      <c r="C145" s="256">
        <v>44698</v>
      </c>
      <c r="D145" s="210">
        <v>989</v>
      </c>
      <c r="E145" s="213" t="s">
        <v>12</v>
      </c>
      <c r="F145" s="213" t="s">
        <v>148</v>
      </c>
      <c r="G145" s="210">
        <v>965267</v>
      </c>
      <c r="H145" s="369">
        <v>1500</v>
      </c>
      <c r="I145" s="211">
        <v>315.11799999999999</v>
      </c>
      <c r="J145" s="369">
        <f>H145-(SUM(I145:I154))</f>
        <v>26.523000000000138</v>
      </c>
      <c r="K145" s="370">
        <f>(SUM(I145:I154))/H145</f>
        <v>0.98231799999999991</v>
      </c>
      <c r="L145" s="210"/>
      <c r="M145" s="210"/>
      <c r="N145" s="210"/>
      <c r="O145" s="210"/>
    </row>
    <row r="146" spans="2:15">
      <c r="B146" s="213" t="s">
        <v>217</v>
      </c>
      <c r="C146" s="256">
        <v>44698</v>
      </c>
      <c r="D146" s="210">
        <v>989</v>
      </c>
      <c r="E146" s="213" t="s">
        <v>12</v>
      </c>
      <c r="F146" s="213" t="s">
        <v>150</v>
      </c>
      <c r="G146" s="210">
        <v>969425</v>
      </c>
      <c r="H146" s="326"/>
      <c r="I146" s="211">
        <v>274.59500000000003</v>
      </c>
      <c r="J146" s="326"/>
      <c r="K146" s="349"/>
      <c r="L146" s="210"/>
      <c r="M146" s="210"/>
      <c r="N146" s="210"/>
      <c r="O146" s="210"/>
    </row>
    <row r="147" spans="2:15">
      <c r="B147" s="213" t="s">
        <v>217</v>
      </c>
      <c r="C147" s="256">
        <v>44698</v>
      </c>
      <c r="D147" s="210">
        <v>989</v>
      </c>
      <c r="E147" s="213" t="s">
        <v>12</v>
      </c>
      <c r="F147" s="213" t="s">
        <v>154</v>
      </c>
      <c r="G147" s="210">
        <v>957378</v>
      </c>
      <c r="H147" s="326"/>
      <c r="I147" s="211">
        <v>325.964</v>
      </c>
      <c r="J147" s="326"/>
      <c r="K147" s="349"/>
      <c r="L147" s="210"/>
      <c r="M147" s="210"/>
      <c r="N147" s="210"/>
      <c r="O147" s="210"/>
    </row>
    <row r="148" spans="2:15">
      <c r="B148" s="213" t="s">
        <v>217</v>
      </c>
      <c r="C148" s="256">
        <v>44698</v>
      </c>
      <c r="D148" s="210">
        <v>989</v>
      </c>
      <c r="E148" s="213" t="s">
        <v>12</v>
      </c>
      <c r="F148" s="213" t="s">
        <v>153</v>
      </c>
      <c r="G148" s="210">
        <v>968704</v>
      </c>
      <c r="H148" s="326"/>
      <c r="I148" s="211">
        <v>246.208</v>
      </c>
      <c r="J148" s="326"/>
      <c r="K148" s="349"/>
      <c r="L148" s="210"/>
      <c r="M148" s="210"/>
      <c r="N148" s="210"/>
      <c r="O148" s="210"/>
    </row>
    <row r="149" spans="2:15">
      <c r="B149" s="213" t="s">
        <v>217</v>
      </c>
      <c r="C149" s="256">
        <v>44698</v>
      </c>
      <c r="D149" s="210">
        <v>989</v>
      </c>
      <c r="E149" s="213" t="s">
        <v>12</v>
      </c>
      <c r="F149" s="213" t="s">
        <v>151</v>
      </c>
      <c r="G149" s="210">
        <v>967553</v>
      </c>
      <c r="H149" s="326"/>
      <c r="I149" s="211"/>
      <c r="J149" s="326"/>
      <c r="K149" s="349"/>
      <c r="L149" s="210"/>
      <c r="M149" s="210"/>
      <c r="N149" s="210"/>
      <c r="O149" s="210"/>
    </row>
    <row r="150" spans="2:15">
      <c r="B150" s="213" t="s">
        <v>217</v>
      </c>
      <c r="C150" s="256">
        <v>44698</v>
      </c>
      <c r="D150" s="210">
        <v>989</v>
      </c>
      <c r="E150" s="213" t="s">
        <v>12</v>
      </c>
      <c r="F150" s="213" t="s">
        <v>152</v>
      </c>
      <c r="G150" s="210">
        <v>968930</v>
      </c>
      <c r="H150" s="326"/>
      <c r="I150" s="211">
        <v>215.917</v>
      </c>
      <c r="J150" s="326"/>
      <c r="K150" s="349"/>
      <c r="L150" s="210"/>
      <c r="M150" s="210"/>
      <c r="N150" s="210"/>
      <c r="O150" s="210"/>
    </row>
    <row r="151" spans="2:15">
      <c r="B151" s="213" t="s">
        <v>217</v>
      </c>
      <c r="C151" s="256">
        <v>44698</v>
      </c>
      <c r="D151" s="210">
        <v>989</v>
      </c>
      <c r="E151" s="213" t="s">
        <v>12</v>
      </c>
      <c r="F151" s="213" t="s">
        <v>310</v>
      </c>
      <c r="G151" s="210">
        <v>964853</v>
      </c>
      <c r="H151" s="326"/>
      <c r="I151" s="211"/>
      <c r="J151" s="326"/>
      <c r="K151" s="349"/>
      <c r="L151" s="210"/>
      <c r="M151" s="210"/>
      <c r="N151" s="210"/>
      <c r="O151" s="210"/>
    </row>
    <row r="152" spans="2:15">
      <c r="B152" s="213" t="s">
        <v>217</v>
      </c>
      <c r="C152" s="256">
        <v>44698</v>
      </c>
      <c r="D152" s="210">
        <v>989</v>
      </c>
      <c r="E152" s="213" t="s">
        <v>12</v>
      </c>
      <c r="F152" s="213" t="s">
        <v>147</v>
      </c>
      <c r="G152" s="210">
        <v>955952</v>
      </c>
      <c r="H152" s="326"/>
      <c r="I152" s="211"/>
      <c r="J152" s="326"/>
      <c r="K152" s="349"/>
      <c r="L152" s="210"/>
      <c r="M152" s="210"/>
      <c r="N152" s="210"/>
      <c r="O152" s="210"/>
    </row>
    <row r="153" spans="2:15">
      <c r="B153" s="213" t="s">
        <v>217</v>
      </c>
      <c r="C153" s="256">
        <v>44698</v>
      </c>
      <c r="D153" s="210">
        <v>989</v>
      </c>
      <c r="E153" s="213" t="s">
        <v>12</v>
      </c>
      <c r="F153" s="213" t="s">
        <v>287</v>
      </c>
      <c r="G153" s="210">
        <v>698764</v>
      </c>
      <c r="H153" s="326"/>
      <c r="I153" s="211">
        <v>95.674999999999997</v>
      </c>
      <c r="J153" s="326"/>
      <c r="K153" s="349"/>
      <c r="L153" s="210"/>
      <c r="M153" s="210"/>
      <c r="N153" s="210"/>
      <c r="O153" s="210"/>
    </row>
    <row r="154" spans="2:15">
      <c r="B154" s="213" t="s">
        <v>217</v>
      </c>
      <c r="C154" s="256">
        <v>44698</v>
      </c>
      <c r="D154" s="210">
        <v>989</v>
      </c>
      <c r="E154" s="213" t="s">
        <v>12</v>
      </c>
      <c r="F154" s="213" t="s">
        <v>155</v>
      </c>
      <c r="G154" s="210">
        <v>969467</v>
      </c>
      <c r="H154" s="327"/>
      <c r="I154" s="211"/>
      <c r="J154" s="327"/>
      <c r="K154" s="350"/>
      <c r="L154" s="210"/>
      <c r="M154" s="210"/>
      <c r="N154" s="210"/>
      <c r="O154" s="210"/>
    </row>
    <row r="155" spans="2:15">
      <c r="B155" s="213" t="s">
        <v>217</v>
      </c>
      <c r="C155" s="256">
        <v>44698</v>
      </c>
      <c r="D155" s="210">
        <v>990</v>
      </c>
      <c r="E155" s="213" t="s">
        <v>12</v>
      </c>
      <c r="F155" s="213" t="s">
        <v>287</v>
      </c>
      <c r="G155" s="210">
        <v>698764</v>
      </c>
      <c r="H155" s="355">
        <v>500</v>
      </c>
      <c r="I155" s="211">
        <v>112.941</v>
      </c>
      <c r="J155" s="355">
        <f>H155-(I155+I156+I157+I158+I159+I160)</f>
        <v>0.58800000000002228</v>
      </c>
      <c r="K155" s="356">
        <f>(I155+I156+I157+I158+I159+I160)/H155</f>
        <v>0.99882399999999993</v>
      </c>
      <c r="L155" s="210"/>
      <c r="M155" s="210"/>
      <c r="N155" s="210"/>
      <c r="O155" s="210"/>
    </row>
    <row r="156" spans="2:15">
      <c r="B156" s="213" t="s">
        <v>217</v>
      </c>
      <c r="C156" s="256">
        <v>44698</v>
      </c>
      <c r="D156" s="210">
        <v>990</v>
      </c>
      <c r="E156" s="213" t="s">
        <v>12</v>
      </c>
      <c r="F156" s="213" t="s">
        <v>148</v>
      </c>
      <c r="G156" s="210">
        <v>965267</v>
      </c>
      <c r="H156" s="326"/>
      <c r="I156" s="211">
        <v>93.915999999999997</v>
      </c>
      <c r="J156" s="326"/>
      <c r="K156" s="349"/>
      <c r="L156" s="210"/>
      <c r="M156" s="210"/>
      <c r="N156" s="210"/>
      <c r="O156" s="210"/>
    </row>
    <row r="157" spans="2:15">
      <c r="B157" s="213" t="s">
        <v>217</v>
      </c>
      <c r="C157" s="256">
        <v>44698</v>
      </c>
      <c r="D157" s="210">
        <v>990</v>
      </c>
      <c r="E157" s="213" t="s">
        <v>12</v>
      </c>
      <c r="F157" s="213" t="s">
        <v>150</v>
      </c>
      <c r="G157" s="210">
        <v>969425</v>
      </c>
      <c r="H157" s="326"/>
      <c r="I157" s="211">
        <v>88.683999999999997</v>
      </c>
      <c r="J157" s="326"/>
      <c r="K157" s="349"/>
      <c r="L157" s="210"/>
      <c r="M157" s="210"/>
      <c r="N157" s="210"/>
      <c r="O157" s="210"/>
    </row>
    <row r="158" spans="2:15">
      <c r="B158" s="213" t="s">
        <v>217</v>
      </c>
      <c r="C158" s="256">
        <v>44698</v>
      </c>
      <c r="D158" s="210">
        <v>990</v>
      </c>
      <c r="E158" s="213" t="s">
        <v>12</v>
      </c>
      <c r="F158" s="213" t="s">
        <v>152</v>
      </c>
      <c r="G158" s="210">
        <v>968930</v>
      </c>
      <c r="H158" s="326"/>
      <c r="I158" s="211">
        <v>61.936999999999998</v>
      </c>
      <c r="J158" s="326"/>
      <c r="K158" s="349"/>
      <c r="L158" s="210"/>
      <c r="M158" s="210"/>
      <c r="N158" s="210"/>
      <c r="O158" s="210"/>
    </row>
    <row r="159" spans="2:15">
      <c r="B159" s="213" t="s">
        <v>217</v>
      </c>
      <c r="C159" s="256">
        <v>44698</v>
      </c>
      <c r="D159" s="210">
        <v>990</v>
      </c>
      <c r="E159" s="213" t="s">
        <v>12</v>
      </c>
      <c r="F159" s="213" t="s">
        <v>153</v>
      </c>
      <c r="G159" s="210">
        <v>968704</v>
      </c>
      <c r="H159" s="326"/>
      <c r="I159" s="211">
        <v>68.265000000000001</v>
      </c>
      <c r="J159" s="326"/>
      <c r="K159" s="349"/>
      <c r="L159" s="210"/>
      <c r="M159" s="210"/>
      <c r="N159" s="210"/>
      <c r="O159" s="210"/>
    </row>
    <row r="160" spans="2:15">
      <c r="B160" s="213" t="s">
        <v>217</v>
      </c>
      <c r="C160" s="256">
        <v>44698</v>
      </c>
      <c r="D160" s="210">
        <v>990</v>
      </c>
      <c r="E160" s="213" t="s">
        <v>12</v>
      </c>
      <c r="F160" s="213" t="s">
        <v>154</v>
      </c>
      <c r="G160" s="210">
        <v>957378</v>
      </c>
      <c r="H160" s="327"/>
      <c r="I160" s="211">
        <v>73.668999999999997</v>
      </c>
      <c r="J160" s="327"/>
      <c r="K160" s="350"/>
      <c r="L160" s="210"/>
      <c r="M160" s="210"/>
      <c r="N160" s="210"/>
      <c r="O160" s="210"/>
    </row>
    <row r="161" spans="2:15">
      <c r="B161" s="213" t="s">
        <v>217</v>
      </c>
      <c r="C161" s="256">
        <v>44699</v>
      </c>
      <c r="D161" s="210">
        <v>1004</v>
      </c>
      <c r="E161" s="213" t="s">
        <v>288</v>
      </c>
      <c r="F161" s="181" t="s">
        <v>220</v>
      </c>
      <c r="G161" s="186">
        <v>963544</v>
      </c>
      <c r="H161" s="367">
        <v>3799.2689999999998</v>
      </c>
      <c r="I161" s="211">
        <v>1112.92</v>
      </c>
      <c r="J161" s="367">
        <f>H161-(SUM(I161:I167))</f>
        <v>18.735000000000127</v>
      </c>
      <c r="K161" s="368">
        <f>(SUM(I161:I167))/H161</f>
        <v>0.99506878823268363</v>
      </c>
      <c r="L161" s="210"/>
      <c r="M161" s="210"/>
      <c r="N161" s="210"/>
      <c r="O161" s="210"/>
    </row>
    <row r="162" spans="2:15">
      <c r="B162" s="213" t="s">
        <v>217</v>
      </c>
      <c r="C162" s="256">
        <v>44699</v>
      </c>
      <c r="D162" s="210">
        <v>1004</v>
      </c>
      <c r="E162" s="213" t="s">
        <v>288</v>
      </c>
      <c r="F162" s="181" t="s">
        <v>221</v>
      </c>
      <c r="G162" s="186">
        <v>963409</v>
      </c>
      <c r="H162" s="326"/>
      <c r="I162" s="211">
        <v>1062.4090000000001</v>
      </c>
      <c r="J162" s="326"/>
      <c r="K162" s="349"/>
      <c r="L162" s="210"/>
      <c r="M162" s="210"/>
      <c r="N162" s="210"/>
      <c r="O162" s="210"/>
    </row>
    <row r="163" spans="2:15">
      <c r="B163" s="213" t="s">
        <v>217</v>
      </c>
      <c r="C163" s="256">
        <v>44699</v>
      </c>
      <c r="D163" s="210">
        <v>1004</v>
      </c>
      <c r="E163" s="213" t="s">
        <v>288</v>
      </c>
      <c r="F163" s="213" t="s">
        <v>239</v>
      </c>
      <c r="G163" s="210">
        <v>914147</v>
      </c>
      <c r="H163" s="326"/>
      <c r="I163" s="211">
        <v>163.87</v>
      </c>
      <c r="J163" s="326"/>
      <c r="K163" s="349"/>
      <c r="L163" s="210"/>
      <c r="M163" s="210"/>
      <c r="N163" s="210"/>
      <c r="O163" s="210"/>
    </row>
    <row r="164" spans="2:15">
      <c r="B164" s="213" t="s">
        <v>217</v>
      </c>
      <c r="C164" s="256">
        <v>44699</v>
      </c>
      <c r="D164" s="210">
        <v>1004</v>
      </c>
      <c r="E164" s="213" t="s">
        <v>288</v>
      </c>
      <c r="F164" s="213" t="s">
        <v>306</v>
      </c>
      <c r="G164" s="210">
        <v>914125</v>
      </c>
      <c r="H164" s="326"/>
      <c r="I164" s="211">
        <v>680.995</v>
      </c>
      <c r="J164" s="326"/>
      <c r="K164" s="349"/>
      <c r="L164" s="210"/>
      <c r="M164" s="210"/>
      <c r="N164" s="210"/>
      <c r="O164" s="210"/>
    </row>
    <row r="165" spans="2:15">
      <c r="B165" s="213" t="s">
        <v>217</v>
      </c>
      <c r="C165" s="256">
        <v>44699</v>
      </c>
      <c r="D165" s="210">
        <v>1004</v>
      </c>
      <c r="E165" s="213" t="s">
        <v>288</v>
      </c>
      <c r="F165" s="213" t="s">
        <v>307</v>
      </c>
      <c r="G165" s="210">
        <v>964706</v>
      </c>
      <c r="H165" s="326"/>
      <c r="I165" s="211"/>
      <c r="J165" s="326"/>
      <c r="K165" s="349"/>
      <c r="L165" s="210"/>
      <c r="M165" s="210"/>
      <c r="N165" s="210"/>
      <c r="O165" s="210"/>
    </row>
    <row r="166" spans="2:15">
      <c r="B166" s="213" t="s">
        <v>217</v>
      </c>
      <c r="C166" s="256">
        <v>44699</v>
      </c>
      <c r="D166" s="210">
        <v>1004</v>
      </c>
      <c r="E166" s="213" t="s">
        <v>288</v>
      </c>
      <c r="F166" s="213" t="s">
        <v>247</v>
      </c>
      <c r="G166" s="210">
        <v>914124</v>
      </c>
      <c r="H166" s="326"/>
      <c r="I166" s="211">
        <v>587.41</v>
      </c>
      <c r="J166" s="326"/>
      <c r="K166" s="349"/>
      <c r="L166" s="210"/>
      <c r="M166" s="210"/>
      <c r="N166" s="210"/>
      <c r="O166" s="210"/>
    </row>
    <row r="167" spans="2:15">
      <c r="B167" s="213" t="s">
        <v>217</v>
      </c>
      <c r="C167" s="256">
        <v>44699</v>
      </c>
      <c r="D167" s="210">
        <v>1004</v>
      </c>
      <c r="E167" s="213" t="s">
        <v>288</v>
      </c>
      <c r="F167" s="213" t="s">
        <v>243</v>
      </c>
      <c r="G167" s="210">
        <v>968795</v>
      </c>
      <c r="H167" s="327"/>
      <c r="I167" s="211">
        <v>172.93</v>
      </c>
      <c r="J167" s="327"/>
      <c r="K167" s="350"/>
      <c r="L167" s="210"/>
      <c r="M167" s="210"/>
      <c r="N167" s="210"/>
      <c r="O167" s="210"/>
    </row>
    <row r="168" spans="2:15">
      <c r="B168" s="213" t="s">
        <v>217</v>
      </c>
      <c r="C168" s="256">
        <v>44699</v>
      </c>
      <c r="D168" s="210">
        <v>1005</v>
      </c>
      <c r="E168" s="213" t="s">
        <v>12</v>
      </c>
      <c r="F168" s="213" t="s">
        <v>148</v>
      </c>
      <c r="G168" s="210">
        <v>965267</v>
      </c>
      <c r="H168" s="373">
        <v>470</v>
      </c>
      <c r="I168" s="211">
        <v>154.553</v>
      </c>
      <c r="J168" s="373">
        <f>H168-(I168+I169+I170+I171+I172)</f>
        <v>21.985000000000014</v>
      </c>
      <c r="K168" s="374">
        <f>(I168+I169+I170+I171+I172)/H168</f>
        <v>0.95322340425531915</v>
      </c>
      <c r="L168" s="210"/>
      <c r="M168" s="210"/>
      <c r="N168" s="210"/>
      <c r="O168" s="210"/>
    </row>
    <row r="169" spans="2:15">
      <c r="B169" s="213" t="s">
        <v>217</v>
      </c>
      <c r="C169" s="256">
        <v>44699</v>
      </c>
      <c r="D169" s="210">
        <v>1005</v>
      </c>
      <c r="E169" s="213" t="s">
        <v>12</v>
      </c>
      <c r="F169" s="213" t="s">
        <v>150</v>
      </c>
      <c r="G169" s="210">
        <v>969425</v>
      </c>
      <c r="H169" s="326"/>
      <c r="I169" s="211">
        <v>76.147999999999996</v>
      </c>
      <c r="J169" s="326"/>
      <c r="K169" s="349"/>
      <c r="L169" s="210"/>
      <c r="M169" s="210"/>
      <c r="N169" s="210"/>
      <c r="O169" s="210"/>
    </row>
    <row r="170" spans="2:15">
      <c r="B170" s="213" t="s">
        <v>217</v>
      </c>
      <c r="C170" s="256">
        <v>44699</v>
      </c>
      <c r="D170" s="210">
        <v>1005</v>
      </c>
      <c r="E170" s="213" t="s">
        <v>12</v>
      </c>
      <c r="F170" s="213" t="s">
        <v>152</v>
      </c>
      <c r="G170" s="210">
        <v>968930</v>
      </c>
      <c r="H170" s="326"/>
      <c r="I170" s="211">
        <v>82.724000000000004</v>
      </c>
      <c r="J170" s="326"/>
      <c r="K170" s="349"/>
      <c r="L170" s="210"/>
      <c r="M170" s="210"/>
      <c r="N170" s="210"/>
      <c r="O170" s="210"/>
    </row>
    <row r="171" spans="2:15">
      <c r="B171" s="213" t="s">
        <v>217</v>
      </c>
      <c r="C171" s="256">
        <v>44699</v>
      </c>
      <c r="D171" s="210">
        <v>1005</v>
      </c>
      <c r="E171" s="213" t="s">
        <v>12</v>
      </c>
      <c r="F171" s="213" t="s">
        <v>153</v>
      </c>
      <c r="G171" s="210">
        <v>968704</v>
      </c>
      <c r="H171" s="326"/>
      <c r="I171" s="211">
        <v>107.791</v>
      </c>
      <c r="J171" s="326"/>
      <c r="K171" s="349"/>
      <c r="L171" s="210"/>
      <c r="M171" s="210"/>
      <c r="N171" s="210"/>
      <c r="O171" s="210"/>
    </row>
    <row r="172" spans="2:15">
      <c r="B172" s="213" t="s">
        <v>217</v>
      </c>
      <c r="C172" s="256">
        <v>44699</v>
      </c>
      <c r="D172" s="210">
        <v>1005</v>
      </c>
      <c r="E172" s="213" t="s">
        <v>12</v>
      </c>
      <c r="F172" s="213" t="s">
        <v>154</v>
      </c>
      <c r="G172" s="210">
        <v>957378</v>
      </c>
      <c r="H172" s="327"/>
      <c r="I172" s="211">
        <v>26.798999999999999</v>
      </c>
      <c r="J172" s="327"/>
      <c r="K172" s="350"/>
      <c r="L172" s="210"/>
      <c r="M172" s="210"/>
      <c r="N172" s="210"/>
      <c r="O172" s="210"/>
    </row>
    <row r="173" spans="2:15">
      <c r="B173" s="213" t="s">
        <v>217</v>
      </c>
      <c r="C173" s="256">
        <v>44712</v>
      </c>
      <c r="D173" s="210">
        <v>1108</v>
      </c>
      <c r="E173" s="213" t="s">
        <v>12</v>
      </c>
      <c r="F173" s="213" t="s">
        <v>148</v>
      </c>
      <c r="G173" s="210">
        <v>965267</v>
      </c>
      <c r="H173" s="210"/>
      <c r="I173" s="211"/>
      <c r="J173" s="210"/>
      <c r="K173" s="210"/>
      <c r="L173" s="347">
        <v>60</v>
      </c>
      <c r="M173" s="210"/>
      <c r="N173" s="347">
        <f>L173-(M173+M174+M175)</f>
        <v>60</v>
      </c>
      <c r="O173" s="348">
        <f>(M173+M174+M175)/L173</f>
        <v>0</v>
      </c>
    </row>
    <row r="174" spans="2:15">
      <c r="B174" s="213" t="s">
        <v>217</v>
      </c>
      <c r="C174" s="256">
        <v>44712</v>
      </c>
      <c r="D174" s="210">
        <v>1108</v>
      </c>
      <c r="E174" s="213" t="s">
        <v>12</v>
      </c>
      <c r="F174" s="213" t="s">
        <v>150</v>
      </c>
      <c r="G174" s="210">
        <v>969425</v>
      </c>
      <c r="H174" s="210"/>
      <c r="I174" s="211"/>
      <c r="J174" s="210"/>
      <c r="K174" s="210"/>
      <c r="L174" s="326"/>
      <c r="M174" s="210"/>
      <c r="N174" s="326"/>
      <c r="O174" s="349"/>
    </row>
    <row r="175" spans="2:15">
      <c r="B175" s="213" t="s">
        <v>217</v>
      </c>
      <c r="C175" s="256">
        <v>44712</v>
      </c>
      <c r="D175" s="210">
        <v>1108</v>
      </c>
      <c r="E175" s="213" t="s">
        <v>12</v>
      </c>
      <c r="F175" s="213" t="s">
        <v>154</v>
      </c>
      <c r="G175" s="210">
        <v>957378</v>
      </c>
      <c r="H175" s="210"/>
      <c r="I175" s="211"/>
      <c r="J175" s="210"/>
      <c r="K175" s="210"/>
      <c r="L175" s="327"/>
      <c r="M175" s="210"/>
      <c r="N175" s="327"/>
      <c r="O175" s="350"/>
    </row>
    <row r="176" spans="2:15">
      <c r="B176" s="213" t="s">
        <v>284</v>
      </c>
      <c r="C176" s="256">
        <v>44726</v>
      </c>
      <c r="D176" s="210">
        <v>1226</v>
      </c>
      <c r="E176" s="213" t="s">
        <v>11</v>
      </c>
      <c r="F176" s="213" t="s">
        <v>311</v>
      </c>
      <c r="G176" s="210">
        <v>968468</v>
      </c>
      <c r="H176" s="210">
        <v>192.01499999999999</v>
      </c>
      <c r="I176" s="211"/>
      <c r="J176" s="210">
        <f>H176-I176</f>
        <v>192.01499999999999</v>
      </c>
      <c r="K176" s="257">
        <f>I176/H176</f>
        <v>0</v>
      </c>
      <c r="L176" s="210"/>
      <c r="M176" s="210"/>
      <c r="N176" s="210"/>
      <c r="O176" s="210"/>
    </row>
    <row r="177" spans="2:15">
      <c r="B177" s="213" t="s">
        <v>284</v>
      </c>
      <c r="C177" s="256">
        <v>44732</v>
      </c>
      <c r="D177" s="210">
        <v>1271</v>
      </c>
      <c r="E177" s="213" t="s">
        <v>11</v>
      </c>
      <c r="F177" s="213" t="s">
        <v>312</v>
      </c>
      <c r="G177" s="210">
        <v>968796</v>
      </c>
      <c r="H177" s="210">
        <v>102.408</v>
      </c>
      <c r="I177" s="211">
        <v>102.408</v>
      </c>
      <c r="J177" s="210">
        <f>H177-I177</f>
        <v>0</v>
      </c>
      <c r="K177" s="257">
        <f>I177/H177</f>
        <v>1</v>
      </c>
      <c r="L177" s="210"/>
      <c r="M177" s="210"/>
      <c r="N177" s="210"/>
      <c r="O177" s="210"/>
    </row>
    <row r="178" spans="2:15">
      <c r="B178" s="213" t="s">
        <v>284</v>
      </c>
      <c r="C178" s="256">
        <v>44732</v>
      </c>
      <c r="D178" s="210">
        <v>1272</v>
      </c>
      <c r="E178" s="213" t="s">
        <v>11</v>
      </c>
      <c r="F178" s="213" t="s">
        <v>291</v>
      </c>
      <c r="G178" s="210">
        <v>969394</v>
      </c>
      <c r="H178" s="210">
        <v>102.408</v>
      </c>
      <c r="I178" s="211">
        <v>102.408</v>
      </c>
      <c r="J178" s="210">
        <f>H178-I178</f>
        <v>0</v>
      </c>
      <c r="K178" s="257">
        <f>I178/H178</f>
        <v>1</v>
      </c>
      <c r="L178" s="210"/>
      <c r="M178" s="210"/>
      <c r="N178" s="210"/>
      <c r="O178" s="210"/>
    </row>
    <row r="179" spans="2:15">
      <c r="B179" s="213" t="s">
        <v>284</v>
      </c>
      <c r="C179" s="256">
        <v>44736</v>
      </c>
      <c r="D179" s="210">
        <v>1307</v>
      </c>
      <c r="E179" s="213" t="s">
        <v>288</v>
      </c>
      <c r="F179" s="213" t="s">
        <v>313</v>
      </c>
      <c r="G179" s="210">
        <v>699558</v>
      </c>
      <c r="H179" s="210">
        <v>3000</v>
      </c>
      <c r="I179" s="211">
        <v>2417.33</v>
      </c>
      <c r="J179" s="210">
        <f>H179-I179</f>
        <v>582.67000000000007</v>
      </c>
      <c r="K179" s="257">
        <f>I179/H179</f>
        <v>0.8057766666666667</v>
      </c>
      <c r="L179" s="210"/>
      <c r="M179" s="210"/>
      <c r="N179" s="210"/>
      <c r="O179" s="210"/>
    </row>
    <row r="180" spans="2:15">
      <c r="B180" s="213" t="s">
        <v>217</v>
      </c>
      <c r="C180" s="256">
        <v>44741</v>
      </c>
      <c r="D180" s="210">
        <v>1328</v>
      </c>
      <c r="E180" s="213" t="s">
        <v>12</v>
      </c>
      <c r="F180" s="213" t="s">
        <v>162</v>
      </c>
      <c r="G180" s="210">
        <v>901588</v>
      </c>
      <c r="H180" s="371">
        <v>3000</v>
      </c>
      <c r="I180" s="211">
        <v>151.19999999999999</v>
      </c>
      <c r="J180" s="371">
        <f>H180-(SUM(I180:I194))</f>
        <v>1.0000000000673026E-2</v>
      </c>
      <c r="K180" s="372">
        <f>(SUM(I180:I194))/H180</f>
        <v>0.99999666666666642</v>
      </c>
      <c r="L180" s="210"/>
      <c r="M180" s="210"/>
      <c r="N180" s="210"/>
      <c r="O180" s="210"/>
    </row>
    <row r="181" spans="2:15">
      <c r="B181" s="213" t="s">
        <v>217</v>
      </c>
      <c r="C181" s="256">
        <v>44741</v>
      </c>
      <c r="D181" s="210">
        <v>1328</v>
      </c>
      <c r="E181" s="213" t="s">
        <v>12</v>
      </c>
      <c r="F181" s="213" t="s">
        <v>184</v>
      </c>
      <c r="G181" s="210">
        <v>966397</v>
      </c>
      <c r="H181" s="326"/>
      <c r="I181" s="211">
        <v>81.34</v>
      </c>
      <c r="J181" s="326"/>
      <c r="K181" s="349"/>
      <c r="L181" s="210"/>
      <c r="M181" s="210"/>
      <c r="N181" s="210"/>
      <c r="O181" s="210"/>
    </row>
    <row r="182" spans="2:15">
      <c r="B182" s="213" t="s">
        <v>217</v>
      </c>
      <c r="C182" s="256">
        <v>44741</v>
      </c>
      <c r="D182" s="210">
        <v>1328</v>
      </c>
      <c r="E182" s="213" t="s">
        <v>12</v>
      </c>
      <c r="F182" s="213" t="s">
        <v>146</v>
      </c>
      <c r="G182" s="210">
        <v>964933</v>
      </c>
      <c r="H182" s="326"/>
      <c r="I182" s="211">
        <v>56.4</v>
      </c>
      <c r="J182" s="326"/>
      <c r="K182" s="349"/>
      <c r="L182" s="210"/>
      <c r="M182" s="210"/>
      <c r="N182" s="210"/>
      <c r="O182" s="210"/>
    </row>
    <row r="183" spans="2:15">
      <c r="B183" s="213" t="s">
        <v>217</v>
      </c>
      <c r="C183" s="256">
        <v>44741</v>
      </c>
      <c r="D183" s="210">
        <v>1328</v>
      </c>
      <c r="E183" s="213" t="s">
        <v>12</v>
      </c>
      <c r="F183" s="213" t="s">
        <v>185</v>
      </c>
      <c r="G183" s="210">
        <v>960563</v>
      </c>
      <c r="H183" s="326"/>
      <c r="I183" s="211">
        <v>407.79</v>
      </c>
      <c r="J183" s="326"/>
      <c r="K183" s="349"/>
      <c r="L183" s="210"/>
      <c r="M183" s="210"/>
      <c r="N183" s="210"/>
      <c r="O183" s="210"/>
    </row>
    <row r="184" spans="2:15">
      <c r="B184" s="213" t="s">
        <v>217</v>
      </c>
      <c r="C184" s="256">
        <v>44741</v>
      </c>
      <c r="D184" s="210">
        <v>1328</v>
      </c>
      <c r="E184" s="213" t="s">
        <v>12</v>
      </c>
      <c r="F184" s="213" t="s">
        <v>163</v>
      </c>
      <c r="G184" s="210">
        <v>960673</v>
      </c>
      <c r="H184" s="326"/>
      <c r="I184" s="211">
        <v>122.37</v>
      </c>
      <c r="J184" s="326"/>
      <c r="K184" s="349"/>
      <c r="L184" s="210"/>
      <c r="M184" s="210"/>
      <c r="N184" s="210"/>
      <c r="O184" s="210"/>
    </row>
    <row r="185" spans="2:15">
      <c r="B185" s="213" t="s">
        <v>217</v>
      </c>
      <c r="C185" s="256">
        <v>44741</v>
      </c>
      <c r="D185" s="210">
        <v>1328</v>
      </c>
      <c r="E185" s="213" t="s">
        <v>12</v>
      </c>
      <c r="F185" s="213" t="s">
        <v>164</v>
      </c>
      <c r="G185" s="210">
        <v>923266</v>
      </c>
      <c r="H185" s="326"/>
      <c r="I185" s="211">
        <v>401.96</v>
      </c>
      <c r="J185" s="326"/>
      <c r="K185" s="349"/>
      <c r="L185" s="210"/>
      <c r="M185" s="210"/>
      <c r="N185" s="210"/>
      <c r="O185" s="210"/>
    </row>
    <row r="186" spans="2:15">
      <c r="B186" s="213" t="s">
        <v>217</v>
      </c>
      <c r="C186" s="256">
        <v>44741</v>
      </c>
      <c r="D186" s="210">
        <v>1328</v>
      </c>
      <c r="E186" s="213" t="s">
        <v>12</v>
      </c>
      <c r="F186" s="213" t="s">
        <v>166</v>
      </c>
      <c r="G186" s="210">
        <v>966707</v>
      </c>
      <c r="H186" s="326"/>
      <c r="I186" s="211">
        <v>407.56</v>
      </c>
      <c r="J186" s="326"/>
      <c r="K186" s="349"/>
      <c r="L186" s="210"/>
      <c r="M186" s="210"/>
      <c r="N186" s="210"/>
      <c r="O186" s="210"/>
    </row>
    <row r="187" spans="2:15">
      <c r="B187" s="213" t="s">
        <v>217</v>
      </c>
      <c r="C187" s="256">
        <v>44741</v>
      </c>
      <c r="D187" s="210">
        <v>1328</v>
      </c>
      <c r="E187" s="213" t="s">
        <v>12</v>
      </c>
      <c r="F187" s="213" t="s">
        <v>165</v>
      </c>
      <c r="G187" s="210">
        <v>954989</v>
      </c>
      <c r="H187" s="326"/>
      <c r="I187" s="211">
        <v>240.73</v>
      </c>
      <c r="J187" s="326"/>
      <c r="K187" s="349"/>
      <c r="L187" s="210"/>
      <c r="M187" s="210"/>
      <c r="N187" s="210"/>
      <c r="O187" s="210"/>
    </row>
    <row r="188" spans="2:15">
      <c r="B188" s="213" t="s">
        <v>217</v>
      </c>
      <c r="C188" s="256">
        <v>44741</v>
      </c>
      <c r="D188" s="210">
        <v>1328</v>
      </c>
      <c r="E188" s="213" t="s">
        <v>12</v>
      </c>
      <c r="F188" s="213" t="s">
        <v>145</v>
      </c>
      <c r="G188" s="210">
        <v>698592</v>
      </c>
      <c r="H188" s="326"/>
      <c r="I188" s="211">
        <v>329.64</v>
      </c>
      <c r="J188" s="326"/>
      <c r="K188" s="349"/>
      <c r="L188" s="210"/>
      <c r="M188" s="210"/>
      <c r="N188" s="210"/>
      <c r="O188" s="210"/>
    </row>
    <row r="189" spans="2:15">
      <c r="B189" s="213" t="s">
        <v>217</v>
      </c>
      <c r="C189" s="256">
        <v>44741</v>
      </c>
      <c r="D189" s="210">
        <v>1328</v>
      </c>
      <c r="E189" s="213" t="s">
        <v>12</v>
      </c>
      <c r="F189" s="213" t="s">
        <v>186</v>
      </c>
      <c r="G189" s="210">
        <v>958708</v>
      </c>
      <c r="H189" s="326"/>
      <c r="I189" s="211"/>
      <c r="J189" s="326"/>
      <c r="K189" s="349"/>
      <c r="L189" s="210"/>
      <c r="M189" s="210"/>
      <c r="N189" s="210"/>
      <c r="O189" s="210"/>
    </row>
    <row r="190" spans="2:15">
      <c r="B190" s="213" t="s">
        <v>217</v>
      </c>
      <c r="C190" s="256">
        <v>44741</v>
      </c>
      <c r="D190" s="210">
        <v>1328</v>
      </c>
      <c r="E190" s="213" t="s">
        <v>12</v>
      </c>
      <c r="F190" s="213" t="s">
        <v>314</v>
      </c>
      <c r="G190" s="210">
        <v>968624</v>
      </c>
      <c r="H190" s="326"/>
      <c r="I190" s="211">
        <v>15.49</v>
      </c>
      <c r="J190" s="326"/>
      <c r="K190" s="349"/>
      <c r="L190" s="210"/>
      <c r="M190" s="210"/>
      <c r="N190" s="210"/>
      <c r="O190" s="210"/>
    </row>
    <row r="191" spans="2:15">
      <c r="B191" s="213" t="s">
        <v>217</v>
      </c>
      <c r="C191" s="256">
        <v>44741</v>
      </c>
      <c r="D191" s="210">
        <v>1328</v>
      </c>
      <c r="E191" s="213" t="s">
        <v>12</v>
      </c>
      <c r="F191" s="213" t="s">
        <v>167</v>
      </c>
      <c r="G191" s="210">
        <v>953023</v>
      </c>
      <c r="H191" s="326"/>
      <c r="I191" s="211">
        <v>36.67</v>
      </c>
      <c r="J191" s="326"/>
      <c r="K191" s="349"/>
      <c r="L191" s="210"/>
      <c r="M191" s="210"/>
      <c r="N191" s="210"/>
      <c r="O191" s="210"/>
    </row>
    <row r="192" spans="2:15">
      <c r="B192" s="213" t="s">
        <v>217</v>
      </c>
      <c r="C192" s="256">
        <v>44741</v>
      </c>
      <c r="D192" s="210">
        <v>1328</v>
      </c>
      <c r="E192" s="213" t="s">
        <v>12</v>
      </c>
      <c r="F192" s="213" t="s">
        <v>183</v>
      </c>
      <c r="G192" s="210">
        <v>966095</v>
      </c>
      <c r="H192" s="326"/>
      <c r="I192" s="211">
        <v>67.180000000000007</v>
      </c>
      <c r="J192" s="326"/>
      <c r="K192" s="349"/>
      <c r="L192" s="210"/>
      <c r="M192" s="210"/>
      <c r="N192" s="210"/>
      <c r="O192" s="210"/>
    </row>
    <row r="193" spans="2:15">
      <c r="B193" s="213" t="s">
        <v>217</v>
      </c>
      <c r="C193" s="256">
        <v>44741</v>
      </c>
      <c r="D193" s="210">
        <v>1328</v>
      </c>
      <c r="E193" s="213" t="s">
        <v>12</v>
      </c>
      <c r="F193" s="213" t="s">
        <v>168</v>
      </c>
      <c r="G193" s="210">
        <v>956427</v>
      </c>
      <c r="H193" s="326"/>
      <c r="I193" s="211">
        <v>400.41</v>
      </c>
      <c r="J193" s="326"/>
      <c r="K193" s="349"/>
      <c r="L193" s="210"/>
      <c r="M193" s="210"/>
      <c r="N193" s="210"/>
      <c r="O193" s="210"/>
    </row>
    <row r="194" spans="2:15">
      <c r="B194" s="213" t="s">
        <v>217</v>
      </c>
      <c r="C194" s="256">
        <v>44741</v>
      </c>
      <c r="D194" s="210">
        <v>1328</v>
      </c>
      <c r="E194" s="213" t="s">
        <v>12</v>
      </c>
      <c r="F194" s="213" t="s">
        <v>169</v>
      </c>
      <c r="G194" s="210">
        <v>950875</v>
      </c>
      <c r="H194" s="327"/>
      <c r="I194" s="211">
        <v>281.25</v>
      </c>
      <c r="J194" s="327"/>
      <c r="K194" s="350"/>
      <c r="L194" s="210"/>
      <c r="M194" s="210"/>
      <c r="N194" s="210"/>
      <c r="O194" s="210"/>
    </row>
    <row r="195" spans="2:15">
      <c r="B195" s="213" t="s">
        <v>217</v>
      </c>
      <c r="C195" s="256">
        <v>44746</v>
      </c>
      <c r="D195" s="210">
        <v>1345</v>
      </c>
      <c r="E195" s="213" t="s">
        <v>11</v>
      </c>
      <c r="F195" s="213" t="s">
        <v>182</v>
      </c>
      <c r="G195" s="210">
        <v>955947</v>
      </c>
      <c r="H195" s="351">
        <v>500</v>
      </c>
      <c r="I195" s="211"/>
      <c r="J195" s="351">
        <f>H195-(I195+I196+I197+I198)</f>
        <v>-13.567000000000007</v>
      </c>
      <c r="K195" s="354">
        <f>(I195+I196+I197+I198)/H195</f>
        <v>1.027134</v>
      </c>
      <c r="L195" s="210"/>
      <c r="M195" s="210"/>
      <c r="N195" s="210"/>
      <c r="O195" s="210"/>
    </row>
    <row r="196" spans="2:15">
      <c r="B196" s="213" t="s">
        <v>217</v>
      </c>
      <c r="C196" s="256">
        <v>44746</v>
      </c>
      <c r="D196" s="210">
        <v>1345</v>
      </c>
      <c r="E196" s="213" t="s">
        <v>11</v>
      </c>
      <c r="F196" s="213" t="s">
        <v>170</v>
      </c>
      <c r="G196" s="210">
        <v>913444</v>
      </c>
      <c r="H196" s="326"/>
      <c r="I196" s="211"/>
      <c r="J196" s="326"/>
      <c r="K196" s="349"/>
      <c r="L196" s="210"/>
      <c r="M196" s="210"/>
      <c r="N196" s="210"/>
      <c r="O196" s="210"/>
    </row>
    <row r="197" spans="2:15">
      <c r="B197" s="213" t="s">
        <v>217</v>
      </c>
      <c r="C197" s="256">
        <v>44746</v>
      </c>
      <c r="D197" s="210">
        <v>1345</v>
      </c>
      <c r="E197" s="213" t="s">
        <v>11</v>
      </c>
      <c r="F197" s="213" t="s">
        <v>291</v>
      </c>
      <c r="G197" s="210">
        <v>969394</v>
      </c>
      <c r="H197" s="326"/>
      <c r="I197" s="211">
        <v>393.82</v>
      </c>
      <c r="J197" s="326"/>
      <c r="K197" s="349"/>
      <c r="L197" s="210"/>
      <c r="M197" s="210"/>
      <c r="N197" s="210"/>
      <c r="O197" s="210"/>
    </row>
    <row r="198" spans="2:15">
      <c r="B198" s="213" t="s">
        <v>217</v>
      </c>
      <c r="C198" s="256">
        <v>44746</v>
      </c>
      <c r="D198" s="210">
        <v>1345</v>
      </c>
      <c r="E198" s="213" t="s">
        <v>11</v>
      </c>
      <c r="F198" s="213" t="s">
        <v>312</v>
      </c>
      <c r="G198" s="210">
        <v>968796</v>
      </c>
      <c r="H198" s="327"/>
      <c r="I198" s="211">
        <v>119.747</v>
      </c>
      <c r="J198" s="327"/>
      <c r="K198" s="350"/>
      <c r="L198" s="210"/>
      <c r="M198" s="210"/>
      <c r="N198" s="210"/>
      <c r="O198" s="210"/>
    </row>
    <row r="199" spans="2:15">
      <c r="B199" s="213" t="s">
        <v>217</v>
      </c>
      <c r="C199" s="256">
        <v>44746</v>
      </c>
      <c r="D199" s="210">
        <v>1345</v>
      </c>
      <c r="E199" s="213" t="s">
        <v>11</v>
      </c>
      <c r="F199" s="213" t="s">
        <v>175</v>
      </c>
      <c r="G199" s="210">
        <v>963710</v>
      </c>
      <c r="H199" s="351">
        <v>512.04399999999998</v>
      </c>
      <c r="I199" s="211"/>
      <c r="J199" s="351">
        <f>H199-(I199+I200+I201+I202)</f>
        <v>512.04399999999998</v>
      </c>
      <c r="K199" s="354">
        <f>(I199+I200+I201+I202)/H199</f>
        <v>0</v>
      </c>
      <c r="L199" s="210"/>
      <c r="M199" s="210"/>
      <c r="N199" s="210"/>
      <c r="O199" s="210"/>
    </row>
    <row r="200" spans="2:15">
      <c r="B200" s="213" t="s">
        <v>217</v>
      </c>
      <c r="C200" s="256">
        <v>44746</v>
      </c>
      <c r="D200" s="210">
        <v>1345</v>
      </c>
      <c r="E200" s="213" t="s">
        <v>11</v>
      </c>
      <c r="F200" s="213" t="s">
        <v>180</v>
      </c>
      <c r="G200" s="210">
        <v>955847</v>
      </c>
      <c r="H200" s="326"/>
      <c r="I200" s="211"/>
      <c r="J200" s="326"/>
      <c r="K200" s="349"/>
      <c r="L200" s="210"/>
      <c r="M200" s="210"/>
      <c r="N200" s="210"/>
      <c r="O200" s="210"/>
    </row>
    <row r="201" spans="2:15">
      <c r="B201" s="213" t="s">
        <v>217</v>
      </c>
      <c r="C201" s="256">
        <v>44746</v>
      </c>
      <c r="D201" s="210">
        <v>1345</v>
      </c>
      <c r="E201" s="213" t="s">
        <v>11</v>
      </c>
      <c r="F201" s="213" t="s">
        <v>192</v>
      </c>
      <c r="G201" s="210">
        <v>969269</v>
      </c>
      <c r="H201" s="326"/>
      <c r="I201" s="211"/>
      <c r="J201" s="326"/>
      <c r="K201" s="349"/>
      <c r="L201" s="210"/>
      <c r="M201" s="210"/>
      <c r="N201" s="210"/>
      <c r="O201" s="210"/>
    </row>
    <row r="202" spans="2:15">
      <c r="B202" s="213" t="s">
        <v>217</v>
      </c>
      <c r="C202" s="256">
        <v>44746</v>
      </c>
      <c r="D202" s="210">
        <v>1345</v>
      </c>
      <c r="E202" s="213" t="s">
        <v>11</v>
      </c>
      <c r="F202" s="213" t="s">
        <v>178</v>
      </c>
      <c r="G202" s="210">
        <v>967677</v>
      </c>
      <c r="H202" s="327"/>
      <c r="I202" s="211"/>
      <c r="J202" s="327"/>
      <c r="K202" s="350"/>
      <c r="L202" s="210"/>
      <c r="M202" s="210"/>
      <c r="N202" s="210"/>
      <c r="O202" s="210"/>
    </row>
    <row r="203" spans="2:15">
      <c r="B203" s="213" t="s">
        <v>217</v>
      </c>
      <c r="C203" s="256">
        <v>44746</v>
      </c>
      <c r="D203" s="210">
        <v>1353</v>
      </c>
      <c r="E203" s="213" t="s">
        <v>12</v>
      </c>
      <c r="F203" s="213" t="s">
        <v>162</v>
      </c>
      <c r="G203" s="210">
        <v>901588</v>
      </c>
      <c r="H203" s="371">
        <v>1430</v>
      </c>
      <c r="I203" s="211">
        <v>100.4</v>
      </c>
      <c r="J203" s="371">
        <f>H203-(SUM(I203:I217))</f>
        <v>9.9999999999909051E-3</v>
      </c>
      <c r="K203" s="372">
        <f>(SUM(I203:I217))/H203</f>
        <v>0.99999300699300697</v>
      </c>
      <c r="L203" s="210"/>
      <c r="M203" s="210"/>
      <c r="N203" s="210"/>
      <c r="O203" s="210"/>
    </row>
    <row r="204" spans="2:15">
      <c r="B204" s="213" t="s">
        <v>217</v>
      </c>
      <c r="C204" s="256">
        <v>44746</v>
      </c>
      <c r="D204" s="210">
        <v>1353</v>
      </c>
      <c r="E204" s="213" t="s">
        <v>12</v>
      </c>
      <c r="F204" s="213" t="s">
        <v>184</v>
      </c>
      <c r="G204" s="210">
        <v>966397</v>
      </c>
      <c r="H204" s="326"/>
      <c r="I204" s="211">
        <v>83.23</v>
      </c>
      <c r="J204" s="326"/>
      <c r="K204" s="349"/>
      <c r="L204" s="210"/>
      <c r="M204" s="210"/>
      <c r="N204" s="210"/>
      <c r="O204" s="210"/>
    </row>
    <row r="205" spans="2:15">
      <c r="B205" s="213" t="s">
        <v>217</v>
      </c>
      <c r="C205" s="256">
        <v>44746</v>
      </c>
      <c r="D205" s="210">
        <v>1353</v>
      </c>
      <c r="E205" s="213" t="s">
        <v>12</v>
      </c>
      <c r="F205" s="213" t="s">
        <v>146</v>
      </c>
      <c r="G205" s="210">
        <v>964933</v>
      </c>
      <c r="H205" s="326"/>
      <c r="I205" s="211">
        <v>158.31</v>
      </c>
      <c r="J205" s="326"/>
      <c r="K205" s="349"/>
      <c r="L205" s="210"/>
      <c r="M205" s="210"/>
      <c r="N205" s="210"/>
      <c r="O205" s="210"/>
    </row>
    <row r="206" spans="2:15">
      <c r="B206" s="213" t="s">
        <v>217</v>
      </c>
      <c r="C206" s="256">
        <v>44746</v>
      </c>
      <c r="D206" s="210">
        <v>1353</v>
      </c>
      <c r="E206" s="213" t="s">
        <v>12</v>
      </c>
      <c r="F206" s="213" t="s">
        <v>185</v>
      </c>
      <c r="G206" s="210">
        <v>960563</v>
      </c>
      <c r="H206" s="326"/>
      <c r="I206" s="211">
        <v>185.96</v>
      </c>
      <c r="J206" s="326"/>
      <c r="K206" s="349"/>
      <c r="L206" s="210"/>
      <c r="M206" s="210"/>
      <c r="N206" s="210"/>
      <c r="O206" s="210"/>
    </row>
    <row r="207" spans="2:15">
      <c r="B207" s="213" t="s">
        <v>217</v>
      </c>
      <c r="C207" s="256">
        <v>44746</v>
      </c>
      <c r="D207" s="210">
        <v>1353</v>
      </c>
      <c r="E207" s="213" t="s">
        <v>12</v>
      </c>
      <c r="F207" s="213" t="s">
        <v>163</v>
      </c>
      <c r="G207" s="210">
        <v>960673</v>
      </c>
      <c r="H207" s="326"/>
      <c r="I207" s="211"/>
      <c r="J207" s="326"/>
      <c r="K207" s="349"/>
      <c r="L207" s="210"/>
      <c r="M207" s="210"/>
      <c r="N207" s="210"/>
      <c r="O207" s="210"/>
    </row>
    <row r="208" spans="2:15">
      <c r="B208" s="213" t="s">
        <v>217</v>
      </c>
      <c r="C208" s="256">
        <v>44746</v>
      </c>
      <c r="D208" s="210">
        <v>1353</v>
      </c>
      <c r="E208" s="213" t="s">
        <v>12</v>
      </c>
      <c r="F208" s="213" t="s">
        <v>164</v>
      </c>
      <c r="G208" s="210">
        <v>923266</v>
      </c>
      <c r="H208" s="326"/>
      <c r="I208" s="211">
        <v>1.31</v>
      </c>
      <c r="J208" s="326"/>
      <c r="K208" s="349"/>
      <c r="L208" s="210"/>
      <c r="M208" s="210"/>
      <c r="N208" s="210"/>
      <c r="O208" s="210"/>
    </row>
    <row r="209" spans="2:15">
      <c r="B209" s="213" t="s">
        <v>217</v>
      </c>
      <c r="C209" s="256">
        <v>44746</v>
      </c>
      <c r="D209" s="210">
        <v>1353</v>
      </c>
      <c r="E209" s="213" t="s">
        <v>12</v>
      </c>
      <c r="F209" s="213" t="s">
        <v>166</v>
      </c>
      <c r="G209" s="210">
        <v>966707</v>
      </c>
      <c r="H209" s="326"/>
      <c r="I209" s="211">
        <v>157.65</v>
      </c>
      <c r="J209" s="326"/>
      <c r="K209" s="349"/>
      <c r="L209" s="210"/>
      <c r="M209" s="210"/>
      <c r="N209" s="210"/>
      <c r="O209" s="210"/>
    </row>
    <row r="210" spans="2:15">
      <c r="B210" s="213" t="s">
        <v>217</v>
      </c>
      <c r="C210" s="256">
        <v>44746</v>
      </c>
      <c r="D210" s="210">
        <v>1353</v>
      </c>
      <c r="E210" s="213" t="s">
        <v>12</v>
      </c>
      <c r="F210" s="213" t="s">
        <v>165</v>
      </c>
      <c r="G210" s="210">
        <v>954989</v>
      </c>
      <c r="H210" s="326"/>
      <c r="I210" s="211">
        <v>147.51</v>
      </c>
      <c r="J210" s="326"/>
      <c r="K210" s="349"/>
      <c r="L210" s="210"/>
      <c r="M210" s="210"/>
      <c r="N210" s="210"/>
      <c r="O210" s="210"/>
    </row>
    <row r="211" spans="2:15">
      <c r="B211" s="213" t="s">
        <v>217</v>
      </c>
      <c r="C211" s="256">
        <v>44746</v>
      </c>
      <c r="D211" s="210">
        <v>1353</v>
      </c>
      <c r="E211" s="213" t="s">
        <v>12</v>
      </c>
      <c r="F211" s="213" t="s">
        <v>145</v>
      </c>
      <c r="G211" s="210">
        <v>698592</v>
      </c>
      <c r="H211" s="326"/>
      <c r="I211" s="211">
        <v>154.18</v>
      </c>
      <c r="J211" s="326"/>
      <c r="K211" s="349"/>
      <c r="L211" s="210"/>
      <c r="M211" s="210"/>
      <c r="N211" s="210"/>
      <c r="O211" s="210"/>
    </row>
    <row r="212" spans="2:15">
      <c r="B212" s="213" t="s">
        <v>217</v>
      </c>
      <c r="C212" s="256">
        <v>44746</v>
      </c>
      <c r="D212" s="210">
        <v>1353</v>
      </c>
      <c r="E212" s="213" t="s">
        <v>12</v>
      </c>
      <c r="F212" s="213" t="s">
        <v>186</v>
      </c>
      <c r="G212" s="210">
        <v>958708</v>
      </c>
      <c r="H212" s="326"/>
      <c r="I212" s="211"/>
      <c r="J212" s="326"/>
      <c r="K212" s="349"/>
      <c r="L212" s="210"/>
      <c r="M212" s="210"/>
      <c r="N212" s="210"/>
      <c r="O212" s="210"/>
    </row>
    <row r="213" spans="2:15">
      <c r="B213" s="213" t="s">
        <v>217</v>
      </c>
      <c r="C213" s="256">
        <v>44746</v>
      </c>
      <c r="D213" s="210">
        <v>1353</v>
      </c>
      <c r="E213" s="213" t="s">
        <v>12</v>
      </c>
      <c r="F213" s="213" t="s">
        <v>314</v>
      </c>
      <c r="G213" s="210">
        <v>968624</v>
      </c>
      <c r="H213" s="326"/>
      <c r="I213" s="211"/>
      <c r="J213" s="326"/>
      <c r="K213" s="349"/>
      <c r="L213" s="210"/>
      <c r="M213" s="210"/>
      <c r="N213" s="210"/>
      <c r="O213" s="210"/>
    </row>
    <row r="214" spans="2:15">
      <c r="B214" s="213" t="s">
        <v>217</v>
      </c>
      <c r="C214" s="256">
        <v>44746</v>
      </c>
      <c r="D214" s="210">
        <v>1353</v>
      </c>
      <c r="E214" s="213" t="s">
        <v>12</v>
      </c>
      <c r="F214" s="213" t="s">
        <v>167</v>
      </c>
      <c r="G214" s="210">
        <v>953023</v>
      </c>
      <c r="H214" s="326"/>
      <c r="I214" s="211">
        <v>64.819999999999993</v>
      </c>
      <c r="J214" s="326"/>
      <c r="K214" s="349"/>
      <c r="L214" s="210"/>
      <c r="M214" s="210"/>
      <c r="N214" s="210"/>
      <c r="O214" s="210"/>
    </row>
    <row r="215" spans="2:15">
      <c r="B215" s="213" t="s">
        <v>217</v>
      </c>
      <c r="C215" s="256">
        <v>44746</v>
      </c>
      <c r="D215" s="210">
        <v>1353</v>
      </c>
      <c r="E215" s="213" t="s">
        <v>12</v>
      </c>
      <c r="F215" s="213" t="s">
        <v>183</v>
      </c>
      <c r="G215" s="210">
        <v>966095</v>
      </c>
      <c r="H215" s="326"/>
      <c r="I215" s="211">
        <v>83.21</v>
      </c>
      <c r="J215" s="326"/>
      <c r="K215" s="349"/>
      <c r="L215" s="210"/>
      <c r="M215" s="210"/>
      <c r="N215" s="210"/>
      <c r="O215" s="210"/>
    </row>
    <row r="216" spans="2:15">
      <c r="B216" s="213" t="s">
        <v>217</v>
      </c>
      <c r="C216" s="256">
        <v>44746</v>
      </c>
      <c r="D216" s="210">
        <v>1353</v>
      </c>
      <c r="E216" s="213" t="s">
        <v>12</v>
      </c>
      <c r="F216" s="213" t="s">
        <v>168</v>
      </c>
      <c r="G216" s="210">
        <v>956427</v>
      </c>
      <c r="H216" s="326"/>
      <c r="I216" s="211">
        <v>183.19</v>
      </c>
      <c r="J216" s="326"/>
      <c r="K216" s="349"/>
      <c r="L216" s="210"/>
      <c r="M216" s="210"/>
      <c r="N216" s="210"/>
      <c r="O216" s="210"/>
    </row>
    <row r="217" spans="2:15">
      <c r="B217" s="213" t="s">
        <v>217</v>
      </c>
      <c r="C217" s="256">
        <v>44746</v>
      </c>
      <c r="D217" s="210">
        <v>1353</v>
      </c>
      <c r="E217" s="213" t="s">
        <v>12</v>
      </c>
      <c r="F217" s="213" t="s">
        <v>169</v>
      </c>
      <c r="G217" s="210">
        <v>950875</v>
      </c>
      <c r="H217" s="327"/>
      <c r="I217" s="211">
        <v>110.22</v>
      </c>
      <c r="J217" s="327"/>
      <c r="K217" s="350"/>
      <c r="L217" s="210"/>
      <c r="M217" s="210"/>
      <c r="N217" s="210"/>
      <c r="O217" s="210"/>
    </row>
    <row r="218" spans="2:15">
      <c r="B218" s="213" t="s">
        <v>284</v>
      </c>
      <c r="C218" s="256">
        <v>44750</v>
      </c>
      <c r="D218" s="210">
        <v>1402</v>
      </c>
      <c r="E218" s="213" t="s">
        <v>288</v>
      </c>
      <c r="F218" s="213" t="s">
        <v>219</v>
      </c>
      <c r="G218" s="210">
        <v>956794</v>
      </c>
      <c r="H218" s="210">
        <v>4000</v>
      </c>
      <c r="I218" s="211">
        <v>1765.0159999999998</v>
      </c>
      <c r="J218" s="210">
        <f>H218-I218</f>
        <v>2234.9840000000004</v>
      </c>
      <c r="K218" s="257">
        <f>I218/H218</f>
        <v>0.44125399999999998</v>
      </c>
      <c r="L218" s="210"/>
      <c r="M218" s="210"/>
      <c r="N218" s="210"/>
      <c r="O218" s="210"/>
    </row>
    <row r="219" spans="2:15">
      <c r="B219" s="213" t="s">
        <v>284</v>
      </c>
      <c r="C219" s="256">
        <v>44750</v>
      </c>
      <c r="D219" s="210">
        <v>1403</v>
      </c>
      <c r="E219" s="213" t="s">
        <v>288</v>
      </c>
      <c r="F219" s="213" t="s">
        <v>289</v>
      </c>
      <c r="G219" s="210">
        <v>967665</v>
      </c>
      <c r="H219" s="210">
        <v>2000</v>
      </c>
      <c r="I219" s="211">
        <f>1161.054+11.292</f>
        <v>1172.346</v>
      </c>
      <c r="J219" s="210">
        <f>H219-I219</f>
        <v>827.654</v>
      </c>
      <c r="K219" s="257">
        <f>I219/H219</f>
        <v>0.58617300000000006</v>
      </c>
      <c r="L219" s="210"/>
      <c r="M219" s="210"/>
      <c r="N219" s="210"/>
      <c r="O219" s="210"/>
    </row>
    <row r="220" spans="2:15">
      <c r="B220" s="213" t="s">
        <v>217</v>
      </c>
      <c r="C220" s="256">
        <v>44757</v>
      </c>
      <c r="D220" s="210">
        <v>1440</v>
      </c>
      <c r="E220" s="213" t="s">
        <v>11</v>
      </c>
      <c r="F220" s="213" t="s">
        <v>175</v>
      </c>
      <c r="G220" s="210">
        <v>963710</v>
      </c>
      <c r="H220" s="351">
        <v>240</v>
      </c>
      <c r="I220" s="211"/>
      <c r="J220" s="351">
        <f>H220-(I220+I221+I222+I223)</f>
        <v>240</v>
      </c>
      <c r="K220" s="354">
        <f>(I220+I221+I222+I223)/H220</f>
        <v>0</v>
      </c>
      <c r="L220" s="210"/>
      <c r="M220" s="210"/>
      <c r="N220" s="210"/>
      <c r="O220" s="210"/>
    </row>
    <row r="221" spans="2:15">
      <c r="B221" s="213" t="s">
        <v>217</v>
      </c>
      <c r="C221" s="256">
        <v>44757</v>
      </c>
      <c r="D221" s="210">
        <v>1440</v>
      </c>
      <c r="E221" s="213" t="s">
        <v>11</v>
      </c>
      <c r="F221" s="213" t="s">
        <v>178</v>
      </c>
      <c r="G221" s="210">
        <v>967677</v>
      </c>
      <c r="H221" s="326"/>
      <c r="I221" s="293"/>
      <c r="J221" s="326"/>
      <c r="K221" s="349"/>
      <c r="L221" s="292"/>
      <c r="M221" s="292"/>
      <c r="N221" s="292"/>
      <c r="O221" s="292"/>
    </row>
    <row r="222" spans="2:15">
      <c r="B222" s="213" t="s">
        <v>217</v>
      </c>
      <c r="C222" s="256">
        <v>44757</v>
      </c>
      <c r="D222" s="210">
        <v>1440</v>
      </c>
      <c r="E222" s="213" t="s">
        <v>11</v>
      </c>
      <c r="F222" s="213" t="s">
        <v>291</v>
      </c>
      <c r="G222" s="292">
        <v>969394</v>
      </c>
      <c r="H222" s="326"/>
      <c r="I222" s="293"/>
      <c r="J222" s="326"/>
      <c r="K222" s="349"/>
      <c r="L222" s="292"/>
      <c r="M222" s="292"/>
      <c r="N222" s="292"/>
      <c r="O222" s="292"/>
    </row>
    <row r="223" spans="2:15">
      <c r="B223" s="213" t="s">
        <v>217</v>
      </c>
      <c r="C223" s="256">
        <v>44757</v>
      </c>
      <c r="D223" s="210">
        <v>1440</v>
      </c>
      <c r="E223" s="213" t="s">
        <v>11</v>
      </c>
      <c r="F223" s="213" t="s">
        <v>312</v>
      </c>
      <c r="G223" s="210">
        <v>968796</v>
      </c>
      <c r="H223" s="327"/>
      <c r="I223" s="211"/>
      <c r="J223" s="327"/>
      <c r="K223" s="350"/>
      <c r="L223" s="210"/>
      <c r="M223" s="210"/>
      <c r="N223" s="210"/>
      <c r="O223" s="210"/>
    </row>
    <row r="224" spans="2:15">
      <c r="B224" s="213" t="s">
        <v>217</v>
      </c>
      <c r="C224" s="256">
        <v>44757</v>
      </c>
      <c r="D224" s="210">
        <v>1441</v>
      </c>
      <c r="E224" s="213" t="s">
        <v>11</v>
      </c>
      <c r="F224" s="213" t="s">
        <v>208</v>
      </c>
      <c r="G224" s="210">
        <v>961267</v>
      </c>
      <c r="H224" s="347">
        <v>294.423</v>
      </c>
      <c r="I224" s="211"/>
      <c r="J224" s="347">
        <f>H224-(I224+I225+I226+I227+I228)</f>
        <v>294.423</v>
      </c>
      <c r="K224" s="348">
        <f>(I224+I225+I226+I227+I228)/H224</f>
        <v>0</v>
      </c>
      <c r="L224" s="210"/>
      <c r="M224" s="210"/>
      <c r="N224" s="210"/>
      <c r="O224" s="210"/>
    </row>
    <row r="225" spans="2:15">
      <c r="B225" s="213" t="s">
        <v>217</v>
      </c>
      <c r="C225" s="256">
        <v>44757</v>
      </c>
      <c r="D225" s="210">
        <v>1441</v>
      </c>
      <c r="E225" s="213" t="s">
        <v>11</v>
      </c>
      <c r="F225" s="213" t="s">
        <v>192</v>
      </c>
      <c r="G225" s="210">
        <v>969269</v>
      </c>
      <c r="H225" s="326"/>
      <c r="I225" s="211"/>
      <c r="J225" s="326"/>
      <c r="K225" s="349"/>
      <c r="L225" s="210"/>
      <c r="M225" s="210"/>
      <c r="N225" s="210"/>
      <c r="O225" s="210"/>
    </row>
    <row r="226" spans="2:15">
      <c r="B226" s="213" t="s">
        <v>217</v>
      </c>
      <c r="C226" s="256">
        <v>44757</v>
      </c>
      <c r="D226" s="210">
        <v>1441</v>
      </c>
      <c r="E226" s="213" t="s">
        <v>11</v>
      </c>
      <c r="F226" s="213" t="s">
        <v>176</v>
      </c>
      <c r="G226" s="210">
        <v>698955</v>
      </c>
      <c r="H226" s="326"/>
      <c r="I226" s="293"/>
      <c r="J226" s="326"/>
      <c r="K226" s="349"/>
      <c r="L226" s="292"/>
      <c r="M226" s="292"/>
      <c r="N226" s="292"/>
      <c r="O226" s="292"/>
    </row>
    <row r="227" spans="2:15">
      <c r="B227" s="213" t="s">
        <v>217</v>
      </c>
      <c r="C227" s="256">
        <v>44757</v>
      </c>
      <c r="D227" s="210">
        <v>1441</v>
      </c>
      <c r="E227" s="213" t="s">
        <v>11</v>
      </c>
      <c r="F227" s="213" t="s">
        <v>329</v>
      </c>
      <c r="G227" s="210">
        <v>699495</v>
      </c>
      <c r="H227" s="326"/>
      <c r="I227" s="293"/>
      <c r="J227" s="326"/>
      <c r="K227" s="349"/>
      <c r="L227" s="292"/>
      <c r="M227" s="292"/>
      <c r="N227" s="292"/>
      <c r="O227" s="292"/>
    </row>
    <row r="228" spans="2:15">
      <c r="B228" s="213" t="s">
        <v>217</v>
      </c>
      <c r="C228" s="256">
        <v>44757</v>
      </c>
      <c r="D228" s="210">
        <v>1441</v>
      </c>
      <c r="E228" s="213" t="s">
        <v>11</v>
      </c>
      <c r="F228" s="213" t="s">
        <v>330</v>
      </c>
      <c r="G228" s="210">
        <v>697575</v>
      </c>
      <c r="H228" s="327"/>
      <c r="I228" s="211"/>
      <c r="J228" s="327"/>
      <c r="K228" s="350"/>
      <c r="L228" s="210"/>
      <c r="M228" s="210"/>
      <c r="N228" s="210"/>
      <c r="O228" s="210"/>
    </row>
    <row r="229" spans="2:15">
      <c r="B229" s="213" t="s">
        <v>217</v>
      </c>
      <c r="C229" s="256">
        <v>44757</v>
      </c>
      <c r="D229" s="210">
        <v>1443</v>
      </c>
      <c r="E229" s="213" t="s">
        <v>11</v>
      </c>
      <c r="F229" s="213" t="s">
        <v>174</v>
      </c>
      <c r="G229" s="210">
        <v>951110</v>
      </c>
      <c r="H229" s="351">
        <v>268.82100000000003</v>
      </c>
      <c r="I229" s="211"/>
      <c r="J229" s="351">
        <f>H229-(I229+I230+I231+I232)</f>
        <v>268.82100000000003</v>
      </c>
      <c r="K229" s="354">
        <f>(I229+I230+I231+I232)/H229</f>
        <v>0</v>
      </c>
      <c r="L229" s="210"/>
      <c r="M229" s="210"/>
      <c r="N229" s="210"/>
      <c r="O229" s="210"/>
    </row>
    <row r="230" spans="2:15">
      <c r="B230" s="213" t="s">
        <v>217</v>
      </c>
      <c r="C230" s="256">
        <v>44757</v>
      </c>
      <c r="D230" s="210">
        <v>1443</v>
      </c>
      <c r="E230" s="213" t="s">
        <v>11</v>
      </c>
      <c r="F230" s="213" t="s">
        <v>175</v>
      </c>
      <c r="G230" s="210">
        <v>963710</v>
      </c>
      <c r="H230" s="326"/>
      <c r="I230" s="293"/>
      <c r="J230" s="326"/>
      <c r="K230" s="349"/>
      <c r="L230" s="292"/>
      <c r="M230" s="292"/>
      <c r="N230" s="292"/>
      <c r="O230" s="292"/>
    </row>
    <row r="231" spans="2:15">
      <c r="B231" s="213" t="s">
        <v>217</v>
      </c>
      <c r="C231" s="256">
        <v>44757</v>
      </c>
      <c r="D231" s="210">
        <v>1443</v>
      </c>
      <c r="E231" s="213" t="s">
        <v>11</v>
      </c>
      <c r="F231" s="213" t="s">
        <v>329</v>
      </c>
      <c r="G231" s="210">
        <v>699495</v>
      </c>
      <c r="H231" s="326"/>
      <c r="I231" s="293"/>
      <c r="J231" s="326"/>
      <c r="K231" s="349"/>
      <c r="L231" s="292"/>
      <c r="M231" s="292"/>
      <c r="N231" s="292"/>
      <c r="O231" s="292"/>
    </row>
    <row r="232" spans="2:15">
      <c r="B232" s="213" t="s">
        <v>217</v>
      </c>
      <c r="C232" s="256">
        <v>44757</v>
      </c>
      <c r="D232" s="210">
        <v>1443</v>
      </c>
      <c r="E232" s="213" t="s">
        <v>11</v>
      </c>
      <c r="F232" s="213" t="s">
        <v>312</v>
      </c>
      <c r="G232" s="210">
        <v>968796</v>
      </c>
      <c r="H232" s="327"/>
      <c r="I232" s="211"/>
      <c r="J232" s="327"/>
      <c r="K232" s="350"/>
      <c r="L232" s="210"/>
      <c r="M232" s="210"/>
      <c r="N232" s="210"/>
      <c r="O232" s="210"/>
    </row>
    <row r="233" spans="2:15">
      <c r="B233" s="213" t="s">
        <v>217</v>
      </c>
      <c r="C233" s="256">
        <v>44764</v>
      </c>
      <c r="D233" s="210">
        <v>1481</v>
      </c>
      <c r="E233" s="213" t="s">
        <v>12</v>
      </c>
      <c r="F233" s="213" t="s">
        <v>162</v>
      </c>
      <c r="G233" s="210">
        <v>901588</v>
      </c>
      <c r="H233" s="357">
        <v>692.95899999999995</v>
      </c>
      <c r="I233" s="211">
        <v>63.89</v>
      </c>
      <c r="J233" s="357">
        <f>H233-(SUM(I233:I244))</f>
        <v>559.84899999999993</v>
      </c>
      <c r="K233" s="375">
        <f>(SUM(I233:I244))/H233</f>
        <v>0.19208928666775382</v>
      </c>
      <c r="L233" s="210"/>
      <c r="M233" s="210"/>
      <c r="N233" s="210"/>
      <c r="O233" s="210"/>
    </row>
    <row r="234" spans="2:15">
      <c r="B234" s="213" t="s">
        <v>217</v>
      </c>
      <c r="C234" s="256">
        <v>44764</v>
      </c>
      <c r="D234" s="210">
        <v>1481</v>
      </c>
      <c r="E234" s="213" t="s">
        <v>12</v>
      </c>
      <c r="F234" s="213" t="s">
        <v>184</v>
      </c>
      <c r="G234" s="210">
        <v>966397</v>
      </c>
      <c r="H234" s="326"/>
      <c r="I234" s="211"/>
      <c r="J234" s="326"/>
      <c r="K234" s="349"/>
      <c r="L234" s="210"/>
      <c r="M234" s="210"/>
      <c r="N234" s="210"/>
      <c r="O234" s="210"/>
    </row>
    <row r="235" spans="2:15">
      <c r="B235" s="213" t="s">
        <v>217</v>
      </c>
      <c r="C235" s="256">
        <v>44764</v>
      </c>
      <c r="D235" s="210">
        <v>1481</v>
      </c>
      <c r="E235" s="213" t="s">
        <v>12</v>
      </c>
      <c r="F235" s="213" t="s">
        <v>146</v>
      </c>
      <c r="G235" s="210">
        <v>964933</v>
      </c>
      <c r="H235" s="326"/>
      <c r="I235" s="211"/>
      <c r="J235" s="326"/>
      <c r="K235" s="349"/>
      <c r="L235" s="210"/>
      <c r="M235" s="210"/>
      <c r="N235" s="210"/>
      <c r="O235" s="210"/>
    </row>
    <row r="236" spans="2:15">
      <c r="B236" s="213" t="s">
        <v>217</v>
      </c>
      <c r="C236" s="256">
        <v>44764</v>
      </c>
      <c r="D236" s="210">
        <v>1481</v>
      </c>
      <c r="E236" s="213" t="s">
        <v>12</v>
      </c>
      <c r="F236" s="213" t="s">
        <v>185</v>
      </c>
      <c r="G236" s="210">
        <v>960563</v>
      </c>
      <c r="H236" s="326"/>
      <c r="I236" s="211"/>
      <c r="J236" s="326"/>
      <c r="K236" s="349"/>
      <c r="L236" s="210"/>
      <c r="M236" s="210"/>
      <c r="N236" s="210"/>
      <c r="O236" s="210"/>
    </row>
    <row r="237" spans="2:15">
      <c r="B237" s="213" t="s">
        <v>217</v>
      </c>
      <c r="C237" s="256">
        <v>44764</v>
      </c>
      <c r="D237" s="210">
        <v>1481</v>
      </c>
      <c r="E237" s="213" t="s">
        <v>12</v>
      </c>
      <c r="F237" s="213" t="s">
        <v>163</v>
      </c>
      <c r="G237" s="210">
        <v>960673</v>
      </c>
      <c r="H237" s="326"/>
      <c r="I237" s="211"/>
      <c r="J237" s="326"/>
      <c r="K237" s="349"/>
      <c r="L237" s="210"/>
      <c r="M237" s="210"/>
      <c r="N237" s="210"/>
      <c r="O237" s="210"/>
    </row>
    <row r="238" spans="2:15">
      <c r="B238" s="213" t="s">
        <v>217</v>
      </c>
      <c r="C238" s="256">
        <v>44764</v>
      </c>
      <c r="D238" s="210">
        <v>1481</v>
      </c>
      <c r="E238" s="213" t="s">
        <v>12</v>
      </c>
      <c r="F238" s="213" t="s">
        <v>164</v>
      </c>
      <c r="G238" s="210">
        <v>923266</v>
      </c>
      <c r="H238" s="326"/>
      <c r="I238" s="211">
        <v>69.22</v>
      </c>
      <c r="J238" s="326"/>
      <c r="K238" s="349"/>
      <c r="L238" s="210"/>
      <c r="M238" s="210"/>
      <c r="N238" s="210"/>
      <c r="O238" s="210"/>
    </row>
    <row r="239" spans="2:15">
      <c r="B239" s="213" t="s">
        <v>217</v>
      </c>
      <c r="C239" s="256">
        <v>44764</v>
      </c>
      <c r="D239" s="210">
        <v>1481</v>
      </c>
      <c r="E239" s="213" t="s">
        <v>12</v>
      </c>
      <c r="F239" s="213" t="s">
        <v>166</v>
      </c>
      <c r="G239" s="210">
        <v>966707</v>
      </c>
      <c r="H239" s="326"/>
      <c r="I239" s="211"/>
      <c r="J239" s="326"/>
      <c r="K239" s="349"/>
      <c r="L239" s="210"/>
      <c r="M239" s="210"/>
      <c r="N239" s="210"/>
      <c r="O239" s="210"/>
    </row>
    <row r="240" spans="2:15">
      <c r="B240" s="213" t="s">
        <v>217</v>
      </c>
      <c r="C240" s="256">
        <v>44764</v>
      </c>
      <c r="D240" s="210">
        <v>1481</v>
      </c>
      <c r="E240" s="213" t="s">
        <v>12</v>
      </c>
      <c r="F240" s="213" t="s">
        <v>165</v>
      </c>
      <c r="G240" s="210">
        <v>954989</v>
      </c>
      <c r="H240" s="326"/>
      <c r="I240" s="211"/>
      <c r="J240" s="326"/>
      <c r="K240" s="349"/>
      <c r="L240" s="210"/>
      <c r="M240" s="210"/>
      <c r="N240" s="210"/>
      <c r="O240" s="210"/>
    </row>
    <row r="241" spans="2:15">
      <c r="B241" s="213" t="s">
        <v>217</v>
      </c>
      <c r="C241" s="256">
        <v>44764</v>
      </c>
      <c r="D241" s="210">
        <v>1481</v>
      </c>
      <c r="E241" s="213" t="s">
        <v>12</v>
      </c>
      <c r="F241" s="213" t="s">
        <v>145</v>
      </c>
      <c r="G241" s="210">
        <v>698592</v>
      </c>
      <c r="H241" s="326"/>
      <c r="I241" s="211"/>
      <c r="J241" s="326"/>
      <c r="K241" s="349"/>
      <c r="L241" s="210"/>
      <c r="M241" s="210"/>
      <c r="N241" s="210"/>
      <c r="O241" s="210"/>
    </row>
    <row r="242" spans="2:15">
      <c r="B242" s="213" t="s">
        <v>217</v>
      </c>
      <c r="C242" s="256">
        <v>44764</v>
      </c>
      <c r="D242" s="210">
        <v>1481</v>
      </c>
      <c r="E242" s="213" t="s">
        <v>12</v>
      </c>
      <c r="F242" s="213" t="s">
        <v>186</v>
      </c>
      <c r="G242" s="210">
        <v>958708</v>
      </c>
      <c r="H242" s="326"/>
      <c r="I242" s="211"/>
      <c r="J242" s="326"/>
      <c r="K242" s="349"/>
      <c r="L242" s="210"/>
      <c r="M242" s="210"/>
      <c r="N242" s="210"/>
      <c r="O242" s="210"/>
    </row>
    <row r="243" spans="2:15">
      <c r="B243" s="213" t="s">
        <v>217</v>
      </c>
      <c r="C243" s="256">
        <v>44764</v>
      </c>
      <c r="D243" s="210">
        <v>1481</v>
      </c>
      <c r="E243" s="213" t="s">
        <v>12</v>
      </c>
      <c r="F243" s="213" t="s">
        <v>168</v>
      </c>
      <c r="G243" s="210">
        <v>956427</v>
      </c>
      <c r="H243" s="326"/>
      <c r="I243" s="211"/>
      <c r="J243" s="326"/>
      <c r="K243" s="349"/>
      <c r="L243" s="210"/>
      <c r="M243" s="210"/>
      <c r="N243" s="210"/>
      <c r="O243" s="210"/>
    </row>
    <row r="244" spans="2:15">
      <c r="B244" s="213" t="s">
        <v>217</v>
      </c>
      <c r="C244" s="256">
        <v>44764</v>
      </c>
      <c r="D244" s="210">
        <v>1481</v>
      </c>
      <c r="E244" s="213" t="s">
        <v>12</v>
      </c>
      <c r="F244" s="213" t="s">
        <v>169</v>
      </c>
      <c r="G244" s="210">
        <v>950875</v>
      </c>
      <c r="H244" s="327"/>
      <c r="I244" s="211"/>
      <c r="J244" s="327"/>
      <c r="K244" s="350"/>
      <c r="L244" s="210"/>
      <c r="M244" s="210"/>
      <c r="N244" s="210"/>
      <c r="O244" s="210"/>
    </row>
    <row r="245" spans="2:15">
      <c r="B245" s="213" t="s">
        <v>217</v>
      </c>
      <c r="C245" s="256">
        <v>44771</v>
      </c>
      <c r="D245" s="210">
        <v>1517</v>
      </c>
      <c r="E245" s="213" t="s">
        <v>12</v>
      </c>
      <c r="F245" s="213" t="s">
        <v>148</v>
      </c>
      <c r="G245" s="210">
        <v>965267</v>
      </c>
      <c r="H245" s="355">
        <v>405</v>
      </c>
      <c r="I245" s="211">
        <v>63.11</v>
      </c>
      <c r="J245" s="355">
        <f>H245-(I245+I246+I247+I248+I249+I250)</f>
        <v>327.18</v>
      </c>
      <c r="K245" s="356">
        <f>(I245+I246+I247+I248+I249+I250)/H245</f>
        <v>0.19214814814814812</v>
      </c>
      <c r="L245" s="210"/>
      <c r="M245" s="210"/>
      <c r="N245" s="210"/>
      <c r="O245" s="210"/>
    </row>
    <row r="246" spans="2:15">
      <c r="B246" s="213" t="s">
        <v>217</v>
      </c>
      <c r="C246" s="256">
        <v>44771</v>
      </c>
      <c r="D246" s="210">
        <v>1517</v>
      </c>
      <c r="E246" s="213" t="s">
        <v>12</v>
      </c>
      <c r="F246" s="213" t="s">
        <v>150</v>
      </c>
      <c r="G246" s="210">
        <v>969425</v>
      </c>
      <c r="H246" s="326"/>
      <c r="I246" s="211"/>
      <c r="J246" s="326"/>
      <c r="K246" s="349"/>
      <c r="L246" s="210"/>
      <c r="M246" s="210"/>
      <c r="N246" s="210"/>
      <c r="O246" s="210"/>
    </row>
    <row r="247" spans="2:15">
      <c r="B247" s="213" t="s">
        <v>217</v>
      </c>
      <c r="C247" s="256">
        <v>44771</v>
      </c>
      <c r="D247" s="210">
        <v>1517</v>
      </c>
      <c r="E247" s="213" t="s">
        <v>12</v>
      </c>
      <c r="F247" s="213" t="s">
        <v>152</v>
      </c>
      <c r="G247" s="210">
        <v>968930</v>
      </c>
      <c r="H247" s="326"/>
      <c r="I247" s="211">
        <v>14.71</v>
      </c>
      <c r="J247" s="326"/>
      <c r="K247" s="349"/>
      <c r="L247" s="210"/>
      <c r="M247" s="210"/>
      <c r="N247" s="210"/>
      <c r="O247" s="210"/>
    </row>
    <row r="248" spans="2:15">
      <c r="B248" s="213" t="s">
        <v>217</v>
      </c>
      <c r="C248" s="256">
        <v>44771</v>
      </c>
      <c r="D248" s="210">
        <v>1517</v>
      </c>
      <c r="E248" s="213" t="s">
        <v>12</v>
      </c>
      <c r="F248" s="213" t="s">
        <v>153</v>
      </c>
      <c r="G248" s="210">
        <v>968704</v>
      </c>
      <c r="H248" s="326"/>
      <c r="I248" s="211"/>
      <c r="J248" s="326"/>
      <c r="K248" s="349"/>
      <c r="L248" s="210"/>
      <c r="M248" s="210"/>
      <c r="N248" s="210"/>
      <c r="O248" s="210"/>
    </row>
    <row r="249" spans="2:15">
      <c r="B249" s="213" t="s">
        <v>217</v>
      </c>
      <c r="C249" s="256">
        <v>44771</v>
      </c>
      <c r="D249" s="210">
        <v>1517</v>
      </c>
      <c r="E249" s="213" t="s">
        <v>12</v>
      </c>
      <c r="F249" s="213" t="s">
        <v>154</v>
      </c>
      <c r="G249" s="210">
        <v>957378</v>
      </c>
      <c r="H249" s="326"/>
      <c r="I249" s="211"/>
      <c r="J249" s="326"/>
      <c r="K249" s="349"/>
      <c r="L249" s="210"/>
      <c r="M249" s="210"/>
      <c r="N249" s="210"/>
      <c r="O249" s="210"/>
    </row>
    <row r="250" spans="2:15">
      <c r="B250" s="213" t="s">
        <v>217</v>
      </c>
      <c r="C250" s="256">
        <v>44771</v>
      </c>
      <c r="D250" s="210">
        <v>1517</v>
      </c>
      <c r="E250" s="213" t="s">
        <v>12</v>
      </c>
      <c r="F250" s="213" t="s">
        <v>287</v>
      </c>
      <c r="G250" s="210">
        <v>698764</v>
      </c>
      <c r="H250" s="327"/>
      <c r="I250" s="211"/>
      <c r="J250" s="327"/>
      <c r="K250" s="350"/>
      <c r="L250" s="210"/>
      <c r="M250" s="210"/>
      <c r="N250" s="210"/>
      <c r="O250" s="210"/>
    </row>
    <row r="251" spans="2:15">
      <c r="B251" s="213" t="s">
        <v>284</v>
      </c>
      <c r="C251" s="256">
        <v>44777</v>
      </c>
      <c r="D251" s="210">
        <v>1567</v>
      </c>
      <c r="E251" s="213" t="s">
        <v>288</v>
      </c>
      <c r="F251" s="213" t="s">
        <v>318</v>
      </c>
      <c r="G251" s="210">
        <v>699687</v>
      </c>
      <c r="H251" s="210">
        <v>2000</v>
      </c>
      <c r="I251" s="211">
        <v>1098.856</v>
      </c>
      <c r="J251" s="210">
        <f>H251-I251</f>
        <v>901.14400000000001</v>
      </c>
      <c r="K251" s="257">
        <f>I251/H251</f>
        <v>0.54942800000000003</v>
      </c>
      <c r="L251" s="210"/>
      <c r="M251" s="210"/>
      <c r="N251" s="210"/>
      <c r="O251" s="210"/>
    </row>
    <row r="252" spans="2:15">
      <c r="B252" s="213" t="s">
        <v>217</v>
      </c>
      <c r="C252" s="256">
        <v>44790</v>
      </c>
      <c r="D252" s="210">
        <v>1667</v>
      </c>
      <c r="E252" s="181" t="s">
        <v>95</v>
      </c>
      <c r="F252" s="213" t="s">
        <v>277</v>
      </c>
      <c r="G252" s="210">
        <v>699078</v>
      </c>
      <c r="H252" s="352">
        <v>6761</v>
      </c>
      <c r="I252" s="211">
        <v>713.04500000000019</v>
      </c>
      <c r="J252" s="352">
        <f>H252-(SUM(I252:I260))</f>
        <v>6.23700000000008</v>
      </c>
      <c r="K252" s="353">
        <f>(SUM(I252:I260))/H252</f>
        <v>0.99907750332791001</v>
      </c>
      <c r="L252" s="210"/>
      <c r="M252" s="210"/>
      <c r="N252" s="210"/>
      <c r="O252" s="210"/>
    </row>
    <row r="253" spans="2:15">
      <c r="B253" s="213" t="s">
        <v>217</v>
      </c>
      <c r="C253" s="256">
        <v>44790</v>
      </c>
      <c r="D253" s="210">
        <v>1667</v>
      </c>
      <c r="E253" s="181" t="s">
        <v>95</v>
      </c>
      <c r="F253" s="213" t="s">
        <v>278</v>
      </c>
      <c r="G253" s="210">
        <v>967544</v>
      </c>
      <c r="H253" s="326"/>
      <c r="I253" s="211">
        <v>1041.9289999999999</v>
      </c>
      <c r="J253" s="326"/>
      <c r="K253" s="349"/>
      <c r="L253" s="210"/>
      <c r="M253" s="210"/>
      <c r="N253" s="210"/>
      <c r="O253" s="210"/>
    </row>
    <row r="254" spans="2:15">
      <c r="B254" s="213" t="s">
        <v>217</v>
      </c>
      <c r="C254" s="256">
        <v>44790</v>
      </c>
      <c r="D254" s="210">
        <v>1667</v>
      </c>
      <c r="E254" s="181" t="s">
        <v>95</v>
      </c>
      <c r="F254" s="213" t="s">
        <v>279</v>
      </c>
      <c r="G254" s="210">
        <v>968274</v>
      </c>
      <c r="H254" s="326"/>
      <c r="I254" s="211">
        <v>991.6579999999999</v>
      </c>
      <c r="J254" s="326"/>
      <c r="K254" s="349"/>
      <c r="L254" s="210"/>
      <c r="M254" s="210"/>
      <c r="N254" s="210"/>
      <c r="O254" s="210"/>
    </row>
    <row r="255" spans="2:15">
      <c r="B255" s="213" t="s">
        <v>217</v>
      </c>
      <c r="C255" s="256">
        <v>44790</v>
      </c>
      <c r="D255" s="210">
        <v>1667</v>
      </c>
      <c r="E255" s="181" t="s">
        <v>95</v>
      </c>
      <c r="F255" s="213" t="s">
        <v>280</v>
      </c>
      <c r="G255" s="210">
        <v>968447</v>
      </c>
      <c r="H255" s="326"/>
      <c r="I255" s="211">
        <v>945.97500000000014</v>
      </c>
      <c r="J255" s="326"/>
      <c r="K255" s="349"/>
      <c r="L255" s="210"/>
      <c r="M255" s="210"/>
      <c r="N255" s="210"/>
      <c r="O255" s="210"/>
    </row>
    <row r="256" spans="2:15">
      <c r="B256" s="213" t="s">
        <v>217</v>
      </c>
      <c r="C256" s="256">
        <v>44790</v>
      </c>
      <c r="D256" s="210">
        <v>1667</v>
      </c>
      <c r="E256" s="181" t="s">
        <v>95</v>
      </c>
      <c r="F256" s="213" t="s">
        <v>281</v>
      </c>
      <c r="G256" s="210">
        <v>968466</v>
      </c>
      <c r="H256" s="326"/>
      <c r="I256" s="211">
        <v>1009.325</v>
      </c>
      <c r="J256" s="326"/>
      <c r="K256" s="349"/>
      <c r="L256" s="210"/>
      <c r="M256" s="210"/>
      <c r="N256" s="210"/>
      <c r="O256" s="210"/>
    </row>
    <row r="257" spans="2:15">
      <c r="B257" s="213" t="s">
        <v>217</v>
      </c>
      <c r="C257" s="256">
        <v>44790</v>
      </c>
      <c r="D257" s="210">
        <v>1667</v>
      </c>
      <c r="E257" s="181" t="s">
        <v>95</v>
      </c>
      <c r="F257" s="213" t="s">
        <v>282</v>
      </c>
      <c r="G257" s="210">
        <v>969068</v>
      </c>
      <c r="H257" s="326"/>
      <c r="I257" s="211">
        <v>281.84299999999996</v>
      </c>
      <c r="J257" s="326"/>
      <c r="K257" s="349"/>
      <c r="L257" s="210"/>
      <c r="M257" s="210"/>
      <c r="N257" s="210"/>
      <c r="O257" s="210"/>
    </row>
    <row r="258" spans="2:15">
      <c r="B258" s="213" t="s">
        <v>217</v>
      </c>
      <c r="C258" s="256">
        <v>44790</v>
      </c>
      <c r="D258" s="210">
        <v>1667</v>
      </c>
      <c r="E258" s="181" t="s">
        <v>95</v>
      </c>
      <c r="F258" s="213" t="s">
        <v>283</v>
      </c>
      <c r="G258" s="210">
        <v>698940</v>
      </c>
      <c r="H258" s="326"/>
      <c r="I258" s="211">
        <v>336.23399999999998</v>
      </c>
      <c r="J258" s="326"/>
      <c r="K258" s="349"/>
      <c r="L258" s="210"/>
      <c r="M258" s="210"/>
      <c r="N258" s="210"/>
      <c r="O258" s="210"/>
    </row>
    <row r="259" spans="2:15">
      <c r="B259" s="213" t="s">
        <v>217</v>
      </c>
      <c r="C259" s="256">
        <v>44790</v>
      </c>
      <c r="D259" s="210">
        <v>1667</v>
      </c>
      <c r="E259" s="181" t="s">
        <v>95</v>
      </c>
      <c r="F259" s="213" t="s">
        <v>294</v>
      </c>
      <c r="G259" s="210">
        <v>699329</v>
      </c>
      <c r="H259" s="326"/>
      <c r="I259" s="285">
        <v>807.34</v>
      </c>
      <c r="J259" s="326"/>
      <c r="K259" s="349"/>
      <c r="L259" s="284"/>
      <c r="M259" s="284"/>
      <c r="N259" s="284"/>
      <c r="O259" s="284"/>
    </row>
    <row r="260" spans="2:15">
      <c r="B260" s="213" t="s">
        <v>217</v>
      </c>
      <c r="C260" s="256">
        <v>44790</v>
      </c>
      <c r="D260" s="210">
        <v>1667</v>
      </c>
      <c r="E260" s="181" t="s">
        <v>95</v>
      </c>
      <c r="F260" s="213" t="s">
        <v>318</v>
      </c>
      <c r="G260" s="210">
        <v>699687</v>
      </c>
      <c r="H260" s="327"/>
      <c r="I260" s="211">
        <v>627.4140000000001</v>
      </c>
      <c r="J260" s="327"/>
      <c r="K260" s="350"/>
      <c r="L260" s="210"/>
      <c r="M260" s="210"/>
      <c r="N260" s="210"/>
      <c r="O260" s="210"/>
    </row>
    <row r="261" spans="2:15">
      <c r="B261" s="213" t="s">
        <v>284</v>
      </c>
      <c r="C261" s="256">
        <v>44805</v>
      </c>
      <c r="D261" s="210">
        <v>1818</v>
      </c>
      <c r="E261" s="213" t="s">
        <v>288</v>
      </c>
      <c r="F261" s="213" t="s">
        <v>320</v>
      </c>
      <c r="G261" s="210">
        <v>699756</v>
      </c>
      <c r="H261" s="210">
        <v>0</v>
      </c>
      <c r="I261" s="211"/>
      <c r="J261" s="210">
        <f>H261-I261</f>
        <v>0</v>
      </c>
      <c r="K261" s="257" t="e">
        <f>I261/H261</f>
        <v>#DIV/0!</v>
      </c>
      <c r="L261" s="210"/>
      <c r="M261" s="210"/>
      <c r="N261" s="210"/>
      <c r="O261" s="210"/>
    </row>
    <row r="262" spans="2:15">
      <c r="B262" s="213" t="s">
        <v>284</v>
      </c>
      <c r="C262" s="256">
        <v>44830</v>
      </c>
      <c r="D262" s="210">
        <v>1964</v>
      </c>
      <c r="E262" s="213" t="s">
        <v>288</v>
      </c>
      <c r="F262" s="213" t="s">
        <v>313</v>
      </c>
      <c r="G262" s="210">
        <v>699558</v>
      </c>
      <c r="H262" s="210">
        <v>0</v>
      </c>
      <c r="I262" s="211"/>
      <c r="J262" s="210">
        <f>H262-I262</f>
        <v>0</v>
      </c>
      <c r="K262" s="257" t="e">
        <f>I262/H262</f>
        <v>#DIV/0!</v>
      </c>
      <c r="L262" s="210"/>
      <c r="M262" s="210"/>
      <c r="N262" s="210"/>
      <c r="O262" s="210"/>
    </row>
    <row r="263" spans="2:15">
      <c r="B263" s="213" t="s">
        <v>217</v>
      </c>
      <c r="C263" s="256">
        <v>44830</v>
      </c>
      <c r="D263" s="210">
        <v>1965</v>
      </c>
      <c r="E263" s="181" t="s">
        <v>95</v>
      </c>
      <c r="F263" s="213" t="s">
        <v>279</v>
      </c>
      <c r="G263" s="210">
        <v>968274</v>
      </c>
      <c r="H263" s="352">
        <v>3000</v>
      </c>
      <c r="I263" s="210"/>
      <c r="J263" s="352">
        <f>H263-(SUM(I263:I271))</f>
        <v>3000</v>
      </c>
      <c r="K263" s="353">
        <f>(SUM(I263:I271))/H263</f>
        <v>0</v>
      </c>
      <c r="L263" s="210"/>
      <c r="M263" s="210"/>
      <c r="N263" s="210"/>
      <c r="O263" s="210"/>
    </row>
    <row r="264" spans="2:15">
      <c r="B264" s="213" t="s">
        <v>217</v>
      </c>
      <c r="C264" s="256">
        <v>44830</v>
      </c>
      <c r="D264" s="210">
        <v>1965</v>
      </c>
      <c r="E264" s="181" t="s">
        <v>95</v>
      </c>
      <c r="F264" s="213" t="s">
        <v>294</v>
      </c>
      <c r="G264" s="210">
        <v>699329</v>
      </c>
      <c r="H264" s="326"/>
      <c r="I264" s="210"/>
      <c r="J264" s="326"/>
      <c r="K264" s="349"/>
      <c r="L264" s="210"/>
      <c r="M264" s="210"/>
      <c r="N264" s="210"/>
      <c r="O264" s="210"/>
    </row>
    <row r="265" spans="2:15">
      <c r="B265" s="213" t="s">
        <v>217</v>
      </c>
      <c r="C265" s="256">
        <v>44830</v>
      </c>
      <c r="D265" s="210">
        <v>1965</v>
      </c>
      <c r="E265" s="181" t="s">
        <v>95</v>
      </c>
      <c r="F265" s="213" t="s">
        <v>318</v>
      </c>
      <c r="G265" s="210">
        <v>699687</v>
      </c>
      <c r="H265" s="326"/>
      <c r="I265" s="210"/>
      <c r="J265" s="326"/>
      <c r="K265" s="349"/>
      <c r="L265" s="210"/>
      <c r="M265" s="210"/>
      <c r="N265" s="210"/>
      <c r="O265" s="210"/>
    </row>
    <row r="266" spans="2:15">
      <c r="B266" s="213" t="s">
        <v>217</v>
      </c>
      <c r="C266" s="256">
        <v>44830</v>
      </c>
      <c r="D266" s="210">
        <v>1965</v>
      </c>
      <c r="E266" s="181" t="s">
        <v>95</v>
      </c>
      <c r="F266" s="213" t="s">
        <v>277</v>
      </c>
      <c r="G266" s="210">
        <v>699078</v>
      </c>
      <c r="H266" s="326"/>
      <c r="I266" s="210"/>
      <c r="J266" s="326"/>
      <c r="K266" s="349"/>
      <c r="L266" s="210"/>
      <c r="M266" s="210"/>
      <c r="N266" s="210"/>
      <c r="O266" s="210"/>
    </row>
    <row r="267" spans="2:15">
      <c r="B267" s="213" t="s">
        <v>217</v>
      </c>
      <c r="C267" s="256">
        <v>44830</v>
      </c>
      <c r="D267" s="210">
        <v>1965</v>
      </c>
      <c r="E267" s="181" t="s">
        <v>95</v>
      </c>
      <c r="F267" s="213" t="s">
        <v>280</v>
      </c>
      <c r="G267" s="210">
        <v>968447</v>
      </c>
      <c r="H267" s="326"/>
      <c r="I267" s="210"/>
      <c r="J267" s="326"/>
      <c r="K267" s="349"/>
      <c r="L267" s="210"/>
      <c r="M267" s="210"/>
      <c r="N267" s="210"/>
      <c r="O267" s="210"/>
    </row>
    <row r="268" spans="2:15">
      <c r="B268" s="213" t="s">
        <v>217</v>
      </c>
      <c r="C268" s="256">
        <v>44830</v>
      </c>
      <c r="D268" s="210">
        <v>1965</v>
      </c>
      <c r="E268" s="181" t="s">
        <v>95</v>
      </c>
      <c r="F268" s="213" t="s">
        <v>281</v>
      </c>
      <c r="G268" s="210">
        <v>968466</v>
      </c>
      <c r="H268" s="326"/>
      <c r="I268" s="210"/>
      <c r="J268" s="326"/>
      <c r="K268" s="349"/>
      <c r="L268" s="210"/>
      <c r="M268" s="210"/>
      <c r="N268" s="210"/>
      <c r="O268" s="210"/>
    </row>
    <row r="269" spans="2:15">
      <c r="B269" s="213" t="s">
        <v>217</v>
      </c>
      <c r="C269" s="256">
        <v>44830</v>
      </c>
      <c r="D269" s="210">
        <v>1965</v>
      </c>
      <c r="E269" s="181" t="s">
        <v>95</v>
      </c>
      <c r="F269" s="213" t="s">
        <v>278</v>
      </c>
      <c r="G269" s="210">
        <v>967544</v>
      </c>
      <c r="H269" s="326"/>
      <c r="I269" s="210"/>
      <c r="J269" s="326"/>
      <c r="K269" s="349"/>
      <c r="L269" s="210"/>
      <c r="M269" s="210"/>
      <c r="N269" s="210"/>
      <c r="O269" s="210"/>
    </row>
    <row r="270" spans="2:15">
      <c r="B270" s="213" t="s">
        <v>217</v>
      </c>
      <c r="C270" s="256">
        <v>44830</v>
      </c>
      <c r="D270" s="210">
        <v>1965</v>
      </c>
      <c r="E270" s="181" t="s">
        <v>95</v>
      </c>
      <c r="F270" s="213" t="s">
        <v>283</v>
      </c>
      <c r="G270" s="210">
        <v>698940</v>
      </c>
      <c r="H270" s="326"/>
      <c r="I270" s="284"/>
      <c r="J270" s="326"/>
      <c r="K270" s="349"/>
      <c r="L270" s="210"/>
      <c r="M270" s="210"/>
      <c r="N270" s="210"/>
      <c r="O270" s="210"/>
    </row>
    <row r="271" spans="2:15">
      <c r="B271" s="213" t="s">
        <v>217</v>
      </c>
      <c r="C271" s="256">
        <v>44830</v>
      </c>
      <c r="D271" s="210">
        <v>1965</v>
      </c>
      <c r="E271" s="181" t="s">
        <v>95</v>
      </c>
      <c r="F271" s="213" t="s">
        <v>282</v>
      </c>
      <c r="G271" s="210">
        <v>969068</v>
      </c>
      <c r="H271" s="327"/>
      <c r="I271" s="210"/>
      <c r="J271" s="327"/>
      <c r="K271" s="350"/>
      <c r="L271" s="210"/>
      <c r="M271" s="210"/>
      <c r="N271" s="210"/>
      <c r="O271" s="210"/>
    </row>
    <row r="272" spans="2:15">
      <c r="B272" s="210" t="s">
        <v>284</v>
      </c>
      <c r="C272" s="256">
        <v>44861</v>
      </c>
      <c r="D272" s="210">
        <v>2184</v>
      </c>
      <c r="E272" s="210" t="s">
        <v>288</v>
      </c>
      <c r="F272" s="210" t="s">
        <v>313</v>
      </c>
      <c r="G272" s="210">
        <v>699558</v>
      </c>
      <c r="H272" s="210">
        <v>2000</v>
      </c>
      <c r="I272" s="211">
        <v>1430.4459999999999</v>
      </c>
      <c r="J272" s="210">
        <f>H272-I272</f>
        <v>569.55400000000009</v>
      </c>
      <c r="K272" s="257">
        <f>I272/H272</f>
        <v>0.71522299999999994</v>
      </c>
      <c r="L272" s="210"/>
      <c r="M272" s="210"/>
      <c r="N272" s="210"/>
      <c r="O272" s="210"/>
    </row>
    <row r="273" spans="2:15">
      <c r="B273" s="210" t="s">
        <v>217</v>
      </c>
      <c r="C273" s="256">
        <v>44872</v>
      </c>
      <c r="D273" s="210">
        <v>2252</v>
      </c>
      <c r="E273" s="181" t="s">
        <v>95</v>
      </c>
      <c r="F273" s="213" t="s">
        <v>277</v>
      </c>
      <c r="G273" s="210">
        <v>699078</v>
      </c>
      <c r="H273" s="369">
        <v>4392.9250000000002</v>
      </c>
      <c r="I273" s="211">
        <v>136.934</v>
      </c>
      <c r="J273" s="369">
        <f>H273-(SUM(I273:I282))</f>
        <v>1734.3429999999998</v>
      </c>
      <c r="K273" s="370">
        <f>(SUM(I273:I282))/H273</f>
        <v>0.60519630997569962</v>
      </c>
      <c r="L273" s="210"/>
      <c r="M273" s="210"/>
      <c r="N273" s="210"/>
      <c r="O273" s="210"/>
    </row>
    <row r="274" spans="2:15">
      <c r="B274" s="210" t="s">
        <v>217</v>
      </c>
      <c r="C274" s="256">
        <v>44872</v>
      </c>
      <c r="D274" s="210">
        <v>2252</v>
      </c>
      <c r="E274" s="181" t="s">
        <v>95</v>
      </c>
      <c r="F274" s="213" t="s">
        <v>278</v>
      </c>
      <c r="G274" s="210">
        <v>967544</v>
      </c>
      <c r="H274" s="326"/>
      <c r="I274" s="211">
        <v>418.15999999999997</v>
      </c>
      <c r="J274" s="326"/>
      <c r="K274" s="349"/>
      <c r="L274" s="210"/>
      <c r="M274" s="210"/>
      <c r="N274" s="210"/>
      <c r="O274" s="210"/>
    </row>
    <row r="275" spans="2:15">
      <c r="B275" s="210" t="s">
        <v>217</v>
      </c>
      <c r="C275" s="256">
        <v>44872</v>
      </c>
      <c r="D275" s="210">
        <v>2252</v>
      </c>
      <c r="E275" s="181" t="s">
        <v>95</v>
      </c>
      <c r="F275" s="213" t="s">
        <v>279</v>
      </c>
      <c r="G275" s="210">
        <v>968274</v>
      </c>
      <c r="H275" s="326"/>
      <c r="I275" s="211">
        <v>528.64300000000003</v>
      </c>
      <c r="J275" s="326"/>
      <c r="K275" s="349"/>
      <c r="L275" s="210"/>
      <c r="M275" s="210"/>
      <c r="N275" s="210"/>
      <c r="O275" s="210"/>
    </row>
    <row r="276" spans="2:15">
      <c r="B276" s="210" t="s">
        <v>217</v>
      </c>
      <c r="C276" s="256">
        <v>44872</v>
      </c>
      <c r="D276" s="210">
        <v>2252</v>
      </c>
      <c r="E276" s="181" t="s">
        <v>95</v>
      </c>
      <c r="F276" s="213" t="s">
        <v>280</v>
      </c>
      <c r="G276" s="210">
        <v>968447</v>
      </c>
      <c r="H276" s="326"/>
      <c r="I276" s="211">
        <v>258.51</v>
      </c>
      <c r="J276" s="326"/>
      <c r="K276" s="349"/>
      <c r="L276" s="210"/>
      <c r="M276" s="210"/>
      <c r="N276" s="210"/>
      <c r="O276" s="210"/>
    </row>
    <row r="277" spans="2:15">
      <c r="B277" s="210" t="s">
        <v>217</v>
      </c>
      <c r="C277" s="256">
        <v>44872</v>
      </c>
      <c r="D277" s="210">
        <v>2252</v>
      </c>
      <c r="E277" s="181" t="s">
        <v>95</v>
      </c>
      <c r="F277" s="213" t="s">
        <v>281</v>
      </c>
      <c r="G277" s="210">
        <v>968466</v>
      </c>
      <c r="H277" s="326"/>
      <c r="I277" s="211">
        <v>257.22700000000003</v>
      </c>
      <c r="J277" s="326"/>
      <c r="K277" s="349"/>
      <c r="L277" s="210"/>
      <c r="M277" s="210"/>
      <c r="N277" s="210"/>
      <c r="O277" s="210"/>
    </row>
    <row r="278" spans="2:15">
      <c r="B278" s="210" t="s">
        <v>217</v>
      </c>
      <c r="C278" s="256">
        <v>44872</v>
      </c>
      <c r="D278" s="210">
        <v>2252</v>
      </c>
      <c r="E278" s="181" t="s">
        <v>95</v>
      </c>
      <c r="F278" s="213" t="s">
        <v>282</v>
      </c>
      <c r="G278" s="210">
        <v>969068</v>
      </c>
      <c r="H278" s="326"/>
      <c r="I278" s="211">
        <v>369.59199999999998</v>
      </c>
      <c r="J278" s="326"/>
      <c r="K278" s="349"/>
      <c r="L278" s="210"/>
      <c r="M278" s="210"/>
      <c r="N278" s="210"/>
      <c r="O278" s="210"/>
    </row>
    <row r="279" spans="2:15">
      <c r="B279" s="210" t="s">
        <v>217</v>
      </c>
      <c r="C279" s="256">
        <v>44872</v>
      </c>
      <c r="D279" s="210">
        <v>2252</v>
      </c>
      <c r="E279" s="181" t="s">
        <v>95</v>
      </c>
      <c r="F279" s="213" t="s">
        <v>283</v>
      </c>
      <c r="G279" s="210">
        <v>698940</v>
      </c>
      <c r="H279" s="326"/>
      <c r="I279" s="211"/>
      <c r="J279" s="326"/>
      <c r="K279" s="349"/>
      <c r="L279" s="210"/>
      <c r="M279" s="210"/>
      <c r="N279" s="210"/>
      <c r="O279" s="210"/>
    </row>
    <row r="280" spans="2:15">
      <c r="B280" s="210" t="s">
        <v>217</v>
      </c>
      <c r="C280" s="256">
        <v>44872</v>
      </c>
      <c r="D280" s="210">
        <v>2252</v>
      </c>
      <c r="E280" s="181" t="s">
        <v>95</v>
      </c>
      <c r="F280" s="213" t="s">
        <v>294</v>
      </c>
      <c r="G280" s="210">
        <v>699329</v>
      </c>
      <c r="H280" s="326"/>
      <c r="I280" s="211">
        <v>216.57200000000003</v>
      </c>
      <c r="J280" s="326"/>
      <c r="K280" s="349"/>
      <c r="L280" s="210"/>
      <c r="M280" s="210"/>
      <c r="N280" s="210"/>
      <c r="O280" s="210"/>
    </row>
    <row r="281" spans="2:15">
      <c r="B281" s="210" t="s">
        <v>217</v>
      </c>
      <c r="C281" s="256">
        <v>44872</v>
      </c>
      <c r="D281" s="210">
        <v>2252</v>
      </c>
      <c r="E281" s="181" t="s">
        <v>95</v>
      </c>
      <c r="F281" s="213" t="s">
        <v>318</v>
      </c>
      <c r="G281" s="210">
        <v>699687</v>
      </c>
      <c r="H281" s="326"/>
      <c r="I281" s="211">
        <v>141.01600000000002</v>
      </c>
      <c r="J281" s="326"/>
      <c r="K281" s="349"/>
      <c r="L281" s="210"/>
      <c r="M281" s="210"/>
      <c r="N281" s="210"/>
      <c r="O281" s="210"/>
    </row>
    <row r="282" spans="2:15">
      <c r="B282" s="210" t="s">
        <v>217</v>
      </c>
      <c r="C282" s="256">
        <v>44872</v>
      </c>
      <c r="D282" s="210">
        <v>2252</v>
      </c>
      <c r="E282" s="181" t="s">
        <v>95</v>
      </c>
      <c r="F282" s="213" t="s">
        <v>289</v>
      </c>
      <c r="G282" s="210">
        <v>967665</v>
      </c>
      <c r="H282" s="327"/>
      <c r="I282" s="211">
        <v>331.928</v>
      </c>
      <c r="J282" s="327"/>
      <c r="K282" s="350"/>
      <c r="L282" s="210"/>
      <c r="M282" s="210"/>
      <c r="N282" s="210"/>
      <c r="O282" s="210"/>
    </row>
    <row r="283" spans="2:15">
      <c r="B283" s="210" t="s">
        <v>284</v>
      </c>
      <c r="C283" s="256">
        <v>44900</v>
      </c>
      <c r="D283" s="210">
        <v>2462</v>
      </c>
      <c r="E283" s="210" t="s">
        <v>288</v>
      </c>
      <c r="F283" s="210" t="s">
        <v>327</v>
      </c>
      <c r="G283" s="210">
        <v>700316</v>
      </c>
      <c r="H283" s="210">
        <v>300</v>
      </c>
      <c r="I283" s="211">
        <v>274.86700000000002</v>
      </c>
      <c r="J283" s="210">
        <f>H283-I283</f>
        <v>25.132999999999981</v>
      </c>
      <c r="K283" s="257">
        <f>I283/H283</f>
        <v>0.91622333333333339</v>
      </c>
      <c r="L283" s="210"/>
      <c r="M283" s="210"/>
      <c r="N283" s="210"/>
      <c r="O283" s="210"/>
    </row>
    <row r="284" spans="2:15">
      <c r="B284" s="210" t="s">
        <v>284</v>
      </c>
      <c r="C284" s="256">
        <v>44901</v>
      </c>
      <c r="D284" s="210">
        <v>2466</v>
      </c>
      <c r="E284" s="210" t="s">
        <v>10</v>
      </c>
      <c r="F284" s="210" t="s">
        <v>328</v>
      </c>
      <c r="G284" s="210">
        <v>700305</v>
      </c>
      <c r="H284" s="210">
        <v>600</v>
      </c>
      <c r="I284" s="211"/>
      <c r="J284" s="210">
        <f>H284-I284</f>
        <v>600</v>
      </c>
      <c r="K284" s="257">
        <f>I284/H284</f>
        <v>0</v>
      </c>
      <c r="L284" s="210"/>
      <c r="M284" s="210"/>
      <c r="N284" s="210"/>
      <c r="O284" s="210"/>
    </row>
    <row r="285" spans="2:15">
      <c r="B285" s="210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</row>
    <row r="286" spans="2:15"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</row>
    <row r="287" spans="2:15">
      <c r="B287" s="210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</row>
    <row r="288" spans="2:15">
      <c r="B288" s="210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</row>
    <row r="289" spans="2:15">
      <c r="B289" s="210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</row>
    <row r="290" spans="2:15">
      <c r="B290" s="210"/>
      <c r="C290" s="210"/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</row>
    <row r="291" spans="2:15">
      <c r="B291" s="210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</row>
  </sheetData>
  <autoFilter ref="B4:O284"/>
  <mergeCells count="84">
    <mergeCell ref="H273:H282"/>
    <mergeCell ref="J273:J282"/>
    <mergeCell ref="K273:K282"/>
    <mergeCell ref="J233:J244"/>
    <mergeCell ref="K233:K244"/>
    <mergeCell ref="H263:H271"/>
    <mergeCell ref="J263:J271"/>
    <mergeCell ref="K263:K271"/>
    <mergeCell ref="H220:H223"/>
    <mergeCell ref="J220:J223"/>
    <mergeCell ref="K220:K223"/>
    <mergeCell ref="H195:H198"/>
    <mergeCell ref="J195:J198"/>
    <mergeCell ref="K195:K198"/>
    <mergeCell ref="H199:H202"/>
    <mergeCell ref="J199:J202"/>
    <mergeCell ref="K199:K202"/>
    <mergeCell ref="H203:H217"/>
    <mergeCell ref="J203:J217"/>
    <mergeCell ref="K203:K217"/>
    <mergeCell ref="O173:O175"/>
    <mergeCell ref="H161:H167"/>
    <mergeCell ref="J161:J167"/>
    <mergeCell ref="K161:K167"/>
    <mergeCell ref="H168:H172"/>
    <mergeCell ref="J168:J172"/>
    <mergeCell ref="K168:K172"/>
    <mergeCell ref="L173:L175"/>
    <mergeCell ref="N173:N175"/>
    <mergeCell ref="H180:H194"/>
    <mergeCell ref="J180:J194"/>
    <mergeCell ref="K180:K194"/>
    <mergeCell ref="H138:H144"/>
    <mergeCell ref="J138:J144"/>
    <mergeCell ref="K138:K144"/>
    <mergeCell ref="H145:H154"/>
    <mergeCell ref="J145:J154"/>
    <mergeCell ref="K145:K154"/>
    <mergeCell ref="H155:H160"/>
    <mergeCell ref="J155:J160"/>
    <mergeCell ref="K155:K160"/>
    <mergeCell ref="H135:H137"/>
    <mergeCell ref="J135:J137"/>
    <mergeCell ref="K135:K137"/>
    <mergeCell ref="H122:H131"/>
    <mergeCell ref="J122:J131"/>
    <mergeCell ref="K122:K131"/>
    <mergeCell ref="J107:J112"/>
    <mergeCell ref="K107:K112"/>
    <mergeCell ref="H115:H121"/>
    <mergeCell ref="J115:J121"/>
    <mergeCell ref="K115:K121"/>
    <mergeCell ref="H107:H112"/>
    <mergeCell ref="H79:H95"/>
    <mergeCell ref="J79:J95"/>
    <mergeCell ref="K79:K95"/>
    <mergeCell ref="H96:H105"/>
    <mergeCell ref="J96:J105"/>
    <mergeCell ref="K96:K105"/>
    <mergeCell ref="L2:O2"/>
    <mergeCell ref="S3:V3"/>
    <mergeCell ref="H2:K2"/>
    <mergeCell ref="H5:H48"/>
    <mergeCell ref="J5:J48"/>
    <mergeCell ref="K5:K48"/>
    <mergeCell ref="H65:H78"/>
    <mergeCell ref="J65:J78"/>
    <mergeCell ref="K65:K78"/>
    <mergeCell ref="H49:H64"/>
    <mergeCell ref="J49:J64"/>
    <mergeCell ref="K49:K64"/>
    <mergeCell ref="H224:H228"/>
    <mergeCell ref="J224:J228"/>
    <mergeCell ref="K224:K228"/>
    <mergeCell ref="H229:H232"/>
    <mergeCell ref="H252:H260"/>
    <mergeCell ref="J252:J260"/>
    <mergeCell ref="K252:K260"/>
    <mergeCell ref="J229:J232"/>
    <mergeCell ref="K229:K232"/>
    <mergeCell ref="H245:H250"/>
    <mergeCell ref="J245:J250"/>
    <mergeCell ref="K245:K250"/>
    <mergeCell ref="H233:H244"/>
  </mergeCells>
  <conditionalFormatting sqref="O5:O21 K5">
    <cfRule type="cellIs" dxfId="0" priority="8" operator="greaterThan">
      <formula>0.9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opLeftCell="A4" workbookViewId="0">
      <selection activeCell="G15" sqref="G15"/>
    </sheetView>
  </sheetViews>
  <sheetFormatPr baseColWidth="10" defaultRowHeight="15"/>
  <cols>
    <col min="1" max="1" width="11.42578125" style="99"/>
    <col min="2" max="2" width="20.7109375" style="99" customWidth="1"/>
    <col min="3" max="3" width="15.5703125" style="99" customWidth="1"/>
    <col min="4" max="5" width="18.42578125" style="99" customWidth="1"/>
    <col min="6" max="6" width="13.42578125" style="99" customWidth="1"/>
    <col min="7" max="7" width="11.42578125" style="99"/>
    <col min="8" max="8" width="14.42578125" style="99" customWidth="1"/>
    <col min="9" max="16384" width="11.42578125" style="99"/>
  </cols>
  <sheetData>
    <row r="3" spans="2:16">
      <c r="C3" s="376" t="s">
        <v>201</v>
      </c>
      <c r="D3" s="376"/>
      <c r="E3" s="376"/>
      <c r="F3" s="376"/>
      <c r="G3" s="376"/>
      <c r="H3" s="376"/>
    </row>
    <row r="4" spans="2:16">
      <c r="B4" s="177"/>
      <c r="C4" s="377">
        <f>Resumen!C4</f>
        <v>44926</v>
      </c>
      <c r="D4" s="377"/>
      <c r="E4" s="377"/>
      <c r="F4" s="377"/>
      <c r="G4" s="377"/>
      <c r="H4" s="377"/>
      <c r="I4" s="177"/>
      <c r="J4" s="177"/>
      <c r="O4" s="376" t="s">
        <v>134</v>
      </c>
      <c r="P4" s="376"/>
    </row>
    <row r="5" spans="2:16">
      <c r="B5" s="178" t="s">
        <v>142</v>
      </c>
      <c r="C5" s="178" t="s">
        <v>118</v>
      </c>
      <c r="D5" s="178" t="s">
        <v>119</v>
      </c>
      <c r="E5" s="178" t="s">
        <v>22</v>
      </c>
      <c r="F5" s="178" t="s">
        <v>109</v>
      </c>
      <c r="G5" s="178" t="s">
        <v>143</v>
      </c>
      <c r="H5" s="178" t="s">
        <v>6</v>
      </c>
      <c r="I5" s="178" t="s">
        <v>7</v>
      </c>
      <c r="J5" s="176"/>
      <c r="O5" s="180" t="s">
        <v>107</v>
      </c>
      <c r="P5" s="181">
        <f>+H9+H19+H26+H33+H42</f>
        <v>0</v>
      </c>
    </row>
    <row r="6" spans="2:16">
      <c r="B6" s="183">
        <v>94</v>
      </c>
      <c r="C6" s="184" t="s">
        <v>208</v>
      </c>
      <c r="D6" s="181">
        <v>961267</v>
      </c>
      <c r="E6" s="181" t="s">
        <v>30</v>
      </c>
      <c r="F6" s="181" t="s">
        <v>107</v>
      </c>
      <c r="G6" s="181">
        <v>8</v>
      </c>
      <c r="H6" s="185">
        <v>1.7999999999999999E-2</v>
      </c>
      <c r="I6" s="181">
        <f>G6-H6</f>
        <v>7.9820000000000002</v>
      </c>
      <c r="J6" s="179"/>
      <c r="O6" s="180" t="s">
        <v>128</v>
      </c>
      <c r="P6" s="175"/>
    </row>
    <row r="7" spans="2:16">
      <c r="B7" s="183">
        <v>94</v>
      </c>
      <c r="C7" s="184" t="s">
        <v>145</v>
      </c>
      <c r="D7" s="181">
        <v>698592</v>
      </c>
      <c r="E7" s="181" t="s">
        <v>27</v>
      </c>
      <c r="F7" s="181" t="s">
        <v>107</v>
      </c>
      <c r="G7" s="181">
        <v>8</v>
      </c>
      <c r="H7" s="185">
        <v>3.7999999999999999E-2</v>
      </c>
      <c r="I7" s="181">
        <f>G7-H7</f>
        <v>7.9619999999999997</v>
      </c>
      <c r="J7" s="179"/>
    </row>
    <row r="8" spans="2:16">
      <c r="B8" s="183">
        <v>32</v>
      </c>
      <c r="C8" s="184" t="s">
        <v>209</v>
      </c>
      <c r="D8" s="181">
        <v>966916</v>
      </c>
      <c r="E8" s="181" t="s">
        <v>212</v>
      </c>
      <c r="F8" s="181" t="s">
        <v>107</v>
      </c>
      <c r="G8" s="181">
        <v>10</v>
      </c>
      <c r="H8" s="185"/>
      <c r="I8" s="181">
        <f t="shared" ref="I8:I13" si="0">G8-H8</f>
        <v>10</v>
      </c>
      <c r="J8" s="179"/>
    </row>
    <row r="9" spans="2:16">
      <c r="B9" s="183">
        <v>390</v>
      </c>
      <c r="C9" s="184" t="s">
        <v>210</v>
      </c>
      <c r="D9" s="181">
        <v>913590</v>
      </c>
      <c r="E9" s="181" t="s">
        <v>212</v>
      </c>
      <c r="F9" s="181" t="s">
        <v>107</v>
      </c>
      <c r="G9" s="181">
        <v>10</v>
      </c>
      <c r="H9" s="185"/>
      <c r="I9" s="181">
        <f t="shared" si="0"/>
        <v>10</v>
      </c>
      <c r="J9" s="177"/>
    </row>
    <row r="10" spans="2:16">
      <c r="B10" s="183">
        <v>32</v>
      </c>
      <c r="C10" s="184" t="s">
        <v>210</v>
      </c>
      <c r="D10" s="181">
        <v>913590</v>
      </c>
      <c r="E10" s="181" t="s">
        <v>213</v>
      </c>
      <c r="F10" s="181" t="s">
        <v>107</v>
      </c>
      <c r="G10" s="181">
        <v>10</v>
      </c>
      <c r="H10" s="185"/>
      <c r="I10" s="181">
        <f t="shared" si="0"/>
        <v>10</v>
      </c>
      <c r="J10" s="177"/>
    </row>
    <row r="11" spans="2:16">
      <c r="B11" s="183">
        <v>390</v>
      </c>
      <c r="C11" s="184" t="s">
        <v>211</v>
      </c>
      <c r="D11" s="181">
        <v>222596</v>
      </c>
      <c r="E11" s="181" t="s">
        <v>214</v>
      </c>
      <c r="F11" s="181" t="s">
        <v>107</v>
      </c>
      <c r="G11" s="181">
        <v>10</v>
      </c>
      <c r="H11" s="185"/>
      <c r="I11" s="181">
        <f t="shared" si="0"/>
        <v>10</v>
      </c>
      <c r="J11" s="177"/>
    </row>
    <row r="12" spans="2:16">
      <c r="B12" s="183">
        <v>93</v>
      </c>
      <c r="C12" s="181" t="s">
        <v>188</v>
      </c>
      <c r="D12" s="181">
        <v>968871</v>
      </c>
      <c r="E12" s="181" t="s">
        <v>216</v>
      </c>
      <c r="F12" s="181" t="s">
        <v>107</v>
      </c>
      <c r="G12" s="181">
        <v>5</v>
      </c>
      <c r="H12" s="185"/>
      <c r="I12" s="181">
        <f t="shared" si="0"/>
        <v>5</v>
      </c>
      <c r="J12" s="177"/>
    </row>
    <row r="13" spans="2:16">
      <c r="B13" s="183">
        <v>93</v>
      </c>
      <c r="C13" s="184" t="s">
        <v>215</v>
      </c>
      <c r="D13" s="181">
        <v>961259</v>
      </c>
      <c r="E13" s="181" t="s">
        <v>216</v>
      </c>
      <c r="F13" s="181" t="s">
        <v>107</v>
      </c>
      <c r="G13" s="181"/>
      <c r="H13" s="185"/>
      <c r="I13" s="181">
        <f t="shared" si="0"/>
        <v>0</v>
      </c>
      <c r="J13" s="177"/>
    </row>
    <row r="14" spans="2:16">
      <c r="B14" s="183"/>
      <c r="C14" s="184"/>
      <c r="D14" s="181"/>
      <c r="E14" s="181"/>
      <c r="F14" s="181"/>
      <c r="G14" s="181"/>
      <c r="H14" s="185"/>
      <c r="I14" s="181"/>
      <c r="J14" s="151"/>
    </row>
    <row r="15" spans="2:16">
      <c r="B15" s="183"/>
      <c r="C15" s="212"/>
      <c r="D15" s="213"/>
      <c r="E15" s="181"/>
      <c r="F15" s="181"/>
      <c r="G15" s="181"/>
      <c r="H15" s="185"/>
      <c r="I15" s="181"/>
      <c r="J15" s="151"/>
    </row>
    <row r="16" spans="2:16">
      <c r="B16" s="183"/>
      <c r="C16" s="212"/>
      <c r="D16" s="213"/>
      <c r="E16" s="181"/>
      <c r="F16" s="181"/>
      <c r="G16" s="181"/>
      <c r="H16" s="185"/>
      <c r="I16" s="181"/>
      <c r="J16" s="151"/>
    </row>
    <row r="17" spans="2:10">
      <c r="B17" s="155"/>
      <c r="C17" s="155"/>
      <c r="D17" s="177"/>
      <c r="E17" s="177"/>
      <c r="F17" s="177"/>
      <c r="G17" s="177"/>
      <c r="H17" s="177"/>
      <c r="I17" s="177"/>
      <c r="J17" s="151"/>
    </row>
    <row r="18" spans="2:10">
      <c r="B18" s="155"/>
      <c r="C18" s="155"/>
      <c r="D18" s="177"/>
      <c r="E18" s="177"/>
      <c r="F18" s="177"/>
      <c r="G18" s="177"/>
      <c r="H18" s="177"/>
      <c r="I18" s="177"/>
      <c r="J18" s="151"/>
    </row>
    <row r="19" spans="2:10">
      <c r="B19" s="155"/>
      <c r="C19" s="155"/>
      <c r="D19" s="177"/>
      <c r="E19" s="177"/>
      <c r="F19" s="177"/>
      <c r="G19" s="177"/>
      <c r="H19" s="177"/>
      <c r="I19" s="177"/>
      <c r="J19" s="177"/>
    </row>
    <row r="20" spans="2:10">
      <c r="B20" s="177"/>
      <c r="C20" s="177"/>
      <c r="D20" s="177"/>
      <c r="E20" s="177"/>
      <c r="F20" s="177"/>
      <c r="G20" s="177"/>
      <c r="H20" s="177"/>
      <c r="I20" s="177"/>
      <c r="J20" s="177"/>
    </row>
    <row r="21" spans="2:10">
      <c r="B21" s="177"/>
      <c r="C21" s="177"/>
      <c r="D21" s="177"/>
      <c r="E21" s="177"/>
      <c r="F21" s="177"/>
      <c r="G21" s="177"/>
      <c r="H21" s="177"/>
      <c r="I21" s="177"/>
      <c r="J21" s="177"/>
    </row>
    <row r="22" spans="2:10">
      <c r="B22" s="177"/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2:10">
      <c r="B24" s="182"/>
      <c r="C24" s="155"/>
      <c r="D24" s="177"/>
      <c r="E24" s="177"/>
      <c r="F24" s="177"/>
      <c r="G24" s="177"/>
      <c r="H24" s="177"/>
      <c r="I24" s="177"/>
      <c r="J24" s="179"/>
    </row>
    <row r="25" spans="2:10">
      <c r="B25" s="182"/>
      <c r="C25" s="155"/>
      <c r="D25" s="177"/>
      <c r="E25" s="177"/>
      <c r="F25" s="177"/>
      <c r="G25" s="177"/>
      <c r="H25" s="177"/>
      <c r="I25" s="177"/>
      <c r="J25" s="179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6"/>
      <c r="C30" s="176"/>
      <c r="D30" s="176"/>
      <c r="E30" s="176"/>
      <c r="F30" s="176"/>
      <c r="G30" s="176"/>
      <c r="H30" s="176"/>
      <c r="I30" s="176"/>
      <c r="J30" s="176"/>
    </row>
    <row r="31" spans="2:10">
      <c r="B31" s="182"/>
      <c r="C31" s="155"/>
      <c r="D31" s="177"/>
      <c r="E31" s="177"/>
      <c r="F31" s="177"/>
      <c r="G31" s="177"/>
      <c r="H31" s="177"/>
      <c r="I31" s="177"/>
      <c r="J31" s="179"/>
    </row>
    <row r="32" spans="2:10">
      <c r="B32" s="182"/>
      <c r="C32" s="155"/>
      <c r="D32" s="177"/>
      <c r="E32" s="177"/>
      <c r="F32" s="177"/>
      <c r="G32" s="177"/>
      <c r="H32" s="177"/>
      <c r="I32" s="177"/>
      <c r="J32" s="179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  <row r="36" spans="2:10">
      <c r="B36" s="177"/>
      <c r="C36" s="177"/>
      <c r="D36" s="177"/>
      <c r="E36" s="177"/>
      <c r="F36" s="177"/>
      <c r="G36" s="177"/>
      <c r="H36" s="177"/>
      <c r="I36" s="177"/>
      <c r="J36" s="177"/>
    </row>
    <row r="37" spans="2:10">
      <c r="B37" s="176"/>
      <c r="C37" s="176"/>
      <c r="D37" s="176"/>
      <c r="E37" s="176"/>
      <c r="F37" s="176"/>
      <c r="G37" s="176"/>
      <c r="H37" s="176"/>
      <c r="I37" s="176"/>
      <c r="J37" s="176"/>
    </row>
    <row r="38" spans="2:10">
      <c r="B38" s="155"/>
      <c r="C38" s="155"/>
      <c r="D38" s="177"/>
      <c r="E38" s="177"/>
      <c r="F38" s="177"/>
      <c r="G38" s="177"/>
      <c r="H38" s="177"/>
      <c r="I38" s="177"/>
      <c r="J38" s="151"/>
    </row>
    <row r="39" spans="2:10">
      <c r="B39" s="155"/>
      <c r="C39" s="155"/>
      <c r="D39" s="177"/>
      <c r="E39" s="177"/>
      <c r="F39" s="177"/>
      <c r="G39" s="177"/>
      <c r="H39" s="177"/>
      <c r="I39" s="177"/>
      <c r="J39" s="151"/>
    </row>
    <row r="40" spans="2:10">
      <c r="B40" s="155"/>
      <c r="C40" s="155"/>
      <c r="D40" s="177"/>
      <c r="E40" s="177"/>
      <c r="F40" s="177"/>
      <c r="G40" s="177"/>
      <c r="H40" s="177"/>
      <c r="I40" s="177"/>
      <c r="J40" s="151"/>
    </row>
    <row r="41" spans="2:10">
      <c r="B41" s="155"/>
      <c r="C41" s="155"/>
      <c r="D41" s="177"/>
      <c r="E41" s="177"/>
      <c r="F41" s="177"/>
      <c r="G41" s="177"/>
      <c r="H41" s="177"/>
      <c r="I41" s="177"/>
      <c r="J41" s="151"/>
    </row>
    <row r="42" spans="2:10"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3"/>
  <sheetViews>
    <sheetView workbookViewId="0">
      <selection activeCell="D4" sqref="D4:H4"/>
    </sheetView>
  </sheetViews>
  <sheetFormatPr baseColWidth="10" defaultRowHeight="15"/>
  <cols>
    <col min="4" max="4" width="13.7109375" customWidth="1"/>
    <col min="6" max="6" width="12.7109375" customWidth="1"/>
    <col min="7" max="7" width="12.42578125" customWidth="1"/>
  </cols>
  <sheetData>
    <row r="3" spans="4:8">
      <c r="D3" s="378" t="s">
        <v>202</v>
      </c>
      <c r="E3" s="378"/>
      <c r="F3" s="378"/>
      <c r="G3" s="378"/>
      <c r="H3" s="378"/>
    </row>
    <row r="4" spans="4:8">
      <c r="D4" s="379">
        <f>Resumen!C4</f>
        <v>44926</v>
      </c>
      <c r="E4" s="379"/>
      <c r="F4" s="379"/>
      <c r="G4" s="379"/>
      <c r="H4" s="379"/>
    </row>
    <row r="6" spans="4:8" ht="30">
      <c r="D6" s="174" t="s">
        <v>138</v>
      </c>
      <c r="E6" s="174" t="s">
        <v>109</v>
      </c>
      <c r="F6" s="174" t="s">
        <v>139</v>
      </c>
      <c r="G6" s="174" t="s">
        <v>140</v>
      </c>
      <c r="H6" s="174" t="s">
        <v>141</v>
      </c>
    </row>
    <row r="7" spans="4:8">
      <c r="D7" s="88"/>
      <c r="E7" s="88"/>
      <c r="F7" s="88"/>
      <c r="G7" s="88"/>
      <c r="H7" s="88"/>
    </row>
    <row r="8" spans="4:8">
      <c r="D8" s="88"/>
      <c r="E8" s="88"/>
      <c r="F8" s="88"/>
      <c r="G8" s="88"/>
      <c r="H8" s="88"/>
    </row>
    <row r="9" spans="4:8">
      <c r="D9" s="88"/>
      <c r="E9" s="88"/>
      <c r="F9" s="88"/>
      <c r="G9" s="88"/>
      <c r="H9" s="88"/>
    </row>
    <row r="10" spans="4:8">
      <c r="D10" s="88"/>
      <c r="E10" s="88"/>
      <c r="F10" s="88"/>
      <c r="G10" s="88"/>
      <c r="H10" s="88"/>
    </row>
    <row r="11" spans="4:8">
      <c r="D11" s="88"/>
      <c r="E11" s="88"/>
      <c r="F11" s="88"/>
      <c r="G11" s="88"/>
      <c r="H11" s="88"/>
    </row>
    <row r="12" spans="4:8">
      <c r="D12" s="88"/>
      <c r="E12" s="88"/>
      <c r="F12" s="88"/>
      <c r="G12" s="88"/>
      <c r="H12" s="88"/>
    </row>
    <row r="13" spans="4:8">
      <c r="D13" s="88"/>
      <c r="E13" s="88"/>
      <c r="F13" s="88"/>
      <c r="G13" s="88"/>
      <c r="H13" s="88"/>
    </row>
  </sheetData>
  <mergeCells count="2">
    <mergeCell ref="D3:H3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Remanente Anchoveta</vt:lpstr>
      <vt:lpstr>Remanente Ces. Ind. Anchoveta </vt:lpstr>
      <vt:lpstr>Artesanal S.española XV-IV</vt:lpstr>
      <vt:lpstr>Industrial</vt:lpstr>
      <vt:lpstr>Cesiones ind y colec</vt:lpstr>
      <vt:lpstr>P. Investigación</vt:lpstr>
      <vt:lpstr>Consumo humano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nperez</cp:lastModifiedBy>
  <dcterms:created xsi:type="dcterms:W3CDTF">2019-10-16T16:01:09Z</dcterms:created>
  <dcterms:modified xsi:type="dcterms:W3CDTF">2023-01-05T19:22:38Z</dcterms:modified>
</cp:coreProperties>
</file>