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Anchoveta y Sardina 2019\"/>
    </mc:Choice>
  </mc:AlternateContent>
  <bookViews>
    <workbookView xWindow="1050" yWindow="150" windowWidth="7305" windowHeight="9210" tabRatio="617" firstSheet="1" activeTab="4"/>
  </bookViews>
  <sheets>
    <sheet name="Resumen_año_19" sheetId="3" r:id="rId1"/>
    <sheet name="SARDINA AUSTRAL" sheetId="1" r:id="rId2"/>
    <sheet name="Investigación " sheetId="6" r:id="rId3"/>
    <sheet name="Consumo Humano " sheetId="7" r:id="rId4"/>
    <sheet name="Sardinaaustralweb" sheetId="5" r:id="rId5"/>
  </sheets>
  <externalReferences>
    <externalReference r:id="rId6"/>
  </externalReferences>
  <definedNames>
    <definedName name="_xlnm._FilterDatabase" localSheetId="1" hidden="1">'SARDINA AUSTRAL'!$E$7:$O$36</definedName>
    <definedName name="_xlnm._FilterDatabase" localSheetId="4" hidden="1">Sardinaaustralweb!$A$1:$O$41</definedName>
  </definedNames>
  <calcPr calcId="152511"/>
</workbook>
</file>

<file path=xl/calcChain.xml><?xml version="1.0" encoding="utf-8"?>
<calcChain xmlns="http://schemas.openxmlformats.org/spreadsheetml/2006/main">
  <c r="I32" i="1" l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1" i="1" l="1"/>
  <c r="G7" i="3" l="1"/>
  <c r="I9" i="1" l="1"/>
  <c r="I25" i="1" l="1"/>
  <c r="I23" i="1"/>
  <c r="D14" i="6"/>
  <c r="G12" i="3" s="1"/>
  <c r="N40" i="5" l="1"/>
  <c r="N39" i="5"/>
  <c r="H48" i="1" l="1"/>
  <c r="H50" i="1" s="1"/>
  <c r="B3" i="1" l="1"/>
  <c r="O4" i="5" l="1"/>
  <c r="O8" i="5"/>
  <c r="O12" i="5"/>
  <c r="O16" i="5"/>
  <c r="O20" i="5"/>
  <c r="O24" i="5"/>
  <c r="O28" i="5"/>
  <c r="O32" i="5"/>
  <c r="O36" i="5"/>
  <c r="O40" i="5"/>
  <c r="O5" i="5"/>
  <c r="O9" i="5"/>
  <c r="O13" i="5"/>
  <c r="O17" i="5"/>
  <c r="O21" i="5"/>
  <c r="O25" i="5"/>
  <c r="O29" i="5"/>
  <c r="O33" i="5"/>
  <c r="O37" i="5"/>
  <c r="O41" i="5"/>
  <c r="O6" i="5"/>
  <c r="O10" i="5"/>
  <c r="O14" i="5"/>
  <c r="O18" i="5"/>
  <c r="O22" i="5"/>
  <c r="O26" i="5"/>
  <c r="O30" i="5"/>
  <c r="O34" i="5"/>
  <c r="O38" i="5"/>
  <c r="O2" i="5"/>
  <c r="O3" i="5"/>
  <c r="O7" i="5"/>
  <c r="O11" i="5"/>
  <c r="O15" i="5"/>
  <c r="O19" i="5"/>
  <c r="O23" i="5"/>
  <c r="O27" i="5"/>
  <c r="O31" i="5"/>
  <c r="O35" i="5"/>
  <c r="O39" i="5"/>
  <c r="F13" i="6"/>
  <c r="D5" i="6"/>
  <c r="G15" i="1" l="1"/>
  <c r="G11" i="1" l="1"/>
  <c r="G19" i="1"/>
  <c r="G31" i="1" l="1"/>
  <c r="D15" i="3" l="1"/>
  <c r="F31" i="1"/>
  <c r="H44" i="1"/>
  <c r="J43" i="1" l="1"/>
  <c r="E7" i="3" l="1"/>
  <c r="G8" i="3"/>
  <c r="N2" i="5" l="1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K3" i="5"/>
  <c r="I5" i="5"/>
  <c r="K5" i="5"/>
  <c r="I6" i="5"/>
  <c r="K6" i="5"/>
  <c r="I7" i="5"/>
  <c r="I8" i="5"/>
  <c r="K8" i="5"/>
  <c r="I9" i="5"/>
  <c r="K9" i="5"/>
  <c r="I11" i="5"/>
  <c r="K11" i="5"/>
  <c r="I12" i="5"/>
  <c r="I13" i="5" s="1"/>
  <c r="K12" i="5"/>
  <c r="I14" i="5"/>
  <c r="K14" i="5"/>
  <c r="I15" i="5"/>
  <c r="K15" i="5"/>
  <c r="I17" i="5"/>
  <c r="K17" i="5"/>
  <c r="I18" i="5"/>
  <c r="K18" i="5"/>
  <c r="K19" i="5" s="1"/>
  <c r="I19" i="5"/>
  <c r="I20" i="5"/>
  <c r="K20" i="5"/>
  <c r="I21" i="5"/>
  <c r="K21" i="5"/>
  <c r="I23" i="5"/>
  <c r="K23" i="5"/>
  <c r="I24" i="5"/>
  <c r="I25" i="5" s="1"/>
  <c r="K24" i="5"/>
  <c r="K25" i="5" s="1"/>
  <c r="I26" i="5"/>
  <c r="K26" i="5"/>
  <c r="I27" i="5"/>
  <c r="K27" i="5"/>
  <c r="I29" i="5"/>
  <c r="K29" i="5"/>
  <c r="I30" i="5"/>
  <c r="K30" i="5"/>
  <c r="I32" i="5"/>
  <c r="K32" i="5"/>
  <c r="I33" i="5"/>
  <c r="K33" i="5"/>
  <c r="K34" i="5" s="1"/>
  <c r="I34" i="5"/>
  <c r="I35" i="5"/>
  <c r="K35" i="5"/>
  <c r="I36" i="5"/>
  <c r="K36" i="5"/>
  <c r="H33" i="5"/>
  <c r="H32" i="5"/>
  <c r="H30" i="5"/>
  <c r="H29" i="5"/>
  <c r="E34" i="5"/>
  <c r="E33" i="5"/>
  <c r="E32" i="5"/>
  <c r="G9" i="3"/>
  <c r="E13" i="6"/>
  <c r="E12" i="6"/>
  <c r="F12" i="6" s="1"/>
  <c r="H25" i="1"/>
  <c r="K25" i="1" s="1"/>
  <c r="M29" i="5" s="1"/>
  <c r="I38" i="5"/>
  <c r="K38" i="5"/>
  <c r="M34" i="1"/>
  <c r="P34" i="1"/>
  <c r="N34" i="1"/>
  <c r="P7" i="1"/>
  <c r="P9" i="1"/>
  <c r="P11" i="1"/>
  <c r="P13" i="1"/>
  <c r="P15" i="1"/>
  <c r="P17" i="1"/>
  <c r="P19" i="1"/>
  <c r="P21" i="1"/>
  <c r="P23" i="1"/>
  <c r="P25" i="1"/>
  <c r="P27" i="1"/>
  <c r="P29" i="1"/>
  <c r="N9" i="1"/>
  <c r="N11" i="1"/>
  <c r="N13" i="1"/>
  <c r="N17" i="1"/>
  <c r="N21" i="1"/>
  <c r="N23" i="1"/>
  <c r="N25" i="1"/>
  <c r="N27" i="1"/>
  <c r="N29" i="1"/>
  <c r="N7" i="1"/>
  <c r="M9" i="1"/>
  <c r="M11" i="1"/>
  <c r="M13" i="1"/>
  <c r="O13" i="1" s="1"/>
  <c r="M15" i="1"/>
  <c r="M17" i="1"/>
  <c r="M19" i="1"/>
  <c r="M21" i="1"/>
  <c r="M23" i="1"/>
  <c r="O23" i="1" s="1"/>
  <c r="M25" i="1"/>
  <c r="O25" i="1" s="1"/>
  <c r="M27" i="1"/>
  <c r="M29" i="1"/>
  <c r="O29" i="1" s="1"/>
  <c r="Q29" i="1" s="1"/>
  <c r="M7" i="1"/>
  <c r="O7" i="1" s="1"/>
  <c r="K13" i="5" l="1"/>
  <c r="K28" i="5"/>
  <c r="K7" i="5"/>
  <c r="I4" i="5"/>
  <c r="I28" i="5"/>
  <c r="I22" i="5"/>
  <c r="I10" i="5"/>
  <c r="K10" i="5"/>
  <c r="O17" i="1"/>
  <c r="Q17" i="1" s="1"/>
  <c r="H31" i="5"/>
  <c r="H34" i="5"/>
  <c r="K31" i="5"/>
  <c r="I16" i="5"/>
  <c r="K4" i="5"/>
  <c r="R29" i="1"/>
  <c r="I37" i="5"/>
  <c r="I31" i="5"/>
  <c r="K16" i="5"/>
  <c r="J29" i="5"/>
  <c r="K22" i="5"/>
  <c r="K37" i="5"/>
  <c r="Q25" i="1"/>
  <c r="O11" i="1"/>
  <c r="R11" i="1" s="1"/>
  <c r="Q23" i="1"/>
  <c r="O9" i="1"/>
  <c r="Q9" i="1" s="1"/>
  <c r="O34" i="1"/>
  <c r="R34" i="1" s="1"/>
  <c r="O21" i="1"/>
  <c r="Q13" i="1"/>
  <c r="Q7" i="1"/>
  <c r="O27" i="1"/>
  <c r="Q27" i="1" s="1"/>
  <c r="R25" i="1"/>
  <c r="R23" i="1"/>
  <c r="R17" i="1"/>
  <c r="R7" i="1"/>
  <c r="R13" i="1"/>
  <c r="N15" i="1"/>
  <c r="O15" i="1" s="1"/>
  <c r="Q15" i="1" s="1"/>
  <c r="N19" i="1"/>
  <c r="O19" i="1" s="1"/>
  <c r="Q21" i="1" l="1"/>
  <c r="Q34" i="1"/>
  <c r="R9" i="1"/>
  <c r="Q11" i="1"/>
  <c r="H26" i="1"/>
  <c r="J30" i="5" s="1"/>
  <c r="J31" i="5" s="1"/>
  <c r="L29" i="5"/>
  <c r="R27" i="1"/>
  <c r="R15" i="1"/>
  <c r="Q19" i="1"/>
  <c r="R19" i="1"/>
  <c r="K26" i="1" l="1"/>
  <c r="M30" i="5" s="1"/>
  <c r="M31" i="5" s="1"/>
  <c r="L30" i="5"/>
  <c r="L31" i="5" s="1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F37" i="1"/>
  <c r="I36" i="1"/>
  <c r="G11" i="3" s="1"/>
  <c r="G15" i="3" s="1"/>
  <c r="G36" i="1"/>
  <c r="E11" i="3" s="1"/>
  <c r="E15" i="3" s="1"/>
  <c r="F36" i="1"/>
  <c r="H34" i="1"/>
  <c r="H29" i="1"/>
  <c r="J35" i="5" s="1"/>
  <c r="H27" i="1"/>
  <c r="J32" i="5" s="1"/>
  <c r="H23" i="1"/>
  <c r="J26" i="5" s="1"/>
  <c r="H21" i="1"/>
  <c r="H19" i="1"/>
  <c r="J20" i="5" s="1"/>
  <c r="H17" i="1"/>
  <c r="J17" i="5" s="1"/>
  <c r="H15" i="1"/>
  <c r="J14" i="5" s="1"/>
  <c r="H13" i="1"/>
  <c r="J11" i="5" s="1"/>
  <c r="H11" i="1"/>
  <c r="J8" i="5" s="1"/>
  <c r="H9" i="1"/>
  <c r="J5" i="5" s="1"/>
  <c r="H7" i="1"/>
  <c r="J2" i="5" s="1"/>
  <c r="L23" i="5" l="1"/>
  <c r="J23" i="5"/>
  <c r="K7" i="1"/>
  <c r="M2" i="5" s="1"/>
  <c r="L8" i="5"/>
  <c r="K13" i="1"/>
  <c r="M11" i="5" s="1"/>
  <c r="K29" i="1"/>
  <c r="M35" i="5" s="1"/>
  <c r="K34" i="1"/>
  <c r="M39" i="5" s="1"/>
  <c r="J39" i="5"/>
  <c r="K11" i="1"/>
  <c r="M8" i="5" s="1"/>
  <c r="K19" i="1"/>
  <c r="M20" i="5" s="1"/>
  <c r="K27" i="1"/>
  <c r="M32" i="5" s="1"/>
  <c r="L17" i="5"/>
  <c r="K17" i="1"/>
  <c r="M17" i="5" s="1"/>
  <c r="L26" i="5"/>
  <c r="K23" i="1"/>
  <c r="M26" i="5" s="1"/>
  <c r="K9" i="1"/>
  <c r="M5" i="5" s="1"/>
  <c r="L14" i="5"/>
  <c r="K15" i="1"/>
  <c r="M14" i="5" s="1"/>
  <c r="K21" i="1"/>
  <c r="M23" i="5" s="1"/>
  <c r="J34" i="1"/>
  <c r="F7" i="3"/>
  <c r="H8" i="3"/>
  <c r="H13" i="3"/>
  <c r="L20" i="5"/>
  <c r="H9" i="3"/>
  <c r="I8" i="3"/>
  <c r="F11" i="3"/>
  <c r="I10" i="3"/>
  <c r="H14" i="3"/>
  <c r="H12" i="3"/>
  <c r="I12" i="3"/>
  <c r="H10" i="3"/>
  <c r="I9" i="3"/>
  <c r="H22" i="1" l="1"/>
  <c r="J24" i="5" s="1"/>
  <c r="J25" i="5" s="1"/>
  <c r="I7" i="3"/>
  <c r="F15" i="3"/>
  <c r="H8" i="1"/>
  <c r="J3" i="5" s="1"/>
  <c r="J4" i="5" s="1"/>
  <c r="L2" i="5"/>
  <c r="L32" i="5"/>
  <c r="H28" i="1"/>
  <c r="J33" i="5" s="1"/>
  <c r="J34" i="5" s="1"/>
  <c r="L11" i="5"/>
  <c r="H14" i="1"/>
  <c r="J12" i="5" s="1"/>
  <c r="J13" i="5" s="1"/>
  <c r="H10" i="1"/>
  <c r="J6" i="5" s="1"/>
  <c r="J7" i="5" s="1"/>
  <c r="L5" i="5"/>
  <c r="L35" i="5"/>
  <c r="H30" i="1"/>
  <c r="J36" i="5" s="1"/>
  <c r="J37" i="5" s="1"/>
  <c r="H24" i="1"/>
  <c r="H16" i="1"/>
  <c r="H18" i="1"/>
  <c r="H12" i="1"/>
  <c r="J9" i="5" s="1"/>
  <c r="J10" i="5" s="1"/>
  <c r="H20" i="1"/>
  <c r="J21" i="5" s="1"/>
  <c r="J22" i="5" s="1"/>
  <c r="H35" i="1"/>
  <c r="H36" i="1" s="1"/>
  <c r="L39" i="5"/>
  <c r="H11" i="3"/>
  <c r="I11" i="3"/>
  <c r="H7" i="3"/>
  <c r="L24" i="5" l="1"/>
  <c r="L25" i="5" s="1"/>
  <c r="K22" i="1"/>
  <c r="M24" i="5" s="1"/>
  <c r="M25" i="5" s="1"/>
  <c r="K30" i="1"/>
  <c r="M36" i="5" s="1"/>
  <c r="M37" i="5" s="1"/>
  <c r="L6" i="5"/>
  <c r="L7" i="5" s="1"/>
  <c r="L18" i="5"/>
  <c r="L19" i="5" s="1"/>
  <c r="J18" i="5"/>
  <c r="J19" i="5" s="1"/>
  <c r="L15" i="5"/>
  <c r="L16" i="5" s="1"/>
  <c r="J15" i="5"/>
  <c r="J16" i="5" s="1"/>
  <c r="K10" i="1"/>
  <c r="M6" i="5" s="1"/>
  <c r="M7" i="5" s="1"/>
  <c r="L27" i="5"/>
  <c r="L28" i="5" s="1"/>
  <c r="J27" i="5"/>
  <c r="J28" i="5" s="1"/>
  <c r="L36" i="5"/>
  <c r="L37" i="5" s="1"/>
  <c r="H31" i="1"/>
  <c r="L3" i="5"/>
  <c r="L4" i="5" s="1"/>
  <c r="K24" i="1"/>
  <c r="M27" i="5" s="1"/>
  <c r="M28" i="5" s="1"/>
  <c r="K8" i="1"/>
  <c r="M3" i="5" s="1"/>
  <c r="M4" i="5" s="1"/>
  <c r="K18" i="1"/>
  <c r="M18" i="5" s="1"/>
  <c r="M19" i="5" s="1"/>
  <c r="K16" i="1"/>
  <c r="M15" i="5" s="1"/>
  <c r="M16" i="5" s="1"/>
  <c r="L9" i="5"/>
  <c r="L10" i="5" s="1"/>
  <c r="K12" i="1"/>
  <c r="M9" i="5" s="1"/>
  <c r="M10" i="5" s="1"/>
  <c r="K35" i="1"/>
  <c r="M40" i="5" s="1"/>
  <c r="K14" i="1"/>
  <c r="M12" i="5" s="1"/>
  <c r="M13" i="5" s="1"/>
  <c r="L12" i="5"/>
  <c r="L13" i="5" s="1"/>
  <c r="K28" i="1"/>
  <c r="M33" i="5" s="1"/>
  <c r="M34" i="5" s="1"/>
  <c r="L33" i="5"/>
  <c r="L34" i="5" s="1"/>
  <c r="L21" i="5"/>
  <c r="L22" i="5" s="1"/>
  <c r="K20" i="1"/>
  <c r="M21" i="5" s="1"/>
  <c r="M22" i="5" s="1"/>
  <c r="J35" i="1"/>
  <c r="L40" i="5" s="1"/>
  <c r="J40" i="5"/>
  <c r="K31" i="1" l="1"/>
  <c r="M38" i="5" s="1"/>
  <c r="J38" i="5"/>
  <c r="J31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  <author>MOLINA SAN MARTIN, KAMILA FERNANDA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
Res. N° 2287-19 Cesión de 77,939 desde Estrella del Sur de Calbuco
Res. N° 05-19 Cesión de 50 ton desde STI CAMINO CHINQUIHUE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desde  STI PROVEEDORES MARITIMOS DE QUILLAIPE 
Res. N° 1410-19 Cesión de 
cesion art-art, incremento de 100 ton desde STI CAMINO CHINQUIHUE  (RES N° 1410 del 11-04-2019)
Res. N° 1681-19 Cesión de 50 ton desde  STI CAMINO CHINQUIHUE  
Res. N° 1790-19 Cesión de 20 ton desde  STI CAMINO CHINQUIHUE  
Res. N° 15-19 Cesión de 238,951 ton desde STI PECERCAL</t>
        </r>
      </text>
    </comment>
    <comment ref="L15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 N° 2288-19 Cierre Enero - Diciembre
Res. Ex. N° 2816-19 Cierre Enero - Octubre
Res. Ex N° 2998-19 Deja sin efecto Res. Ex. N° 2288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
Res. N° 05 Cesión de 50 ton a ASOGFER AG</t>
        </r>
      </text>
    </comment>
    <comment ref="G21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2287-19 Cesión de 77,939 a ASOGFER A.G</t>
        </r>
      </text>
    </comment>
    <comment ref="G23" authorId="2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15-19 Cesión de 238,951 ton a ASOGPESCA ANCUD AG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a ASOGPESCA ANCUD AG
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<sst xmlns="http://schemas.openxmlformats.org/spreadsheetml/2006/main" count="453" uniqueCount="104">
  <si>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</si>
  <si>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</si>
  <si>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</si>
  <si>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</si>
  <si>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</si>
  <si>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</si>
  <si>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</si>
  <si>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</si>
  <si>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</si>
  <si>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</si>
  <si>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</si>
  <si>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</si>
  <si>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</si>
  <si>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</si>
  <si>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</si>
  <si>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</si>
  <si>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</si>
  <si>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</si>
  <si>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</si>
  <si>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</si>
  <si>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</si>
  <si>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</si>
  <si>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</si>
  <si>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</si>
  <si>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</si>
  <si>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</si>
  <si>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</si>
  <si>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</si>
  <si>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</si>
  <si>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</si>
  <si>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</si>
  <si>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</si>
  <si>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</si>
  <si>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</si>
  <si>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</si>
  <si>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</si>
  <si>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</si>
  <si>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</si>
  <si>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</si>
  <si>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</si>
  <si>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</si>
  <si>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</si>
  <si>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</si>
  <si>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</si>
  <si>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</si>
  <si>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</si>
  <si>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</si>
  <si>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</si>
  <si>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</si>
  <si>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</si>
  <si>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</si>
  <si>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</si>
  <si>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</si>
  <si>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</si>
  <si>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</si>
  <si>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</si>
  <si>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</si>
  <si>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</si>
  <si>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</si>
  <si>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</si>
  <si>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</si>
  <si>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</si>
  <si>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</si>
  <si>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</si>
  <si>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</si>
  <si>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</si>
  <si>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</si>
  <si>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</si>
  <si>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</si>
  <si>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</si>
  <si>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</si>
  <si>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</si>
  <si>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</si>
  <si>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</si>
  <si>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</si>
  <si>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</si>
  <si>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</si>
  <si>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</si>
  <si>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</si>
  <si>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</si>
  <si>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</si>
  <si>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</si>
  <si>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</si>
  <si>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</si>
  <si>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</si>
  <si>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</si>
  <si>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</si>
  <si>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</si>
  <si>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</si>
  <si>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</si>
  <si>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</si>
  <si>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</si>
  <si>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</si>
  <si>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</si>
  <si>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</si>
  <si>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</si>
  <si>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</si>
  <si>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</si>
  <si>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</si>
  <si>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</si>
  <si>
    <t>Información preliminar</t>
  </si>
  <si>
    <t>% Consumo</t>
  </si>
  <si>
    <t>año</t>
  </si>
  <si>
    <t>mensaje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</si>
</sst>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yyyy/mm/dd;@"/>
    <numFmt numFmtId="169" formatCode="0.00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8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8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2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55" xfId="0" applyFill="1" applyBorder="1"/>
    <xf numFmtId="0" fontId="0" fillId="2" borderId="1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/>
    </xf>
    <xf numFmtId="0" fontId="9" fillId="8" borderId="24" xfId="0" applyNumberFormat="1" applyFont="1" applyFill="1" applyBorder="1" applyAlignment="1">
      <alignment horizontal="center" vertical="center"/>
    </xf>
    <xf numFmtId="0" fontId="45" fillId="8" borderId="19" xfId="0" applyNumberFormat="1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14" fontId="8" fillId="7" borderId="19" xfId="2" applyNumberFormat="1" applyFont="1" applyFill="1" applyBorder="1" applyAlignment="1">
      <alignment horizontal="center"/>
    </xf>
    <xf numFmtId="14" fontId="8" fillId="7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47" fillId="5" borderId="6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51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9" fontId="0" fillId="2" borderId="58" xfId="2" applyFont="1" applyFill="1" applyBorder="1"/>
    <xf numFmtId="0" fontId="0" fillId="2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69" fontId="0" fillId="2" borderId="58" xfId="2" applyNumberFormat="1" applyFont="1" applyFill="1" applyBorder="1"/>
    <xf numFmtId="14" fontId="0" fillId="8" borderId="0" xfId="0" applyNumberFormat="1" applyFont="1" applyFill="1"/>
    <xf numFmtId="168" fontId="0" fillId="8" borderId="22" xfId="2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0" fillId="8" borderId="14" xfId="0" applyFont="1" applyFill="1" applyBorder="1" applyAlignment="1">
      <alignment vertical="center"/>
    </xf>
    <xf numFmtId="2" fontId="45" fillId="38" borderId="25" xfId="0" applyNumberFormat="1" applyFont="1" applyFill="1" applyBorder="1" applyAlignment="1">
      <alignment horizontal="center" vertical="center" wrapText="1"/>
    </xf>
    <xf numFmtId="0" fontId="9" fillId="38" borderId="25" xfId="0" applyNumberFormat="1" applyFont="1" applyFill="1" applyBorder="1" applyAlignment="1">
      <alignment horizontal="center" vertical="center"/>
    </xf>
    <xf numFmtId="0" fontId="9" fillId="38" borderId="19" xfId="0" applyNumberFormat="1" applyFont="1" applyFill="1" applyBorder="1" applyAlignment="1">
      <alignment horizontal="center" vertical="center"/>
    </xf>
    <xf numFmtId="0" fontId="45" fillId="38" borderId="19" xfId="0" applyNumberFormat="1" applyFont="1" applyFill="1" applyBorder="1" applyAlignment="1">
      <alignment horizontal="center" vertical="center"/>
    </xf>
    <xf numFmtId="2" fontId="45" fillId="38" borderId="19" xfId="0" applyNumberFormat="1" applyFont="1" applyFill="1" applyBorder="1" applyAlignment="1">
      <alignment horizontal="center" vertical="center" wrapText="1"/>
    </xf>
    <xf numFmtId="0" fontId="9" fillId="38" borderId="9" xfId="0" applyNumberFormat="1" applyFont="1" applyFill="1" applyBorder="1" applyAlignment="1">
      <alignment horizontal="center" vertical="center"/>
    </xf>
    <xf numFmtId="0" fontId="2" fillId="38" borderId="6" xfId="0" applyNumberFormat="1" applyFont="1" applyFill="1" applyBorder="1" applyAlignment="1">
      <alignment horizontal="center" vertical="center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48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164" fontId="41" fillId="4" borderId="0" xfId="0" applyNumberFormat="1" applyFont="1" applyFill="1" applyBorder="1" applyAlignment="1">
      <alignment horizontal="center" vertical="center"/>
    </xf>
    <xf numFmtId="2" fontId="40" fillId="4" borderId="0" xfId="0" applyNumberFormat="1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6" fontId="0" fillId="8" borderId="14" xfId="0" applyNumberForma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8" fillId="35" borderId="0" xfId="0" applyNumberFormat="1" applyFont="1" applyFill="1" applyBorder="1" applyAlignment="1">
      <alignment horizontal="center"/>
    </xf>
    <xf numFmtId="9" fontId="0" fillId="8" borderId="45" xfId="2" applyNumberFormat="1" applyFont="1" applyFill="1" applyBorder="1" applyAlignment="1">
      <alignment horizontal="center" vertical="center"/>
    </xf>
    <xf numFmtId="14" fontId="5" fillId="5" borderId="53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zoomScale="80" zoomScaleNormal="80" workbookViewId="0">
      <selection activeCell="D23" sqref="D23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7" customFormat="1"/>
    <row r="2" spans="1:18" s="51" customFormat="1" ht="31.5" customHeight="1">
      <c r="A2" s="50"/>
      <c r="B2" s="175" t="s">
        <v>89</v>
      </c>
      <c r="C2" s="175"/>
      <c r="D2" s="175"/>
      <c r="E2" s="175"/>
      <c r="F2" s="175"/>
      <c r="G2" s="175"/>
      <c r="H2" s="175"/>
      <c r="I2" s="175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74" t="s">
        <v>26</v>
      </c>
      <c r="C3" s="174"/>
      <c r="D3" s="174"/>
      <c r="E3" s="174"/>
      <c r="F3" s="174"/>
      <c r="G3" s="174"/>
      <c r="H3" s="174"/>
      <c r="I3" s="174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74">
        <v>43803</v>
      </c>
      <c r="C4" s="174"/>
      <c r="D4" s="174"/>
      <c r="E4" s="174"/>
      <c r="F4" s="174"/>
      <c r="G4" s="174"/>
      <c r="H4" s="174"/>
      <c r="I4" s="174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6" t="s">
        <v>27</v>
      </c>
      <c r="C6" s="87" t="s">
        <v>28</v>
      </c>
      <c r="D6" s="88" t="s">
        <v>29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30</v>
      </c>
      <c r="J6" s="99"/>
    </row>
    <row r="7" spans="1:18" s="52" customFormat="1">
      <c r="B7" s="171" t="s">
        <v>32</v>
      </c>
      <c r="C7" s="90" t="s">
        <v>31</v>
      </c>
      <c r="D7" s="91">
        <v>10941</v>
      </c>
      <c r="E7" s="92">
        <f>'SARDINA AUSTRAL'!G31+'SARDINA AUSTRAL'!H44</f>
        <v>-8.5265128291212022E-14</v>
      </c>
      <c r="F7" s="91">
        <f t="shared" ref="F7:F14" si="0">+E7+D7</f>
        <v>10941</v>
      </c>
      <c r="G7" s="141">
        <f>'SARDINA AUSTRAL'!I31</f>
        <v>9625.969000000001</v>
      </c>
      <c r="H7" s="91">
        <f t="shared" ref="H7:H14" si="1">+F7-G7</f>
        <v>1315.030999999999</v>
      </c>
      <c r="I7" s="127">
        <f t="shared" ref="I7:I12" si="2">+G7/F7</f>
        <v>0.87980705602778553</v>
      </c>
    </row>
    <row r="8" spans="1:18" s="52" customFormat="1">
      <c r="B8" s="172"/>
      <c r="C8" s="55" t="s">
        <v>10</v>
      </c>
      <c r="D8" s="53">
        <v>35</v>
      </c>
      <c r="E8" s="54"/>
      <c r="F8" s="93">
        <f t="shared" si="0"/>
        <v>35</v>
      </c>
      <c r="G8" s="94">
        <f>'Investigación '!D12</f>
        <v>0.37</v>
      </c>
      <c r="H8" s="93">
        <f t="shared" si="1"/>
        <v>34.630000000000003</v>
      </c>
      <c r="I8" s="128">
        <f t="shared" si="2"/>
        <v>1.0571428571428572E-2</v>
      </c>
    </row>
    <row r="9" spans="1:18" s="52" customFormat="1" ht="26.25" customHeight="1">
      <c r="B9" s="172"/>
      <c r="C9" s="55" t="s">
        <v>11</v>
      </c>
      <c r="D9" s="53">
        <v>111</v>
      </c>
      <c r="E9" s="54"/>
      <c r="F9" s="93">
        <f t="shared" si="0"/>
        <v>111</v>
      </c>
      <c r="G9" s="94">
        <f>'Consumo Humano '!E8</f>
        <v>0</v>
      </c>
      <c r="H9" s="93">
        <f t="shared" si="1"/>
        <v>111</v>
      </c>
      <c r="I9" s="128">
        <f t="shared" si="2"/>
        <v>0</v>
      </c>
    </row>
    <row r="10" spans="1:18" s="52" customFormat="1" ht="22.5" customHeight="1" thickBot="1">
      <c r="B10" s="173"/>
      <c r="C10" s="56" t="s">
        <v>12</v>
      </c>
      <c r="D10" s="83">
        <v>50</v>
      </c>
      <c r="E10" s="84"/>
      <c r="F10" s="95">
        <f t="shared" si="0"/>
        <v>50</v>
      </c>
      <c r="G10" s="85">
        <v>0</v>
      </c>
      <c r="H10" s="95">
        <f t="shared" si="1"/>
        <v>50</v>
      </c>
      <c r="I10" s="129">
        <f t="shared" si="2"/>
        <v>0</v>
      </c>
    </row>
    <row r="11" spans="1:18" s="52" customFormat="1">
      <c r="B11" s="172" t="s">
        <v>33</v>
      </c>
      <c r="C11" s="96" t="s">
        <v>34</v>
      </c>
      <c r="D11" s="97">
        <v>4265</v>
      </c>
      <c r="E11" s="98">
        <f>'SARDINA AUSTRAL'!G36</f>
        <v>0</v>
      </c>
      <c r="F11" s="97">
        <f t="shared" si="0"/>
        <v>4265</v>
      </c>
      <c r="G11" s="141">
        <f>'SARDINA AUSTRAL'!I36</f>
        <v>678.21299999999997</v>
      </c>
      <c r="H11" s="97">
        <f t="shared" si="1"/>
        <v>3586.7870000000003</v>
      </c>
      <c r="I11" s="130">
        <f t="shared" si="2"/>
        <v>0.15901828839390386</v>
      </c>
    </row>
    <row r="12" spans="1:18" s="52" customFormat="1" ht="19.5" customHeight="1">
      <c r="B12" s="172"/>
      <c r="C12" s="55" t="s">
        <v>10</v>
      </c>
      <c r="D12" s="53">
        <v>35</v>
      </c>
      <c r="E12" s="54"/>
      <c r="F12" s="93">
        <f t="shared" si="0"/>
        <v>35</v>
      </c>
      <c r="G12" s="94">
        <f>'Investigación '!D14</f>
        <v>0.37</v>
      </c>
      <c r="H12" s="93">
        <f t="shared" si="1"/>
        <v>34.630000000000003</v>
      </c>
      <c r="I12" s="128">
        <f t="shared" si="2"/>
        <v>1.0571428571428572E-2</v>
      </c>
    </row>
    <row r="13" spans="1:18" s="52" customFormat="1" ht="21" customHeight="1">
      <c r="B13" s="172"/>
      <c r="C13" s="55" t="s">
        <v>11</v>
      </c>
      <c r="D13" s="53">
        <v>0</v>
      </c>
      <c r="E13" s="54"/>
      <c r="F13" s="93">
        <f t="shared" si="0"/>
        <v>0</v>
      </c>
      <c r="G13" s="94">
        <v>0</v>
      </c>
      <c r="H13" s="93">
        <f t="shared" si="1"/>
        <v>0</v>
      </c>
      <c r="I13" s="128">
        <v>0</v>
      </c>
    </row>
    <row r="14" spans="1:18" s="52" customFormat="1" ht="15.75" thickBot="1">
      <c r="B14" s="173"/>
      <c r="C14" s="56" t="s">
        <v>12</v>
      </c>
      <c r="D14" s="83">
        <v>0</v>
      </c>
      <c r="E14" s="84"/>
      <c r="F14" s="95">
        <f t="shared" si="0"/>
        <v>0</v>
      </c>
      <c r="G14" s="85">
        <v>0</v>
      </c>
      <c r="H14" s="95">
        <f t="shared" si="1"/>
        <v>0</v>
      </c>
      <c r="I14" s="129">
        <v>0</v>
      </c>
    </row>
    <row r="15" spans="1:18" s="52" customFormat="1">
      <c r="D15" s="140">
        <f>SUM(D7:D14)</f>
        <v>15437</v>
      </c>
      <c r="E15" s="140">
        <f>SUM(E7:E14)</f>
        <v>-8.5265128291212022E-14</v>
      </c>
      <c r="F15" s="140">
        <f>SUM(F7:F14)</f>
        <v>15437</v>
      </c>
      <c r="G15" s="132">
        <f>SUM(G7:G14)</f>
        <v>10304.922000000002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9"/>
  <sheetViews>
    <sheetView zoomScale="80" zoomScaleNormal="80" workbookViewId="0">
      <selection activeCell="M21" sqref="M21:M22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201" t="s">
        <v>90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15">
        <f>+Resumen_año_19!B4</f>
        <v>43803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>
      <c r="B4" s="213" t="s">
        <v>100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112" t="s">
        <v>78</v>
      </c>
      <c r="L6" s="5" t="s">
        <v>80</v>
      </c>
      <c r="M6" s="9" t="s">
        <v>74</v>
      </c>
      <c r="N6" s="11" t="s">
        <v>92</v>
      </c>
      <c r="O6" s="8" t="s">
        <v>6</v>
      </c>
      <c r="P6" s="8" t="s">
        <v>76</v>
      </c>
      <c r="Q6" s="8" t="s">
        <v>77</v>
      </c>
      <c r="R6" s="8" t="s">
        <v>78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>
      <c r="A7" s="1">
        <v>1</v>
      </c>
      <c r="B7" s="202" t="s">
        <v>82</v>
      </c>
      <c r="C7" s="205" t="s">
        <v>15</v>
      </c>
      <c r="D7" s="103">
        <v>104</v>
      </c>
      <c r="E7" s="104" t="s">
        <v>13</v>
      </c>
      <c r="F7" s="70">
        <v>568.21100000000001</v>
      </c>
      <c r="G7" s="71"/>
      <c r="H7" s="72">
        <f>F7+G7</f>
        <v>568.21100000000001</v>
      </c>
      <c r="I7" s="169">
        <v>534.67999999999995</v>
      </c>
      <c r="J7" s="73">
        <f t="shared" ref="J7:J30" si="0">H7-I7</f>
        <v>33.531000000000063</v>
      </c>
      <c r="K7" s="74">
        <f>I7/H7</f>
        <v>0.94098847083213799</v>
      </c>
      <c r="L7" s="74" t="s">
        <v>73</v>
      </c>
      <c r="M7" s="199">
        <f>F7+F8</f>
        <v>631.33900000000006</v>
      </c>
      <c r="N7" s="200">
        <f>G7+G8</f>
        <v>0</v>
      </c>
      <c r="O7" s="180">
        <f>M7+N7</f>
        <v>631.33900000000006</v>
      </c>
      <c r="P7" s="185">
        <f>I7+I8</f>
        <v>537.67999999999995</v>
      </c>
      <c r="Q7" s="180">
        <f>O7-P7</f>
        <v>93.659000000000106</v>
      </c>
      <c r="R7" s="181">
        <f>P7/O7</f>
        <v>0.8516502227804712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B8" s="203"/>
      <c r="C8" s="206"/>
      <c r="D8" s="14">
        <v>104</v>
      </c>
      <c r="E8" s="100" t="s">
        <v>14</v>
      </c>
      <c r="F8" s="15">
        <v>63.128</v>
      </c>
      <c r="G8" s="16"/>
      <c r="H8" s="17">
        <f>+F8+J7+G8</f>
        <v>96.659000000000063</v>
      </c>
      <c r="I8" s="142">
        <v>3</v>
      </c>
      <c r="J8" s="18">
        <f t="shared" si="0"/>
        <v>93.659000000000063</v>
      </c>
      <c r="K8" s="19">
        <f t="shared" ref="K8:K30" si="1">I8/H8</f>
        <v>3.103694430937624E-2</v>
      </c>
      <c r="L8" s="19" t="s">
        <v>73</v>
      </c>
      <c r="M8" s="186"/>
      <c r="N8" s="187"/>
      <c r="O8" s="176"/>
      <c r="P8" s="194"/>
      <c r="Q8" s="194"/>
      <c r="R8" s="18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A9" s="1">
        <v>2</v>
      </c>
      <c r="B9" s="203"/>
      <c r="C9" s="190" t="s">
        <v>16</v>
      </c>
      <c r="D9" s="20">
        <v>165</v>
      </c>
      <c r="E9" s="100" t="s">
        <v>13</v>
      </c>
      <c r="F9" s="75">
        <v>2437.1149999999998</v>
      </c>
      <c r="G9" s="21"/>
      <c r="H9" s="105">
        <f>F9+G9</f>
        <v>2437.1149999999998</v>
      </c>
      <c r="I9" s="168">
        <f>2246.182+1.35+29.104+5.565+2.332+13.5+0.5</f>
        <v>2298.5329999999994</v>
      </c>
      <c r="J9" s="76">
        <f t="shared" si="0"/>
        <v>138.58200000000033</v>
      </c>
      <c r="K9" s="22">
        <f>I9/H9</f>
        <v>0.94313686469452596</v>
      </c>
      <c r="L9" s="22" t="s">
        <v>73</v>
      </c>
      <c r="M9" s="186">
        <f>F9+F10</f>
        <v>2707.8779999999997</v>
      </c>
      <c r="N9" s="187">
        <f>G9+G10</f>
        <v>0</v>
      </c>
      <c r="O9" s="176">
        <f>M9+N9</f>
        <v>2707.8779999999997</v>
      </c>
      <c r="P9" s="194">
        <f>I9+I10</f>
        <v>2451.1019999999994</v>
      </c>
      <c r="Q9" s="176">
        <f>O9-P9</f>
        <v>256.77600000000029</v>
      </c>
      <c r="R9" s="183">
        <f>P9/O9</f>
        <v>0.90517445763804705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B10" s="203"/>
      <c r="C10" s="207"/>
      <c r="D10" s="14">
        <v>165</v>
      </c>
      <c r="E10" s="100" t="s">
        <v>14</v>
      </c>
      <c r="F10" s="23">
        <v>270.76299999999998</v>
      </c>
      <c r="G10" s="24"/>
      <c r="H10" s="17">
        <f>+F10+J9+G10</f>
        <v>409.34500000000031</v>
      </c>
      <c r="I10" s="143">
        <v>152.56899999999999</v>
      </c>
      <c r="J10" s="18">
        <f t="shared" si="0"/>
        <v>256.77600000000029</v>
      </c>
      <c r="K10" s="22">
        <f>I10/H10</f>
        <v>0.37271494704955449</v>
      </c>
      <c r="L10" s="22" t="s">
        <v>73</v>
      </c>
      <c r="M10" s="186"/>
      <c r="N10" s="187"/>
      <c r="O10" s="176"/>
      <c r="P10" s="194"/>
      <c r="Q10" s="194"/>
      <c r="R10" s="18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A11" s="1">
        <v>3</v>
      </c>
      <c r="B11" s="203"/>
      <c r="C11" s="190" t="s">
        <v>88</v>
      </c>
      <c r="D11" s="20">
        <v>166</v>
      </c>
      <c r="E11" s="100" t="s">
        <v>13</v>
      </c>
      <c r="F11" s="75">
        <v>1537.75</v>
      </c>
      <c r="G11" s="21">
        <f>687+77.939+50</f>
        <v>814.93899999999996</v>
      </c>
      <c r="H11" s="105">
        <f>F11+G11</f>
        <v>2352.6889999999999</v>
      </c>
      <c r="I11" s="164">
        <v>2026.6489999999999</v>
      </c>
      <c r="J11" s="76">
        <f t="shared" si="0"/>
        <v>326.03999999999996</v>
      </c>
      <c r="K11" s="25">
        <f t="shared" si="1"/>
        <v>0.86141814748995726</v>
      </c>
      <c r="L11" s="25" t="s">
        <v>73</v>
      </c>
      <c r="M11" s="186">
        <f>F11+F12</f>
        <v>1708.5940000000001</v>
      </c>
      <c r="N11" s="187">
        <f>G11+G12</f>
        <v>814.93899999999996</v>
      </c>
      <c r="O11" s="176">
        <f>M11+N11</f>
        <v>2523.5329999999999</v>
      </c>
      <c r="P11" s="194">
        <f>I11+I12</f>
        <v>2574.5239999999999</v>
      </c>
      <c r="Q11" s="176">
        <f>O11-P11</f>
        <v>-50.990999999999985</v>
      </c>
      <c r="R11" s="183">
        <f>P11/O11</f>
        <v>1.0202061950448043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B12" s="203"/>
      <c r="C12" s="207"/>
      <c r="D12" s="14">
        <v>166</v>
      </c>
      <c r="E12" s="100" t="s">
        <v>14</v>
      </c>
      <c r="F12" s="23">
        <v>170.84399999999999</v>
      </c>
      <c r="G12" s="24"/>
      <c r="H12" s="17">
        <f>+F12+J11+G12</f>
        <v>496.88399999999996</v>
      </c>
      <c r="I12" s="142">
        <v>547.875</v>
      </c>
      <c r="J12" s="18">
        <f t="shared" si="0"/>
        <v>-50.991000000000042</v>
      </c>
      <c r="K12" s="19">
        <f t="shared" si="1"/>
        <v>1.1026215374212092</v>
      </c>
      <c r="L12" s="19" t="s">
        <v>73</v>
      </c>
      <c r="M12" s="186"/>
      <c r="N12" s="187"/>
      <c r="O12" s="176"/>
      <c r="P12" s="194"/>
      <c r="Q12" s="194"/>
      <c r="R12" s="18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A13" s="1">
        <v>4</v>
      </c>
      <c r="B13" s="203"/>
      <c r="C13" s="209" t="s">
        <v>17</v>
      </c>
      <c r="D13" s="20">
        <v>167</v>
      </c>
      <c r="E13" s="100" t="s">
        <v>13</v>
      </c>
      <c r="F13" s="75">
        <v>495.55399999999997</v>
      </c>
      <c r="G13" s="21"/>
      <c r="H13" s="105">
        <f>F13+G13</f>
        <v>495.55399999999997</v>
      </c>
      <c r="I13" s="167">
        <v>386.54199999999997</v>
      </c>
      <c r="J13" s="76">
        <f t="shared" si="0"/>
        <v>109.012</v>
      </c>
      <c r="K13" s="25">
        <f t="shared" si="1"/>
        <v>0.78001993728231434</v>
      </c>
      <c r="L13" s="25" t="s">
        <v>73</v>
      </c>
      <c r="M13" s="186">
        <f>F13+F14</f>
        <v>545.45399999999995</v>
      </c>
      <c r="N13" s="187">
        <f>G13+G14</f>
        <v>0</v>
      </c>
      <c r="O13" s="176">
        <f>M13+N13</f>
        <v>545.45399999999995</v>
      </c>
      <c r="P13" s="194">
        <f>I13+I14</f>
        <v>560.59199999999998</v>
      </c>
      <c r="Q13" s="176">
        <f>O13-P13</f>
        <v>-15.138000000000034</v>
      </c>
      <c r="R13" s="183">
        <f>P13/O13</f>
        <v>1.0277530277530278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B14" s="203"/>
      <c r="C14" s="206"/>
      <c r="D14" s="14">
        <v>167</v>
      </c>
      <c r="E14" s="100" t="s">
        <v>14</v>
      </c>
      <c r="F14" s="23">
        <v>49.9</v>
      </c>
      <c r="G14" s="24"/>
      <c r="H14" s="17">
        <f>+F14+J13+G14</f>
        <v>158.91200000000001</v>
      </c>
      <c r="I14" s="145">
        <v>174.05</v>
      </c>
      <c r="J14" s="18">
        <f t="shared" si="0"/>
        <v>-15.138000000000005</v>
      </c>
      <c r="K14" s="19">
        <f t="shared" si="1"/>
        <v>1.0952602698348772</v>
      </c>
      <c r="L14" s="148">
        <v>43772</v>
      </c>
      <c r="M14" s="186"/>
      <c r="N14" s="187"/>
      <c r="O14" s="176"/>
      <c r="P14" s="194"/>
      <c r="Q14" s="194"/>
      <c r="R14" s="18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A15" s="1">
        <v>5</v>
      </c>
      <c r="B15" s="203"/>
      <c r="C15" s="208" t="s">
        <v>18</v>
      </c>
      <c r="D15" s="20">
        <v>170</v>
      </c>
      <c r="E15" s="100" t="s">
        <v>13</v>
      </c>
      <c r="F15" s="15">
        <v>777.62800000000004</v>
      </c>
      <c r="G15" s="21">
        <f>20+174+100+50+238.951</f>
        <v>582.95100000000002</v>
      </c>
      <c r="H15" s="105">
        <f>F15+G15</f>
        <v>1360.5790000000002</v>
      </c>
      <c r="I15" s="168">
        <v>1399.038</v>
      </c>
      <c r="J15" s="76">
        <f t="shared" si="0"/>
        <v>-38.458999999999833</v>
      </c>
      <c r="K15" s="25">
        <f t="shared" si="1"/>
        <v>1.0282666423632878</v>
      </c>
      <c r="L15" s="147">
        <v>43689</v>
      </c>
      <c r="M15" s="186">
        <f>F15+F16</f>
        <v>864.02200000000005</v>
      </c>
      <c r="N15" s="187">
        <f>G15+G16</f>
        <v>582.95100000000002</v>
      </c>
      <c r="O15" s="176">
        <f>M15+N15</f>
        <v>1446.973</v>
      </c>
      <c r="P15" s="194">
        <f>I15+I16</f>
        <v>1399.038</v>
      </c>
      <c r="Q15" s="176">
        <f>O15-P15</f>
        <v>47.934999999999945</v>
      </c>
      <c r="R15" s="183">
        <f>P15/O15</f>
        <v>0.96687222221838287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B16" s="203"/>
      <c r="C16" s="208"/>
      <c r="D16" s="14">
        <v>170</v>
      </c>
      <c r="E16" s="100" t="s">
        <v>14</v>
      </c>
      <c r="F16" s="15">
        <v>86.394000000000005</v>
      </c>
      <c r="G16" s="24"/>
      <c r="H16" s="17">
        <f>+F16+J15+G16</f>
        <v>47.935000000000173</v>
      </c>
      <c r="I16" s="143"/>
      <c r="J16" s="18">
        <f t="shared" si="0"/>
        <v>47.935000000000173</v>
      </c>
      <c r="K16" s="19">
        <f t="shared" si="1"/>
        <v>0</v>
      </c>
      <c r="L16" s="148" t="s">
        <v>73</v>
      </c>
      <c r="M16" s="186"/>
      <c r="N16" s="187"/>
      <c r="O16" s="176"/>
      <c r="P16" s="194"/>
      <c r="Q16" s="194"/>
      <c r="R16" s="18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A17" s="1">
        <v>6</v>
      </c>
      <c r="B17" s="203"/>
      <c r="C17" s="209" t="s">
        <v>19</v>
      </c>
      <c r="D17" s="20">
        <v>5554</v>
      </c>
      <c r="E17" s="100" t="s">
        <v>13</v>
      </c>
      <c r="F17" s="75">
        <v>724.35799999999995</v>
      </c>
      <c r="G17" s="16"/>
      <c r="H17" s="105">
        <f>F17+G17</f>
        <v>724.35799999999995</v>
      </c>
      <c r="I17" s="164">
        <v>660.154</v>
      </c>
      <c r="J17" s="76">
        <f t="shared" si="0"/>
        <v>64.203999999999951</v>
      </c>
      <c r="K17" s="25">
        <f t="shared" si="1"/>
        <v>0.91136427015370858</v>
      </c>
      <c r="L17" s="25" t="s">
        <v>73</v>
      </c>
      <c r="M17" s="186">
        <f>F17+F18</f>
        <v>804.83399999999995</v>
      </c>
      <c r="N17" s="187">
        <f>G17+G18</f>
        <v>0</v>
      </c>
      <c r="O17" s="176">
        <f>M17+N17</f>
        <v>804.83399999999995</v>
      </c>
      <c r="P17" s="194">
        <f>I17+I18</f>
        <v>660.154</v>
      </c>
      <c r="Q17" s="176">
        <f>O17-P17</f>
        <v>144.67999999999995</v>
      </c>
      <c r="R17" s="183">
        <f>P17/O17</f>
        <v>0.82023622262478979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B18" s="203"/>
      <c r="C18" s="206"/>
      <c r="D18" s="14">
        <v>5554</v>
      </c>
      <c r="E18" s="100" t="s">
        <v>14</v>
      </c>
      <c r="F18" s="23">
        <v>80.475999999999999</v>
      </c>
      <c r="G18" s="24"/>
      <c r="H18" s="17">
        <f>+F18+J17+G18</f>
        <v>144.67999999999995</v>
      </c>
      <c r="I18" s="142"/>
      <c r="J18" s="18">
        <f t="shared" si="0"/>
        <v>144.67999999999995</v>
      </c>
      <c r="K18" s="19">
        <f t="shared" si="1"/>
        <v>0</v>
      </c>
      <c r="L18" s="19" t="s">
        <v>73</v>
      </c>
      <c r="M18" s="186"/>
      <c r="N18" s="187"/>
      <c r="O18" s="176"/>
      <c r="P18" s="194"/>
      <c r="Q18" s="194"/>
      <c r="R18" s="18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A19" s="1">
        <v>7</v>
      </c>
      <c r="B19" s="203"/>
      <c r="C19" s="178" t="s">
        <v>20</v>
      </c>
      <c r="D19" s="20">
        <v>5880</v>
      </c>
      <c r="E19" s="100" t="s">
        <v>13</v>
      </c>
      <c r="F19" s="75">
        <v>1103.181</v>
      </c>
      <c r="G19" s="21">
        <f>-687-20-5-100-50-50</f>
        <v>-912</v>
      </c>
      <c r="H19" s="105">
        <f>F19+G19</f>
        <v>191.18100000000004</v>
      </c>
      <c r="I19" s="167">
        <v>141.55000000000001</v>
      </c>
      <c r="J19" s="76">
        <f t="shared" si="0"/>
        <v>49.631000000000029</v>
      </c>
      <c r="K19" s="25">
        <f t="shared" si="1"/>
        <v>0.74039784288187627</v>
      </c>
      <c r="L19" s="25" t="s">
        <v>73</v>
      </c>
      <c r="M19" s="186">
        <f>F19+F20</f>
        <v>1225.7440000000001</v>
      </c>
      <c r="N19" s="187">
        <f>G19+G20</f>
        <v>-912</v>
      </c>
      <c r="O19" s="176">
        <f>M19+N19</f>
        <v>313.74400000000014</v>
      </c>
      <c r="P19" s="194">
        <f>I19+I20</f>
        <v>141.55000000000001</v>
      </c>
      <c r="Q19" s="176">
        <f>O19-P19</f>
        <v>172.19400000000013</v>
      </c>
      <c r="R19" s="183">
        <f>P19/O19</f>
        <v>0.45116400632362674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B20" s="203"/>
      <c r="C20" s="179"/>
      <c r="D20" s="14">
        <v>5880</v>
      </c>
      <c r="E20" s="100" t="s">
        <v>14</v>
      </c>
      <c r="F20" s="23">
        <v>122.563</v>
      </c>
      <c r="G20" s="24"/>
      <c r="H20" s="17">
        <f>+F20+J19+G20</f>
        <v>172.19400000000002</v>
      </c>
      <c r="I20" s="142"/>
      <c r="J20" s="18">
        <f t="shared" si="0"/>
        <v>172.19400000000002</v>
      </c>
      <c r="K20" s="19">
        <f t="shared" si="1"/>
        <v>0</v>
      </c>
      <c r="L20" s="19" t="s">
        <v>73</v>
      </c>
      <c r="M20" s="186"/>
      <c r="N20" s="187"/>
      <c r="O20" s="176"/>
      <c r="P20" s="194"/>
      <c r="Q20" s="194"/>
      <c r="R20" s="18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A21" s="1">
        <v>8</v>
      </c>
      <c r="B21" s="203"/>
      <c r="C21" s="178" t="s">
        <v>21</v>
      </c>
      <c r="D21" s="20">
        <v>171</v>
      </c>
      <c r="E21" s="100" t="s">
        <v>13</v>
      </c>
      <c r="F21" s="15">
        <v>70.146000000000001</v>
      </c>
      <c r="G21" s="16">
        <v>-77.938999999999993</v>
      </c>
      <c r="H21" s="105">
        <f>F21+G21</f>
        <v>-7.7929999999999922</v>
      </c>
      <c r="I21" s="144"/>
      <c r="J21" s="76">
        <f t="shared" si="0"/>
        <v>-7.7929999999999922</v>
      </c>
      <c r="K21" s="25">
        <f t="shared" si="1"/>
        <v>0</v>
      </c>
      <c r="L21" s="25" t="s">
        <v>73</v>
      </c>
      <c r="M21" s="186">
        <f>F21+F22</f>
        <v>77.939000000000007</v>
      </c>
      <c r="N21" s="187">
        <f>G21+G22</f>
        <v>-77.938999999999993</v>
      </c>
      <c r="O21" s="210">
        <f>M21+N21</f>
        <v>0</v>
      </c>
      <c r="P21" s="194">
        <f>I21+I22</f>
        <v>0</v>
      </c>
      <c r="Q21" s="210">
        <f>O21-P21</f>
        <v>0</v>
      </c>
      <c r="R21" s="216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B22" s="203"/>
      <c r="C22" s="179"/>
      <c r="D22" s="14">
        <v>171</v>
      </c>
      <c r="E22" s="100" t="s">
        <v>14</v>
      </c>
      <c r="F22" s="15">
        <v>7.7930000000000001</v>
      </c>
      <c r="G22" s="16"/>
      <c r="H22" s="17">
        <f>+F22+J21+G22</f>
        <v>7.9936057773011271E-15</v>
      </c>
      <c r="I22" s="143"/>
      <c r="J22" s="18">
        <f t="shared" si="0"/>
        <v>7.9936057773011271E-15</v>
      </c>
      <c r="K22" s="19">
        <f t="shared" si="1"/>
        <v>0</v>
      </c>
      <c r="L22" s="19" t="s">
        <v>73</v>
      </c>
      <c r="M22" s="186"/>
      <c r="N22" s="187"/>
      <c r="O22" s="210"/>
      <c r="P22" s="194"/>
      <c r="Q22" s="210"/>
      <c r="R22" s="21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A23" s="1">
        <v>9</v>
      </c>
      <c r="B23" s="203"/>
      <c r="C23" s="178" t="s">
        <v>22</v>
      </c>
      <c r="D23" s="20">
        <v>176</v>
      </c>
      <c r="E23" s="100" t="s">
        <v>13</v>
      </c>
      <c r="F23" s="75">
        <v>1689.789</v>
      </c>
      <c r="G23" s="21">
        <v>-238.95099999999999</v>
      </c>
      <c r="H23" s="26">
        <f>F23+G23</f>
        <v>1450.838</v>
      </c>
      <c r="I23" s="164">
        <f>957.595+1.624+43.508+22.717+6.613</f>
        <v>1032.0570000000002</v>
      </c>
      <c r="J23" s="76">
        <f t="shared" si="0"/>
        <v>418.78099999999972</v>
      </c>
      <c r="K23" s="25">
        <f t="shared" si="1"/>
        <v>0.71135233568461831</v>
      </c>
      <c r="L23" s="25" t="s">
        <v>73</v>
      </c>
      <c r="M23" s="186">
        <f>F23+F24</f>
        <v>1877.5239999999999</v>
      </c>
      <c r="N23" s="187">
        <f>G23+G24</f>
        <v>-238.95099999999999</v>
      </c>
      <c r="O23" s="176">
        <f>M23+N23</f>
        <v>1638.5729999999999</v>
      </c>
      <c r="P23" s="194">
        <f>I23+I24</f>
        <v>1042.7800000000002</v>
      </c>
      <c r="Q23" s="176">
        <f>O23-P23</f>
        <v>595.79299999999967</v>
      </c>
      <c r="R23" s="183">
        <f>P23/O23</f>
        <v>0.63639520485202694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B24" s="203"/>
      <c r="C24" s="179"/>
      <c r="D24" s="14">
        <v>176</v>
      </c>
      <c r="E24" s="100" t="s">
        <v>14</v>
      </c>
      <c r="F24" s="23">
        <v>187.73500000000001</v>
      </c>
      <c r="G24" s="24"/>
      <c r="H24" s="17">
        <f>+F24+J23+G24</f>
        <v>606.51599999999974</v>
      </c>
      <c r="I24" s="143">
        <v>10.723000000000001</v>
      </c>
      <c r="J24" s="18">
        <f t="shared" si="0"/>
        <v>595.79299999999978</v>
      </c>
      <c r="K24" s="19">
        <f t="shared" si="1"/>
        <v>1.7679665499343803E-2</v>
      </c>
      <c r="L24" s="19" t="s">
        <v>73</v>
      </c>
      <c r="M24" s="186"/>
      <c r="N24" s="187"/>
      <c r="O24" s="176"/>
      <c r="P24" s="194"/>
      <c r="Q24" s="194"/>
      <c r="R24" s="18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A25" s="1">
        <v>10</v>
      </c>
      <c r="B25" s="203"/>
      <c r="C25" s="178" t="s">
        <v>23</v>
      </c>
      <c r="D25" s="14"/>
      <c r="E25" s="100" t="s">
        <v>13</v>
      </c>
      <c r="F25" s="15">
        <v>429.36500000000001</v>
      </c>
      <c r="G25" s="16">
        <v>-174</v>
      </c>
      <c r="H25" s="26">
        <f>F25+G25</f>
        <v>255.36500000000001</v>
      </c>
      <c r="I25" s="165">
        <f>229.001+4.305</f>
        <v>233.30600000000001</v>
      </c>
      <c r="J25" s="76">
        <f t="shared" si="0"/>
        <v>22.058999999999997</v>
      </c>
      <c r="K25" s="25">
        <f t="shared" si="1"/>
        <v>0.91361776281009532</v>
      </c>
      <c r="L25" s="22" t="s">
        <v>73</v>
      </c>
      <c r="M25" s="186">
        <f>F25+F26</f>
        <v>477.06700000000001</v>
      </c>
      <c r="N25" s="187">
        <f>G25+G26</f>
        <v>-174</v>
      </c>
      <c r="O25" s="176">
        <f>M25+N25</f>
        <v>303.06700000000001</v>
      </c>
      <c r="P25" s="194">
        <f>I25+I26</f>
        <v>233.30600000000001</v>
      </c>
      <c r="Q25" s="176">
        <f>O25-P25</f>
        <v>69.760999999999996</v>
      </c>
      <c r="R25" s="183">
        <f>P25/O25</f>
        <v>0.76981657521274172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203"/>
      <c r="C26" s="179"/>
      <c r="D26" s="14"/>
      <c r="E26" s="100" t="s">
        <v>14</v>
      </c>
      <c r="F26" s="15">
        <v>47.701999999999998</v>
      </c>
      <c r="G26" s="16"/>
      <c r="H26" s="17">
        <f>+F26+J25+G26</f>
        <v>69.760999999999996</v>
      </c>
      <c r="I26" s="142"/>
      <c r="J26" s="18">
        <f t="shared" si="0"/>
        <v>69.760999999999996</v>
      </c>
      <c r="K26" s="19">
        <f t="shared" si="1"/>
        <v>0</v>
      </c>
      <c r="L26" s="22" t="s">
        <v>73</v>
      </c>
      <c r="M26" s="186"/>
      <c r="N26" s="187"/>
      <c r="O26" s="176"/>
      <c r="P26" s="194"/>
      <c r="Q26" s="194"/>
      <c r="R26" s="18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A27" s="1">
        <v>11</v>
      </c>
      <c r="B27" s="203"/>
      <c r="C27" s="211" t="s">
        <v>79</v>
      </c>
      <c r="D27" s="20">
        <v>6601</v>
      </c>
      <c r="E27" s="100" t="s">
        <v>13</v>
      </c>
      <c r="F27" s="131">
        <v>2.488</v>
      </c>
      <c r="G27" s="21"/>
      <c r="H27" s="105">
        <f>F27+G27</f>
        <v>2.488</v>
      </c>
      <c r="I27" s="166">
        <v>2.5</v>
      </c>
      <c r="J27" s="76">
        <f t="shared" si="0"/>
        <v>-1.2000000000000011E-2</v>
      </c>
      <c r="K27" s="25">
        <f t="shared" si="1"/>
        <v>1.004823151125402</v>
      </c>
      <c r="L27" s="125">
        <v>43473</v>
      </c>
      <c r="M27" s="186">
        <f>F27+F28</f>
        <v>2.7640000000000002</v>
      </c>
      <c r="N27" s="187">
        <f>G27+G28</f>
        <v>0</v>
      </c>
      <c r="O27" s="176">
        <f>M27+N27</f>
        <v>2.7640000000000002</v>
      </c>
      <c r="P27" s="194">
        <f>I27+I28</f>
        <v>2.5</v>
      </c>
      <c r="Q27" s="176">
        <f>O27-P27</f>
        <v>0.26400000000000023</v>
      </c>
      <c r="R27" s="183">
        <f>P27/O27</f>
        <v>0.90448625180897246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B28" s="203"/>
      <c r="C28" s="212"/>
      <c r="D28" s="14">
        <v>6601</v>
      </c>
      <c r="E28" s="100" t="s">
        <v>14</v>
      </c>
      <c r="F28" s="15">
        <v>0.27600000000000002</v>
      </c>
      <c r="G28" s="16"/>
      <c r="H28" s="26">
        <f>+F28+J27+G28</f>
        <v>0.26400000000000001</v>
      </c>
      <c r="I28" s="143"/>
      <c r="J28" s="18">
        <f t="shared" si="0"/>
        <v>0.26400000000000001</v>
      </c>
      <c r="K28" s="19">
        <f t="shared" si="1"/>
        <v>0</v>
      </c>
      <c r="L28" s="19" t="s">
        <v>73</v>
      </c>
      <c r="M28" s="186"/>
      <c r="N28" s="187"/>
      <c r="O28" s="176"/>
      <c r="P28" s="194"/>
      <c r="Q28" s="194"/>
      <c r="R28" s="18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A29" s="1">
        <v>12</v>
      </c>
      <c r="B29" s="203"/>
      <c r="C29" s="190" t="s">
        <v>24</v>
      </c>
      <c r="D29" s="20">
        <v>174</v>
      </c>
      <c r="E29" s="100" t="s">
        <v>13</v>
      </c>
      <c r="F29" s="75">
        <v>5.6139999999999999</v>
      </c>
      <c r="G29" s="21"/>
      <c r="H29" s="105">
        <f>F29+G29</f>
        <v>5.6139999999999999</v>
      </c>
      <c r="I29" s="166">
        <v>22.742999999999999</v>
      </c>
      <c r="J29" s="76">
        <f t="shared" si="0"/>
        <v>-17.128999999999998</v>
      </c>
      <c r="K29" s="25">
        <f t="shared" si="1"/>
        <v>4.0511221945137157</v>
      </c>
      <c r="L29" s="125">
        <v>43473</v>
      </c>
      <c r="M29" s="186">
        <f>F29+F30</f>
        <v>6.2379999999999995</v>
      </c>
      <c r="N29" s="187">
        <f>G29+G30</f>
        <v>0</v>
      </c>
      <c r="O29" s="176">
        <f>M29+N29</f>
        <v>6.2379999999999995</v>
      </c>
      <c r="P29" s="194">
        <f>I29+I30</f>
        <v>22.742999999999999</v>
      </c>
      <c r="Q29" s="176">
        <f>O29-P29</f>
        <v>-16.504999999999999</v>
      </c>
      <c r="R29" s="183">
        <f>P29/O29</f>
        <v>3.6458800897723629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 thickBot="1">
      <c r="B30" s="204"/>
      <c r="C30" s="191"/>
      <c r="D30" s="27">
        <v>174</v>
      </c>
      <c r="E30" s="106" t="s">
        <v>14</v>
      </c>
      <c r="F30" s="28">
        <v>0.624</v>
      </c>
      <c r="G30" s="29"/>
      <c r="H30" s="30">
        <f>+F30+J29+G30</f>
        <v>-16.504999999999999</v>
      </c>
      <c r="I30" s="146"/>
      <c r="J30" s="31">
        <f t="shared" si="0"/>
        <v>-16.504999999999999</v>
      </c>
      <c r="K30" s="77">
        <f t="shared" si="1"/>
        <v>0</v>
      </c>
      <c r="L30" s="126">
        <v>43473</v>
      </c>
      <c r="M30" s="192"/>
      <c r="N30" s="193"/>
      <c r="O30" s="184"/>
      <c r="P30" s="177"/>
      <c r="Q30" s="177"/>
      <c r="R30" s="18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25.5" customHeight="1">
      <c r="A31" s="1"/>
      <c r="B31" s="1"/>
      <c r="C31" s="78"/>
      <c r="D31" s="78"/>
      <c r="E31" s="79"/>
      <c r="F31" s="79">
        <f>SUM(F7:F30)</f>
        <v>10929.396999999999</v>
      </c>
      <c r="G31" s="79">
        <f>SUM(G7:G30)</f>
        <v>-5.0000000000000853</v>
      </c>
      <c r="H31" s="79">
        <f>SUM(H7:H30)</f>
        <v>12022.843999999999</v>
      </c>
      <c r="I31" s="79">
        <f>SUM(I7:I30)</f>
        <v>9625.969000000001</v>
      </c>
      <c r="J31" s="79">
        <f>SUM(J7:J30)</f>
        <v>2396.8750000000005</v>
      </c>
      <c r="K31" s="102">
        <f>I31/H31</f>
        <v>0.80063993178319548</v>
      </c>
      <c r="L31" s="80"/>
      <c r="M31" s="78"/>
      <c r="N31" s="7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15" customHeight="1" thickBot="1">
      <c r="A32" s="1"/>
      <c r="B32" s="1"/>
      <c r="C32" s="78"/>
      <c r="D32" s="78"/>
      <c r="E32" s="79"/>
      <c r="F32" s="78"/>
      <c r="G32" s="78"/>
      <c r="H32" s="78"/>
      <c r="I32" s="78">
        <f>I8+I10+I12+I14+I16+I18+I20+I22+I24+I26+I28+I30</f>
        <v>888.21699999999987</v>
      </c>
      <c r="J32" s="78"/>
      <c r="K32" s="78"/>
      <c r="L32" s="78"/>
      <c r="M32" s="78"/>
      <c r="N32" s="7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2" customFormat="1" ht="42" customHeight="1" thickBot="1">
      <c r="A33" s="4"/>
      <c r="B33" s="101" t="s">
        <v>0</v>
      </c>
      <c r="C33" s="101" t="s">
        <v>1</v>
      </c>
      <c r="D33" s="107" t="s">
        <v>2</v>
      </c>
      <c r="E33" s="108" t="s">
        <v>3</v>
      </c>
      <c r="F33" s="109" t="s">
        <v>4</v>
      </c>
      <c r="G33" s="108" t="s">
        <v>5</v>
      </c>
      <c r="H33" s="110" t="s">
        <v>6</v>
      </c>
      <c r="I33" s="101" t="s">
        <v>7</v>
      </c>
      <c r="J33" s="111" t="s">
        <v>8</v>
      </c>
      <c r="K33" s="108" t="s">
        <v>9</v>
      </c>
      <c r="L33" s="109" t="s">
        <v>81</v>
      </c>
      <c r="M33" s="9" t="s">
        <v>74</v>
      </c>
      <c r="N33" s="11" t="s">
        <v>75</v>
      </c>
      <c r="O33" s="8" t="s">
        <v>6</v>
      </c>
      <c r="P33" s="8" t="s">
        <v>76</v>
      </c>
      <c r="Q33" s="8" t="s">
        <v>77</v>
      </c>
      <c r="R33" s="8" t="s">
        <v>78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>
      <c r="B34" s="195" t="s">
        <v>83</v>
      </c>
      <c r="C34" s="197" t="s">
        <v>25</v>
      </c>
      <c r="D34" s="32"/>
      <c r="E34" s="33" t="s">
        <v>13</v>
      </c>
      <c r="F34" s="34">
        <v>3839</v>
      </c>
      <c r="G34" s="35"/>
      <c r="H34" s="36">
        <f>+F34-G34</f>
        <v>3839</v>
      </c>
      <c r="I34" s="170">
        <v>154.476</v>
      </c>
      <c r="J34" s="37">
        <f>H34-I34</f>
        <v>3684.5239999999999</v>
      </c>
      <c r="K34" s="38">
        <f>I34/H34</f>
        <v>4.0238603803073716E-2</v>
      </c>
      <c r="L34" s="38" t="s">
        <v>73</v>
      </c>
      <c r="M34" s="199">
        <f>F34+F35</f>
        <v>4265</v>
      </c>
      <c r="N34" s="200">
        <f>G34+G35</f>
        <v>0</v>
      </c>
      <c r="O34" s="180">
        <f>M34+N34</f>
        <v>4265</v>
      </c>
      <c r="P34" s="185">
        <f>I34+I35</f>
        <v>678.21299999999997</v>
      </c>
      <c r="Q34" s="180">
        <f>O34-P34</f>
        <v>3586.7870000000003</v>
      </c>
      <c r="R34" s="181">
        <f>P34/O34</f>
        <v>0.15901828839390386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thickBot="1">
      <c r="B35" s="196"/>
      <c r="C35" s="198"/>
      <c r="D35" s="39"/>
      <c r="E35" s="40" t="s">
        <v>14</v>
      </c>
      <c r="F35" s="41">
        <v>426</v>
      </c>
      <c r="G35" s="42"/>
      <c r="H35" s="43">
        <f>+F35+J34+G35</f>
        <v>4110.5239999999994</v>
      </c>
      <c r="I35" s="44">
        <v>523.73699999999997</v>
      </c>
      <c r="J35" s="45">
        <f>H35-I35</f>
        <v>3586.7869999999994</v>
      </c>
      <c r="K35" s="46">
        <f>I35/H35</f>
        <v>0.12741368253779811</v>
      </c>
      <c r="L35" s="46" t="s">
        <v>73</v>
      </c>
      <c r="M35" s="192"/>
      <c r="N35" s="193"/>
      <c r="O35" s="184"/>
      <c r="P35" s="177"/>
      <c r="Q35" s="177"/>
      <c r="R35" s="18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>
        <f>SUM(F34:F35)</f>
        <v>4265</v>
      </c>
      <c r="G36" s="1">
        <f>SUM(G34:G35)</f>
        <v>0</v>
      </c>
      <c r="H36" s="1">
        <f>SUM(H34:H35)</f>
        <v>7949.5239999999994</v>
      </c>
      <c r="I36" s="58">
        <f>SUM(I34:I35)</f>
        <v>678.21299999999997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47">
        <f>SUM(F34:F35)</f>
        <v>4265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 thickBot="1">
      <c r="A41" s="1"/>
      <c r="B41" s="188" t="s">
        <v>99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37.5" customHeight="1">
      <c r="A42" s="1"/>
      <c r="B42" s="133" t="s">
        <v>0</v>
      </c>
      <c r="C42" s="133" t="s">
        <v>93</v>
      </c>
      <c r="D42" s="134" t="s">
        <v>2</v>
      </c>
      <c r="E42" s="8" t="s">
        <v>94</v>
      </c>
      <c r="F42" s="133" t="s">
        <v>95</v>
      </c>
      <c r="G42" s="9" t="s">
        <v>96</v>
      </c>
      <c r="H42" s="133" t="s">
        <v>41</v>
      </c>
      <c r="I42" s="10" t="s">
        <v>97</v>
      </c>
      <c r="J42" s="11" t="s">
        <v>45</v>
      </c>
      <c r="K42" s="8" t="s">
        <v>47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 thickBot="1">
      <c r="A43" s="1"/>
      <c r="B43" s="135" t="s">
        <v>49</v>
      </c>
      <c r="C43" s="136">
        <v>43595</v>
      </c>
      <c r="D43" s="137"/>
      <c r="E43" s="137"/>
      <c r="F43" s="137" t="s">
        <v>98</v>
      </c>
      <c r="G43" s="137">
        <v>953082</v>
      </c>
      <c r="H43" s="137">
        <v>5</v>
      </c>
      <c r="I43" s="137"/>
      <c r="J43" s="137">
        <f>H43-I43</f>
        <v>5</v>
      </c>
      <c r="K43" s="1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39">
        <f>SUM(H43)</f>
        <v>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62">
        <f>I31</f>
        <v>9625.969000000001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>
        <v>8558.1229999999996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62">
        <f>H49-H48</f>
        <v>-1067.8460000000014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1"/>
      <c r="P111" s="1"/>
      <c r="Q111" s="1"/>
      <c r="R111" s="1"/>
    </row>
    <row r="112" spans="1:18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1"/>
      <c r="P112" s="1"/>
      <c r="Q112" s="1"/>
      <c r="R112" s="1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</row>
    <row r="1598" spans="1:14" s="3" customFormat="1">
      <c r="A1598" s="1"/>
      <c r="B1598" s="48"/>
      <c r="M1598"/>
      <c r="N1598"/>
    </row>
    <row r="1599" spans="1:14" s="3" customFormat="1">
      <c r="A1599" s="1"/>
      <c r="B1599" s="48"/>
      <c r="M1599"/>
      <c r="N1599"/>
    </row>
  </sheetData>
  <mergeCells count="98">
    <mergeCell ref="B4:O4"/>
    <mergeCell ref="B5:R5"/>
    <mergeCell ref="B3:O3"/>
    <mergeCell ref="R21:R22"/>
    <mergeCell ref="Q7:Q8"/>
    <mergeCell ref="Q9:Q10"/>
    <mergeCell ref="R7:R8"/>
    <mergeCell ref="R9:R10"/>
    <mergeCell ref="R11:R12"/>
    <mergeCell ref="Q11:Q12"/>
    <mergeCell ref="Q13:Q14"/>
    <mergeCell ref="Q15:Q16"/>
    <mergeCell ref="Q17:Q18"/>
    <mergeCell ref="Q19:Q20"/>
    <mergeCell ref="R13:R14"/>
    <mergeCell ref="R15:R16"/>
    <mergeCell ref="R17:R18"/>
    <mergeCell ref="R19:R20"/>
    <mergeCell ref="C27:C28"/>
    <mergeCell ref="M27:M28"/>
    <mergeCell ref="N27:N28"/>
    <mergeCell ref="N21:N22"/>
    <mergeCell ref="O27:O28"/>
    <mergeCell ref="M23:M24"/>
    <mergeCell ref="N23:N24"/>
    <mergeCell ref="O17:O18"/>
    <mergeCell ref="P19:P20"/>
    <mergeCell ref="P21:P22"/>
    <mergeCell ref="C23:C24"/>
    <mergeCell ref="M17:M18"/>
    <mergeCell ref="N17:N18"/>
    <mergeCell ref="C19:C20"/>
    <mergeCell ref="M15:M16"/>
    <mergeCell ref="N15:N16"/>
    <mergeCell ref="Q25:Q26"/>
    <mergeCell ref="Q27:Q28"/>
    <mergeCell ref="Q23:Q24"/>
    <mergeCell ref="O25:O26"/>
    <mergeCell ref="M19:M20"/>
    <mergeCell ref="N19:N20"/>
    <mergeCell ref="M21:M22"/>
    <mergeCell ref="O19:O20"/>
    <mergeCell ref="O21:O22"/>
    <mergeCell ref="P23:P24"/>
    <mergeCell ref="P25:P26"/>
    <mergeCell ref="P27:P28"/>
    <mergeCell ref="Q21:Q22"/>
    <mergeCell ref="P17:P18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P15:P16"/>
    <mergeCell ref="B2:O2"/>
    <mergeCell ref="B7:B30"/>
    <mergeCell ref="C7:C8"/>
    <mergeCell ref="M7:M8"/>
    <mergeCell ref="N7:N8"/>
    <mergeCell ref="C9:C10"/>
    <mergeCell ref="M9:M10"/>
    <mergeCell ref="N9:N10"/>
    <mergeCell ref="C11:C12"/>
    <mergeCell ref="M11:M12"/>
    <mergeCell ref="N11:N12"/>
    <mergeCell ref="C15:C16"/>
    <mergeCell ref="C13:C14"/>
    <mergeCell ref="M13:M14"/>
    <mergeCell ref="N13:N14"/>
    <mergeCell ref="C17:C18"/>
    <mergeCell ref="B41:K41"/>
    <mergeCell ref="C29:C30"/>
    <mergeCell ref="M29:M30"/>
    <mergeCell ref="N29:N30"/>
    <mergeCell ref="P29:P30"/>
    <mergeCell ref="B34:B35"/>
    <mergeCell ref="C34:C35"/>
    <mergeCell ref="M34:M35"/>
    <mergeCell ref="N34:N35"/>
    <mergeCell ref="O34:O35"/>
    <mergeCell ref="O23:O24"/>
    <mergeCell ref="Q29:Q30"/>
    <mergeCell ref="C21:C22"/>
    <mergeCell ref="Q34:Q35"/>
    <mergeCell ref="R34:R35"/>
    <mergeCell ref="R23:R24"/>
    <mergeCell ref="R25:R26"/>
    <mergeCell ref="R27:R28"/>
    <mergeCell ref="R29:R30"/>
    <mergeCell ref="O29:O30"/>
    <mergeCell ref="P34:P35"/>
    <mergeCell ref="C25:C26"/>
    <mergeCell ref="M25:M26"/>
    <mergeCell ref="N25:N26"/>
  </mergeCells>
  <conditionalFormatting sqref="K34:L35">
    <cfRule type="cellIs" dxfId="5" priority="22" operator="greaterThan">
      <formula>0.85</formula>
    </cfRule>
  </conditionalFormatting>
  <conditionalFormatting sqref="H35 J34:J35">
    <cfRule type="cellIs" dxfId="4" priority="21" operator="lessThan">
      <formula>0</formula>
    </cfRule>
  </conditionalFormatting>
  <conditionalFormatting sqref="I15 I17 I7 I9 I11">
    <cfRule type="cellIs" dxfId="3" priority="14" operator="lessThan">
      <formula>0</formula>
    </cfRule>
  </conditionalFormatting>
  <conditionalFormatting sqref="I23">
    <cfRule type="cellIs" dxfId="2" priority="12" operator="lessThan">
      <formula>0</formula>
    </cfRule>
  </conditionalFormatting>
  <conditionalFormatting sqref="I23">
    <cfRule type="cellIs" dxfId="1" priority="7" operator="lessThan">
      <formula>0</formula>
    </cfRule>
  </conditionalFormatting>
  <conditionalFormatting sqref="R7:R3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conditionalFormatting sqref="K7:K3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{B279C3E8-DE0A-494F-8DFE-BB20AAD25997}</x14:id>
        </ext>
      </extLst>
    </cfRule>
    <cfRule type="cellIs" dxfId="0" priority="2" operator="greaterThan">
      <formula>0.85</formula>
    </cfRule>
  </conditionalFormatting>
  <conditionalFormatting sqref="R7:R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{6B89BBEC-08C5-45E7-9CB1-8F066C155377}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7 H9:H13 H15:H22 H29 H23:H2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R7:R30</xm:sqref>
        </x14:conditionalFormatting>
        <x14:conditionalFormatting xmlns:xm="http://schemas.microsoft.com/office/excel/2006/main">
          <x14:cfRule type="dataBar" id="{B279C3E8-DE0A-494F-8DFE-BB20AAD259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K7:K30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X161"/>
  <sheetViews>
    <sheetView workbookViewId="0">
      <selection activeCell="D15" sqref="D15"/>
    </sheetView>
  </sheetViews>
  <sheetFormatPr baseColWidth="10" defaultRowHeight="15"/>
  <cols>
    <col min="1" max="1" width="11.42578125" style="1"/>
  </cols>
  <sheetData>
    <row r="1" spans="2:76" s="1" customFormat="1" ht="15.75" thickBot="1"/>
    <row r="2" spans="2:76" ht="15" customHeight="1">
      <c r="B2" s="1"/>
      <c r="C2" s="1"/>
      <c r="D2" s="220" t="s">
        <v>91</v>
      </c>
      <c r="E2" s="221"/>
      <c r="F2" s="221"/>
      <c r="G2" s="221"/>
      <c r="H2" s="221"/>
      <c r="I2" s="221"/>
      <c r="J2" s="221"/>
      <c r="K2" s="221"/>
      <c r="L2" s="221"/>
      <c r="M2" s="2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23"/>
      <c r="E3" s="224"/>
      <c r="F3" s="224"/>
      <c r="G3" s="224"/>
      <c r="H3" s="224"/>
      <c r="I3" s="224"/>
      <c r="J3" s="224"/>
      <c r="K3" s="224"/>
      <c r="L3" s="224"/>
      <c r="M3" s="22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23"/>
      <c r="E4" s="224"/>
      <c r="F4" s="224"/>
      <c r="G4" s="224"/>
      <c r="H4" s="224"/>
      <c r="I4" s="224"/>
      <c r="J4" s="224"/>
      <c r="K4" s="224"/>
      <c r="L4" s="224"/>
      <c r="M4" s="22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17">
        <f>+Resumen_año_19!B4</f>
        <v>43803</v>
      </c>
      <c r="E5" s="218"/>
      <c r="F5" s="218"/>
      <c r="G5" s="218"/>
      <c r="H5" s="218"/>
      <c r="I5" s="218"/>
      <c r="J5" s="218"/>
      <c r="K5" s="218"/>
      <c r="L5" s="218"/>
      <c r="M5" s="2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26" t="s">
        <v>100</v>
      </c>
      <c r="E6" s="226"/>
      <c r="F6" s="226"/>
      <c r="G6" s="226"/>
      <c r="H6" s="226"/>
      <c r="I6" s="226"/>
      <c r="J6" s="226"/>
      <c r="K6" s="226"/>
      <c r="L6" s="226"/>
      <c r="M6" s="22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150" t="s">
        <v>0</v>
      </c>
      <c r="C11" s="151" t="s">
        <v>4</v>
      </c>
      <c r="D11" s="152" t="s">
        <v>7</v>
      </c>
      <c r="E11" s="153" t="s">
        <v>8</v>
      </c>
      <c r="F11" s="154" t="s">
        <v>101</v>
      </c>
      <c r="G11" s="155" t="s">
        <v>81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113" t="s">
        <v>84</v>
      </c>
      <c r="C12" s="114">
        <v>35</v>
      </c>
      <c r="D12" s="114">
        <v>0.37</v>
      </c>
      <c r="E12" s="149">
        <f>C12-D12</f>
        <v>34.630000000000003</v>
      </c>
      <c r="F12" s="159">
        <f>+D12/E12</f>
        <v>1.0684377707190296E-2</v>
      </c>
      <c r="G12" s="157" t="s">
        <v>73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115" t="s">
        <v>85</v>
      </c>
      <c r="C13" s="116">
        <v>35</v>
      </c>
      <c r="D13" s="116"/>
      <c r="E13" s="116">
        <f>C13-D13</f>
        <v>35</v>
      </c>
      <c r="F13" s="156">
        <f>+D13/E13</f>
        <v>0</v>
      </c>
      <c r="G13" s="158" t="s">
        <v>73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0.37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H17" sqref="H17"/>
    </sheetView>
  </sheetViews>
  <sheetFormatPr baseColWidth="10" defaultRowHeight="15"/>
  <cols>
    <col min="1" max="16384" width="11.42578125" style="117"/>
  </cols>
  <sheetData>
    <row r="1" spans="2:12">
      <c r="F1" s="227" t="s">
        <v>86</v>
      </c>
      <c r="G1" s="228"/>
      <c r="H1" s="228"/>
      <c r="I1" s="228"/>
      <c r="J1" s="228"/>
      <c r="K1" s="228"/>
      <c r="L1" s="229"/>
    </row>
    <row r="2" spans="2:12">
      <c r="F2" s="230"/>
      <c r="G2" s="231"/>
      <c r="H2" s="231"/>
      <c r="I2" s="231"/>
      <c r="J2" s="231"/>
      <c r="K2" s="231"/>
      <c r="L2" s="232"/>
    </row>
    <row r="3" spans="2:12" ht="15.75" thickBot="1">
      <c r="F3" s="233"/>
      <c r="G3" s="234"/>
      <c r="H3" s="234"/>
      <c r="I3" s="234"/>
      <c r="J3" s="234"/>
      <c r="K3" s="234"/>
      <c r="L3" s="235"/>
    </row>
    <row r="7" spans="2:12" ht="15.75" thickBot="1"/>
    <row r="8" spans="2:12" ht="15.75" thickBot="1">
      <c r="B8" s="236" t="s">
        <v>87</v>
      </c>
      <c r="C8" s="237"/>
      <c r="D8" s="118">
        <v>111</v>
      </c>
    </row>
    <row r="18" spans="6:6">
      <c r="F18" s="119"/>
    </row>
  </sheetData>
  <mergeCells count="2">
    <mergeCell ref="F1:L3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E1" zoomScale="80" zoomScaleNormal="80" workbookViewId="0">
      <pane ySplit="1" topLeftCell="A2" activePane="bottomLeft" state="frozen"/>
      <selection activeCell="F1" sqref="F1"/>
      <selection pane="bottomLeft" activeCell="E1" sqref="A1:XFD1048576"/>
    </sheetView>
  </sheetViews>
  <sheetFormatPr baseColWidth="10" defaultColWidth="11.42578125" defaultRowHeight="12" customHeight="1"/>
  <cols>
    <col min="1" max="1" width="28.28515625" style="59" bestFit="1" customWidth="1"/>
    <col min="2" max="2" width="23" style="59" bestFit="1" customWidth="1"/>
    <col min="3" max="3" width="6.140625" style="59" customWidth="1"/>
    <col min="4" max="4" width="18.140625" style="59" customWidth="1"/>
    <col min="5" max="5" width="44.28515625" style="60" customWidth="1"/>
    <col min="6" max="6" width="23.7109375" style="59" customWidth="1"/>
    <col min="7" max="7" width="18.28515625" style="59" customWidth="1"/>
    <col min="8" max="8" width="14.7109375" style="59" customWidth="1"/>
    <col min="9" max="9" width="11.42578125" style="59"/>
    <col min="10" max="10" width="14" style="59" customWidth="1"/>
    <col min="11" max="11" width="13.28515625" style="59" bestFit="1" customWidth="1"/>
    <col min="12" max="12" width="11.42578125" style="59"/>
    <col min="13" max="13" width="9.28515625" style="66" customWidth="1"/>
    <col min="14" max="14" width="14.7109375" style="67" customWidth="1"/>
    <col min="15" max="15" width="14.85546875" style="59" bestFit="1" customWidth="1"/>
    <col min="16" max="16384" width="11.42578125" style="59"/>
  </cols>
  <sheetData>
    <row r="1" spans="1:17" ht="12" customHeight="1">
      <c r="A1" s="59" t="s">
        <v>70</v>
      </c>
      <c r="B1" s="59" t="s">
        <v>35</v>
      </c>
      <c r="C1" s="59" t="s">
        <v>36</v>
      </c>
      <c r="D1" s="59" t="s">
        <v>37</v>
      </c>
      <c r="E1" s="60" t="s">
        <v>38</v>
      </c>
      <c r="F1" s="59" t="s">
        <v>39</v>
      </c>
      <c r="G1" s="59" t="s">
        <v>40</v>
      </c>
      <c r="H1" s="59" t="s">
        <v>41</v>
      </c>
      <c r="I1" s="59" t="s">
        <v>42</v>
      </c>
      <c r="J1" s="59" t="s">
        <v>43</v>
      </c>
      <c r="K1" s="59" t="s">
        <v>44</v>
      </c>
      <c r="L1" s="59" t="s">
        <v>45</v>
      </c>
      <c r="M1" s="66" t="s">
        <v>46</v>
      </c>
      <c r="N1" s="81" t="s">
        <v>47</v>
      </c>
      <c r="O1" s="82" t="s">
        <v>71</v>
      </c>
      <c r="P1" s="163" t="s">
        <v>102</v>
      </c>
      <c r="Q1" s="163" t="s">
        <v>103</v>
      </c>
    </row>
    <row r="2" spans="1:17" ht="12" customHeight="1">
      <c r="A2" s="59" t="s">
        <v>72</v>
      </c>
      <c r="B2" s="59" t="s">
        <v>48</v>
      </c>
      <c r="C2" s="59" t="s">
        <v>49</v>
      </c>
      <c r="D2" s="59" t="s">
        <v>50</v>
      </c>
      <c r="E2" s="60" t="s">
        <v>51</v>
      </c>
      <c r="F2" s="59" t="s">
        <v>52</v>
      </c>
      <c r="G2" s="59" t="s">
        <v>53</v>
      </c>
      <c r="H2" s="59">
        <f>+'SARDINA AUSTRAL'!F7</f>
        <v>568.21100000000001</v>
      </c>
      <c r="I2" s="59">
        <f>+'SARDINA AUSTRAL'!G7</f>
        <v>0</v>
      </c>
      <c r="J2" s="59">
        <f>+'SARDINA AUSTRAL'!H7</f>
        <v>568.21100000000001</v>
      </c>
      <c r="K2" s="59">
        <f>+'SARDINA AUSTRAL'!I7</f>
        <v>534.67999999999995</v>
      </c>
      <c r="L2" s="59">
        <f>+'SARDINA AUSTRAL'!J7</f>
        <v>33.531000000000063</v>
      </c>
      <c r="M2" s="61">
        <f>+'SARDINA AUSTRAL'!K7</f>
        <v>0.94098847083213799</v>
      </c>
      <c r="N2" s="122" t="str">
        <f>+'SARDINA AUSTRAL'!L7</f>
        <v>-</v>
      </c>
      <c r="O2" s="160">
        <f>+'SARDINA AUSTRAL'!B$3</f>
        <v>43803</v>
      </c>
      <c r="P2" s="163">
        <v>2019</v>
      </c>
      <c r="Q2" s="163"/>
    </row>
    <row r="3" spans="1:17" ht="12" customHeight="1">
      <c r="A3" s="59" t="s">
        <v>72</v>
      </c>
      <c r="B3" s="59" t="s">
        <v>48</v>
      </c>
      <c r="C3" s="59" t="s">
        <v>49</v>
      </c>
      <c r="D3" s="59" t="s">
        <v>50</v>
      </c>
      <c r="E3" s="60" t="s">
        <v>51</v>
      </c>
      <c r="F3" s="59" t="s">
        <v>54</v>
      </c>
      <c r="G3" s="59" t="s">
        <v>55</v>
      </c>
      <c r="H3" s="59">
        <f>+'SARDINA AUSTRAL'!F8</f>
        <v>63.128</v>
      </c>
      <c r="I3" s="59">
        <f>+'SARDINA AUSTRAL'!G8</f>
        <v>0</v>
      </c>
      <c r="J3" s="59">
        <f>+'SARDINA AUSTRAL'!H8</f>
        <v>96.659000000000063</v>
      </c>
      <c r="K3" s="59">
        <f>+'SARDINA AUSTRAL'!I8</f>
        <v>3</v>
      </c>
      <c r="L3" s="59">
        <f>+'SARDINA AUSTRAL'!J8</f>
        <v>93.659000000000063</v>
      </c>
      <c r="M3" s="61">
        <f>+'SARDINA AUSTRAL'!K8</f>
        <v>3.103694430937624E-2</v>
      </c>
      <c r="N3" s="122" t="str">
        <f>+'SARDINA AUSTRAL'!L8</f>
        <v>-</v>
      </c>
      <c r="O3" s="160">
        <f>+'SARDINA AUSTRAL'!B$3</f>
        <v>43803</v>
      </c>
      <c r="P3" s="163">
        <v>2019</v>
      </c>
      <c r="Q3" s="163"/>
    </row>
    <row r="4" spans="1:17" ht="12" customHeight="1">
      <c r="A4" s="59" t="s">
        <v>72</v>
      </c>
      <c r="B4" s="59" t="s">
        <v>48</v>
      </c>
      <c r="C4" s="59" t="s">
        <v>49</v>
      </c>
      <c r="D4" s="59" t="s">
        <v>50</v>
      </c>
      <c r="E4" s="60" t="s">
        <v>51</v>
      </c>
      <c r="F4" s="59" t="s">
        <v>52</v>
      </c>
      <c r="G4" s="59" t="s">
        <v>55</v>
      </c>
      <c r="H4" s="68">
        <f t="shared" ref="H4:M4" si="0">+H2+H3</f>
        <v>631.33900000000006</v>
      </c>
      <c r="I4" s="68">
        <f t="shared" si="0"/>
        <v>0</v>
      </c>
      <c r="J4" s="68">
        <f t="shared" si="0"/>
        <v>664.87000000000012</v>
      </c>
      <c r="K4" s="68">
        <f t="shared" si="0"/>
        <v>537.67999999999995</v>
      </c>
      <c r="L4" s="68">
        <f t="shared" si="0"/>
        <v>127.19000000000013</v>
      </c>
      <c r="M4" s="120">
        <f t="shared" si="0"/>
        <v>0.97202541514151419</v>
      </c>
      <c r="N4" s="123" t="s">
        <v>73</v>
      </c>
      <c r="O4" s="160">
        <f>+'SARDINA AUSTRAL'!B$3</f>
        <v>43803</v>
      </c>
      <c r="P4" s="163">
        <v>2019</v>
      </c>
      <c r="Q4" s="163"/>
    </row>
    <row r="5" spans="1:17" ht="12" customHeight="1">
      <c r="A5" s="59" t="s">
        <v>72</v>
      </c>
      <c r="B5" s="59" t="s">
        <v>48</v>
      </c>
      <c r="C5" s="59" t="s">
        <v>49</v>
      </c>
      <c r="D5" s="59" t="s">
        <v>50</v>
      </c>
      <c r="E5" s="60" t="s">
        <v>56</v>
      </c>
      <c r="F5" s="59" t="s">
        <v>52</v>
      </c>
      <c r="G5" s="59" t="s">
        <v>53</v>
      </c>
      <c r="H5" s="59">
        <f>+'SARDINA AUSTRAL'!F9</f>
        <v>2437.1149999999998</v>
      </c>
      <c r="I5" s="59">
        <f>+'SARDINA AUSTRAL'!G9</f>
        <v>0</v>
      </c>
      <c r="J5" s="59">
        <f>+'SARDINA AUSTRAL'!H9</f>
        <v>2437.1149999999998</v>
      </c>
      <c r="K5" s="59">
        <f>+'SARDINA AUSTRAL'!I9</f>
        <v>2298.5329999999994</v>
      </c>
      <c r="L5" s="59">
        <f>+'SARDINA AUSTRAL'!J9</f>
        <v>138.58200000000033</v>
      </c>
      <c r="M5" s="61">
        <f>+'SARDINA AUSTRAL'!K9</f>
        <v>0.94313686469452596</v>
      </c>
      <c r="N5" s="122" t="str">
        <f>+'SARDINA AUSTRAL'!L9</f>
        <v>-</v>
      </c>
      <c r="O5" s="160">
        <f>+'SARDINA AUSTRAL'!B$3</f>
        <v>43803</v>
      </c>
      <c r="P5" s="163">
        <v>2019</v>
      </c>
      <c r="Q5" s="163"/>
    </row>
    <row r="6" spans="1:17" ht="12" customHeight="1">
      <c r="A6" s="59" t="s">
        <v>72</v>
      </c>
      <c r="B6" s="59" t="s">
        <v>48</v>
      </c>
      <c r="C6" s="59" t="s">
        <v>49</v>
      </c>
      <c r="D6" s="59" t="s">
        <v>50</v>
      </c>
      <c r="E6" s="60" t="s">
        <v>56</v>
      </c>
      <c r="F6" s="59" t="s">
        <v>54</v>
      </c>
      <c r="G6" s="59" t="s">
        <v>55</v>
      </c>
      <c r="H6" s="59">
        <f>+'SARDINA AUSTRAL'!F10</f>
        <v>270.76299999999998</v>
      </c>
      <c r="I6" s="59">
        <f>+'SARDINA AUSTRAL'!G10</f>
        <v>0</v>
      </c>
      <c r="J6" s="59">
        <f>+'SARDINA AUSTRAL'!H10</f>
        <v>409.34500000000031</v>
      </c>
      <c r="K6" s="59">
        <f>+'SARDINA AUSTRAL'!I10</f>
        <v>152.56899999999999</v>
      </c>
      <c r="L6" s="59">
        <f>+'SARDINA AUSTRAL'!J10</f>
        <v>256.77600000000029</v>
      </c>
      <c r="M6" s="61">
        <f>+'SARDINA AUSTRAL'!K10</f>
        <v>0.37271494704955449</v>
      </c>
      <c r="N6" s="122" t="str">
        <f>+'SARDINA AUSTRAL'!L10</f>
        <v>-</v>
      </c>
      <c r="O6" s="160">
        <f>+'SARDINA AUSTRAL'!B$3</f>
        <v>43803</v>
      </c>
      <c r="P6" s="163">
        <v>2019</v>
      </c>
      <c r="Q6" s="163"/>
    </row>
    <row r="7" spans="1:17" ht="12" customHeight="1">
      <c r="A7" s="59" t="s">
        <v>72</v>
      </c>
      <c r="B7" s="59" t="s">
        <v>48</v>
      </c>
      <c r="C7" s="59" t="s">
        <v>49</v>
      </c>
      <c r="D7" s="59" t="s">
        <v>50</v>
      </c>
      <c r="E7" s="60" t="s">
        <v>56</v>
      </c>
      <c r="F7" s="59" t="s">
        <v>52</v>
      </c>
      <c r="G7" s="59" t="s">
        <v>55</v>
      </c>
      <c r="H7" s="68">
        <f t="shared" ref="H7:M7" si="1">+H5+H6</f>
        <v>2707.8779999999997</v>
      </c>
      <c r="I7" s="68">
        <f t="shared" si="1"/>
        <v>0</v>
      </c>
      <c r="J7" s="68">
        <f t="shared" si="1"/>
        <v>2846.46</v>
      </c>
      <c r="K7" s="68">
        <f t="shared" si="1"/>
        <v>2451.1019999999994</v>
      </c>
      <c r="L7" s="68">
        <f t="shared" si="1"/>
        <v>395.35800000000063</v>
      </c>
      <c r="M7" s="120">
        <f t="shared" si="1"/>
        <v>1.3158518117440805</v>
      </c>
      <c r="N7" s="123" t="s">
        <v>73</v>
      </c>
      <c r="O7" s="160">
        <f>+'SARDINA AUSTRAL'!B$3</f>
        <v>43803</v>
      </c>
      <c r="P7" s="163">
        <v>2019</v>
      </c>
      <c r="Q7" s="163"/>
    </row>
    <row r="8" spans="1:17" ht="12" customHeight="1">
      <c r="A8" s="59" t="s">
        <v>72</v>
      </c>
      <c r="B8" s="59" t="s">
        <v>48</v>
      </c>
      <c r="C8" s="59" t="s">
        <v>49</v>
      </c>
      <c r="D8" s="59" t="s">
        <v>50</v>
      </c>
      <c r="E8" s="60" t="s">
        <v>57</v>
      </c>
      <c r="F8" s="59" t="s">
        <v>52</v>
      </c>
      <c r="G8" s="59" t="s">
        <v>53</v>
      </c>
      <c r="H8" s="59">
        <f>+'SARDINA AUSTRAL'!F11</f>
        <v>1537.75</v>
      </c>
      <c r="I8" s="59">
        <f>+'SARDINA AUSTRAL'!G11</f>
        <v>814.93899999999996</v>
      </c>
      <c r="J8" s="59">
        <f>+'SARDINA AUSTRAL'!H11</f>
        <v>2352.6889999999999</v>
      </c>
      <c r="K8" s="59">
        <f>+'SARDINA AUSTRAL'!I11</f>
        <v>2026.6489999999999</v>
      </c>
      <c r="L8" s="59">
        <f>+'SARDINA AUSTRAL'!J11</f>
        <v>326.03999999999996</v>
      </c>
      <c r="M8" s="61">
        <f>+'SARDINA AUSTRAL'!K11</f>
        <v>0.86141814748995726</v>
      </c>
      <c r="N8" s="122" t="str">
        <f>+'SARDINA AUSTRAL'!L11</f>
        <v>-</v>
      </c>
      <c r="O8" s="160">
        <f>+'SARDINA AUSTRAL'!B$3</f>
        <v>43803</v>
      </c>
      <c r="P8" s="163">
        <v>2019</v>
      </c>
      <c r="Q8" s="163"/>
    </row>
    <row r="9" spans="1:17" ht="12" customHeight="1">
      <c r="A9" s="59" t="s">
        <v>72</v>
      </c>
      <c r="B9" s="59" t="s">
        <v>48</v>
      </c>
      <c r="C9" s="59" t="s">
        <v>49</v>
      </c>
      <c r="D9" s="59" t="s">
        <v>50</v>
      </c>
      <c r="E9" s="60" t="s">
        <v>57</v>
      </c>
      <c r="F9" s="59" t="s">
        <v>54</v>
      </c>
      <c r="G9" s="59" t="s">
        <v>55</v>
      </c>
      <c r="H9" s="59">
        <f>+'SARDINA AUSTRAL'!F12</f>
        <v>170.84399999999999</v>
      </c>
      <c r="I9" s="59">
        <f>+'SARDINA AUSTRAL'!G12</f>
        <v>0</v>
      </c>
      <c r="J9" s="59">
        <f>+'SARDINA AUSTRAL'!H12</f>
        <v>496.88399999999996</v>
      </c>
      <c r="K9" s="59">
        <f>+'SARDINA AUSTRAL'!I12</f>
        <v>547.875</v>
      </c>
      <c r="L9" s="59">
        <f>+'SARDINA AUSTRAL'!J12</f>
        <v>-50.991000000000042</v>
      </c>
      <c r="M9" s="61">
        <f>+'SARDINA AUSTRAL'!K12</f>
        <v>1.1026215374212092</v>
      </c>
      <c r="N9" s="122" t="str">
        <f>+'SARDINA AUSTRAL'!L12</f>
        <v>-</v>
      </c>
      <c r="O9" s="160">
        <f>+'SARDINA AUSTRAL'!B$3</f>
        <v>43803</v>
      </c>
      <c r="P9" s="163">
        <v>2019</v>
      </c>
      <c r="Q9" s="163"/>
    </row>
    <row r="10" spans="1:17" ht="12" customHeight="1">
      <c r="A10" s="59" t="s">
        <v>72</v>
      </c>
      <c r="B10" s="59" t="s">
        <v>48</v>
      </c>
      <c r="C10" s="59" t="s">
        <v>49</v>
      </c>
      <c r="D10" s="59" t="s">
        <v>50</v>
      </c>
      <c r="E10" s="60" t="s">
        <v>57</v>
      </c>
      <c r="F10" s="59" t="s">
        <v>52</v>
      </c>
      <c r="G10" s="59" t="s">
        <v>55</v>
      </c>
      <c r="H10" s="68">
        <f t="shared" ref="H10:M10" si="2">+H8+H9</f>
        <v>1708.5940000000001</v>
      </c>
      <c r="I10" s="68">
        <f t="shared" si="2"/>
        <v>814.93899999999996</v>
      </c>
      <c r="J10" s="68">
        <f t="shared" si="2"/>
        <v>2849.5729999999999</v>
      </c>
      <c r="K10" s="68">
        <f t="shared" si="2"/>
        <v>2574.5239999999999</v>
      </c>
      <c r="L10" s="68">
        <f t="shared" si="2"/>
        <v>275.04899999999992</v>
      </c>
      <c r="M10" s="120">
        <f t="shared" si="2"/>
        <v>1.9640396849111665</v>
      </c>
      <c r="N10" s="123" t="s">
        <v>73</v>
      </c>
      <c r="O10" s="160">
        <f>+'SARDINA AUSTRAL'!B$3</f>
        <v>43803</v>
      </c>
      <c r="P10" s="163">
        <v>2019</v>
      </c>
      <c r="Q10" s="163"/>
    </row>
    <row r="11" spans="1:17" ht="12" customHeight="1">
      <c r="A11" s="59" t="s">
        <v>72</v>
      </c>
      <c r="B11" s="59" t="s">
        <v>48</v>
      </c>
      <c r="C11" s="59" t="s">
        <v>49</v>
      </c>
      <c r="D11" s="59" t="s">
        <v>50</v>
      </c>
      <c r="E11" s="60" t="s">
        <v>58</v>
      </c>
      <c r="F11" s="59" t="s">
        <v>52</v>
      </c>
      <c r="G11" s="59" t="s">
        <v>53</v>
      </c>
      <c r="H11" s="59">
        <f>+'SARDINA AUSTRAL'!F13</f>
        <v>495.55399999999997</v>
      </c>
      <c r="I11" s="59">
        <f>+'SARDINA AUSTRAL'!G13</f>
        <v>0</v>
      </c>
      <c r="J11" s="59">
        <f>+'SARDINA AUSTRAL'!H13</f>
        <v>495.55399999999997</v>
      </c>
      <c r="K11" s="59">
        <f>+'SARDINA AUSTRAL'!I13</f>
        <v>386.54199999999997</v>
      </c>
      <c r="L11" s="59">
        <f>+'SARDINA AUSTRAL'!J13</f>
        <v>109.012</v>
      </c>
      <c r="M11" s="61">
        <f>+'SARDINA AUSTRAL'!K13</f>
        <v>0.78001993728231434</v>
      </c>
      <c r="N11" s="122" t="str">
        <f>+'SARDINA AUSTRAL'!L13</f>
        <v>-</v>
      </c>
      <c r="O11" s="160">
        <f>+'SARDINA AUSTRAL'!B$3</f>
        <v>43803</v>
      </c>
      <c r="P11" s="163">
        <v>2019</v>
      </c>
      <c r="Q11" s="163"/>
    </row>
    <row r="12" spans="1:17" ht="12" customHeight="1">
      <c r="A12" s="59" t="s">
        <v>72</v>
      </c>
      <c r="B12" s="59" t="s">
        <v>48</v>
      </c>
      <c r="C12" s="59" t="s">
        <v>49</v>
      </c>
      <c r="D12" s="59" t="s">
        <v>50</v>
      </c>
      <c r="E12" s="60" t="s">
        <v>58</v>
      </c>
      <c r="F12" s="59" t="s">
        <v>54</v>
      </c>
      <c r="G12" s="59" t="s">
        <v>55</v>
      </c>
      <c r="H12" s="59">
        <f>+'SARDINA AUSTRAL'!F14</f>
        <v>49.9</v>
      </c>
      <c r="I12" s="59">
        <f>+'SARDINA AUSTRAL'!G14</f>
        <v>0</v>
      </c>
      <c r="J12" s="59">
        <f>+'SARDINA AUSTRAL'!H14</f>
        <v>158.91200000000001</v>
      </c>
      <c r="K12" s="59">
        <f>+'SARDINA AUSTRAL'!I14</f>
        <v>174.05</v>
      </c>
      <c r="L12" s="59">
        <f>+'SARDINA AUSTRAL'!J14</f>
        <v>-15.138000000000005</v>
      </c>
      <c r="M12" s="61">
        <f>+'SARDINA AUSTRAL'!K14</f>
        <v>1.0952602698348772</v>
      </c>
      <c r="N12" s="122">
        <f>+'SARDINA AUSTRAL'!L14</f>
        <v>43772</v>
      </c>
      <c r="O12" s="160">
        <f>+'SARDINA AUSTRAL'!B$3</f>
        <v>43803</v>
      </c>
      <c r="P12" s="163">
        <v>2019</v>
      </c>
      <c r="Q12" s="163"/>
    </row>
    <row r="13" spans="1:17" ht="12" customHeight="1">
      <c r="A13" s="59" t="s">
        <v>72</v>
      </c>
      <c r="B13" s="59" t="s">
        <v>48</v>
      </c>
      <c r="C13" s="59" t="s">
        <v>49</v>
      </c>
      <c r="D13" s="59" t="s">
        <v>50</v>
      </c>
      <c r="E13" s="60" t="s">
        <v>58</v>
      </c>
      <c r="F13" s="59" t="s">
        <v>52</v>
      </c>
      <c r="G13" s="59" t="s">
        <v>55</v>
      </c>
      <c r="H13" s="68">
        <f t="shared" ref="H13:M13" si="3">+H11+H12</f>
        <v>545.45399999999995</v>
      </c>
      <c r="I13" s="68">
        <f t="shared" si="3"/>
        <v>0</v>
      </c>
      <c r="J13" s="68">
        <f t="shared" si="3"/>
        <v>654.46600000000001</v>
      </c>
      <c r="K13" s="68">
        <f t="shared" si="3"/>
        <v>560.59199999999998</v>
      </c>
      <c r="L13" s="68">
        <f t="shared" si="3"/>
        <v>93.873999999999995</v>
      </c>
      <c r="M13" s="120">
        <f t="shared" si="3"/>
        <v>1.8752802071171915</v>
      </c>
      <c r="N13" s="123" t="s">
        <v>73</v>
      </c>
      <c r="O13" s="160">
        <f>+'SARDINA AUSTRAL'!B$3</f>
        <v>43803</v>
      </c>
      <c r="P13" s="163">
        <v>2019</v>
      </c>
      <c r="Q13" s="163"/>
    </row>
    <row r="14" spans="1:17" ht="12" customHeight="1">
      <c r="A14" s="59" t="s">
        <v>72</v>
      </c>
      <c r="B14" s="59" t="s">
        <v>48</v>
      </c>
      <c r="C14" s="59" t="s">
        <v>49</v>
      </c>
      <c r="D14" s="59" t="s">
        <v>50</v>
      </c>
      <c r="E14" s="60" t="s">
        <v>59</v>
      </c>
      <c r="F14" s="59" t="s">
        <v>52</v>
      </c>
      <c r="G14" s="59" t="s">
        <v>53</v>
      </c>
      <c r="H14" s="59">
        <f>+'SARDINA AUSTRAL'!F15</f>
        <v>777.62800000000004</v>
      </c>
      <c r="I14" s="59">
        <f>+'SARDINA AUSTRAL'!G15</f>
        <v>582.95100000000002</v>
      </c>
      <c r="J14" s="59">
        <f>+'SARDINA AUSTRAL'!H15</f>
        <v>1360.5790000000002</v>
      </c>
      <c r="K14" s="59">
        <f>+'SARDINA AUSTRAL'!I15</f>
        <v>1399.038</v>
      </c>
      <c r="L14" s="59">
        <f>+'SARDINA AUSTRAL'!J15</f>
        <v>-38.458999999999833</v>
      </c>
      <c r="M14" s="61">
        <f>+'SARDINA AUSTRAL'!K15</f>
        <v>1.0282666423632878</v>
      </c>
      <c r="N14" s="122">
        <f>+'SARDINA AUSTRAL'!L15</f>
        <v>43689</v>
      </c>
      <c r="O14" s="160">
        <f>+'SARDINA AUSTRAL'!B$3</f>
        <v>43803</v>
      </c>
      <c r="P14" s="163">
        <v>2019</v>
      </c>
      <c r="Q14" s="163"/>
    </row>
    <row r="15" spans="1:17" ht="12" customHeight="1">
      <c r="A15" s="59" t="s">
        <v>72</v>
      </c>
      <c r="B15" s="59" t="s">
        <v>48</v>
      </c>
      <c r="C15" s="59" t="s">
        <v>49</v>
      </c>
      <c r="D15" s="59" t="s">
        <v>50</v>
      </c>
      <c r="E15" s="60" t="s">
        <v>59</v>
      </c>
      <c r="F15" s="59" t="s">
        <v>54</v>
      </c>
      <c r="G15" s="59" t="s">
        <v>55</v>
      </c>
      <c r="H15" s="59">
        <f>+'SARDINA AUSTRAL'!F16</f>
        <v>86.394000000000005</v>
      </c>
      <c r="I15" s="59">
        <f>+'SARDINA AUSTRAL'!G16</f>
        <v>0</v>
      </c>
      <c r="J15" s="59">
        <f>+'SARDINA AUSTRAL'!H16</f>
        <v>47.935000000000173</v>
      </c>
      <c r="K15" s="59">
        <f>+'SARDINA AUSTRAL'!I16</f>
        <v>0</v>
      </c>
      <c r="L15" s="59">
        <f>+'SARDINA AUSTRAL'!J16</f>
        <v>47.935000000000173</v>
      </c>
      <c r="M15" s="61">
        <f>+'SARDINA AUSTRAL'!K16</f>
        <v>0</v>
      </c>
      <c r="N15" s="122" t="str">
        <f>+'SARDINA AUSTRAL'!L16</f>
        <v>-</v>
      </c>
      <c r="O15" s="160">
        <f>+'SARDINA AUSTRAL'!B$3</f>
        <v>43803</v>
      </c>
      <c r="P15" s="163">
        <v>2019</v>
      </c>
      <c r="Q15" s="163"/>
    </row>
    <row r="16" spans="1:17" ht="12" customHeight="1">
      <c r="A16" s="59" t="s">
        <v>72</v>
      </c>
      <c r="B16" s="59" t="s">
        <v>48</v>
      </c>
      <c r="C16" s="59" t="s">
        <v>49</v>
      </c>
      <c r="D16" s="59" t="s">
        <v>50</v>
      </c>
      <c r="E16" s="60" t="s">
        <v>59</v>
      </c>
      <c r="F16" s="59" t="s">
        <v>52</v>
      </c>
      <c r="G16" s="59" t="s">
        <v>55</v>
      </c>
      <c r="H16" s="68">
        <f t="shared" ref="H16:M16" si="4">+H14+H15</f>
        <v>864.02200000000005</v>
      </c>
      <c r="I16" s="68">
        <f t="shared" si="4"/>
        <v>582.95100000000002</v>
      </c>
      <c r="J16" s="68">
        <f t="shared" si="4"/>
        <v>1408.5140000000004</v>
      </c>
      <c r="K16" s="68">
        <f t="shared" si="4"/>
        <v>1399.038</v>
      </c>
      <c r="L16" s="68">
        <f t="shared" si="4"/>
        <v>9.4760000000003402</v>
      </c>
      <c r="M16" s="120">
        <f t="shared" si="4"/>
        <v>1.0282666423632878</v>
      </c>
      <c r="N16" s="123" t="s">
        <v>73</v>
      </c>
      <c r="O16" s="160">
        <f>+'SARDINA AUSTRAL'!B$3</f>
        <v>43803</v>
      </c>
      <c r="P16" s="163">
        <v>2019</v>
      </c>
      <c r="Q16" s="163"/>
    </row>
    <row r="17" spans="1:17" ht="12" customHeight="1">
      <c r="A17" s="59" t="s">
        <v>72</v>
      </c>
      <c r="B17" s="59" t="s">
        <v>48</v>
      </c>
      <c r="C17" s="59" t="s">
        <v>49</v>
      </c>
      <c r="D17" s="59" t="s">
        <v>50</v>
      </c>
      <c r="E17" s="60" t="s">
        <v>60</v>
      </c>
      <c r="F17" s="59" t="s">
        <v>52</v>
      </c>
      <c r="G17" s="59" t="s">
        <v>53</v>
      </c>
      <c r="H17" s="59">
        <f>+'SARDINA AUSTRAL'!F17</f>
        <v>724.35799999999995</v>
      </c>
      <c r="I17" s="59">
        <f>+'SARDINA AUSTRAL'!G17</f>
        <v>0</v>
      </c>
      <c r="J17" s="59">
        <f>+'SARDINA AUSTRAL'!H17</f>
        <v>724.35799999999995</v>
      </c>
      <c r="K17" s="59">
        <f>+'SARDINA AUSTRAL'!I17</f>
        <v>660.154</v>
      </c>
      <c r="L17" s="59">
        <f>+'SARDINA AUSTRAL'!J17</f>
        <v>64.203999999999951</v>
      </c>
      <c r="M17" s="61">
        <f>+'SARDINA AUSTRAL'!K17</f>
        <v>0.91136427015370858</v>
      </c>
      <c r="N17" s="122" t="str">
        <f>+'SARDINA AUSTRAL'!L17</f>
        <v>-</v>
      </c>
      <c r="O17" s="160">
        <f>+'SARDINA AUSTRAL'!B$3</f>
        <v>43803</v>
      </c>
      <c r="P17" s="163">
        <v>2019</v>
      </c>
      <c r="Q17" s="163"/>
    </row>
    <row r="18" spans="1:17" ht="12" customHeight="1">
      <c r="A18" s="59" t="s">
        <v>72</v>
      </c>
      <c r="B18" s="59" t="s">
        <v>48</v>
      </c>
      <c r="C18" s="59" t="s">
        <v>49</v>
      </c>
      <c r="D18" s="59" t="s">
        <v>50</v>
      </c>
      <c r="E18" s="60" t="s">
        <v>60</v>
      </c>
      <c r="F18" s="59" t="s">
        <v>54</v>
      </c>
      <c r="G18" s="59" t="s">
        <v>55</v>
      </c>
      <c r="H18" s="59">
        <f>+'SARDINA AUSTRAL'!F18</f>
        <v>80.475999999999999</v>
      </c>
      <c r="I18" s="59">
        <f>+'SARDINA AUSTRAL'!G18</f>
        <v>0</v>
      </c>
      <c r="J18" s="59">
        <f>+'SARDINA AUSTRAL'!H18</f>
        <v>144.67999999999995</v>
      </c>
      <c r="K18" s="59">
        <f>+'SARDINA AUSTRAL'!I18</f>
        <v>0</v>
      </c>
      <c r="L18" s="59">
        <f>+'SARDINA AUSTRAL'!J18</f>
        <v>144.67999999999995</v>
      </c>
      <c r="M18" s="61">
        <f>+'SARDINA AUSTRAL'!K18</f>
        <v>0</v>
      </c>
      <c r="N18" s="122" t="str">
        <f>+'SARDINA AUSTRAL'!L18</f>
        <v>-</v>
      </c>
      <c r="O18" s="160">
        <f>+'SARDINA AUSTRAL'!B$3</f>
        <v>43803</v>
      </c>
      <c r="P18" s="163">
        <v>2019</v>
      </c>
      <c r="Q18" s="163"/>
    </row>
    <row r="19" spans="1:17" ht="12" customHeight="1">
      <c r="A19" s="59" t="s">
        <v>72</v>
      </c>
      <c r="B19" s="59" t="s">
        <v>48</v>
      </c>
      <c r="C19" s="59" t="s">
        <v>49</v>
      </c>
      <c r="D19" s="59" t="s">
        <v>50</v>
      </c>
      <c r="E19" s="60" t="s">
        <v>60</v>
      </c>
      <c r="F19" s="59" t="s">
        <v>52</v>
      </c>
      <c r="G19" s="59" t="s">
        <v>55</v>
      </c>
      <c r="H19" s="68">
        <f t="shared" ref="H19:M19" si="5">+H17+H18</f>
        <v>804.83399999999995</v>
      </c>
      <c r="I19" s="68">
        <f t="shared" si="5"/>
        <v>0</v>
      </c>
      <c r="J19" s="68">
        <f t="shared" si="5"/>
        <v>869.0379999999999</v>
      </c>
      <c r="K19" s="68">
        <f t="shared" si="5"/>
        <v>660.154</v>
      </c>
      <c r="L19" s="68">
        <f t="shared" si="5"/>
        <v>208.8839999999999</v>
      </c>
      <c r="M19" s="120">
        <f t="shared" si="5"/>
        <v>0.91136427015370858</v>
      </c>
      <c r="N19" s="123" t="s">
        <v>73</v>
      </c>
      <c r="O19" s="160">
        <f>+'SARDINA AUSTRAL'!B$3</f>
        <v>43803</v>
      </c>
      <c r="P19" s="163">
        <v>2019</v>
      </c>
      <c r="Q19" s="163"/>
    </row>
    <row r="20" spans="1:17" ht="12" customHeight="1">
      <c r="A20" s="59" t="s">
        <v>72</v>
      </c>
      <c r="B20" s="59" t="s">
        <v>48</v>
      </c>
      <c r="C20" s="59" t="s">
        <v>49</v>
      </c>
      <c r="D20" s="59" t="s">
        <v>50</v>
      </c>
      <c r="E20" s="60" t="s">
        <v>61</v>
      </c>
      <c r="F20" s="59" t="s">
        <v>52</v>
      </c>
      <c r="G20" s="59" t="s">
        <v>53</v>
      </c>
      <c r="H20" s="59">
        <f>+'SARDINA AUSTRAL'!F19</f>
        <v>1103.181</v>
      </c>
      <c r="I20" s="59">
        <f>+'SARDINA AUSTRAL'!G19</f>
        <v>-912</v>
      </c>
      <c r="J20" s="59">
        <f>+'SARDINA AUSTRAL'!H19</f>
        <v>191.18100000000004</v>
      </c>
      <c r="K20" s="59">
        <f>+'SARDINA AUSTRAL'!I19</f>
        <v>141.55000000000001</v>
      </c>
      <c r="L20" s="59">
        <f>+'SARDINA AUSTRAL'!J19</f>
        <v>49.631000000000029</v>
      </c>
      <c r="M20" s="61">
        <f>+'SARDINA AUSTRAL'!K19</f>
        <v>0.74039784288187627</v>
      </c>
      <c r="N20" s="122" t="str">
        <f>+'SARDINA AUSTRAL'!L19</f>
        <v>-</v>
      </c>
      <c r="O20" s="160">
        <f>+'SARDINA AUSTRAL'!B$3</f>
        <v>43803</v>
      </c>
      <c r="P20" s="163">
        <v>2019</v>
      </c>
      <c r="Q20" s="163"/>
    </row>
    <row r="21" spans="1:17" ht="12" customHeight="1">
      <c r="A21" s="59" t="s">
        <v>72</v>
      </c>
      <c r="B21" s="59" t="s">
        <v>48</v>
      </c>
      <c r="C21" s="59" t="s">
        <v>49</v>
      </c>
      <c r="D21" s="59" t="s">
        <v>50</v>
      </c>
      <c r="E21" s="60" t="s">
        <v>61</v>
      </c>
      <c r="F21" s="59" t="s">
        <v>54</v>
      </c>
      <c r="G21" s="59" t="s">
        <v>55</v>
      </c>
      <c r="H21" s="59">
        <f>+'SARDINA AUSTRAL'!F20</f>
        <v>122.563</v>
      </c>
      <c r="I21" s="59">
        <f>+'SARDINA AUSTRAL'!G20</f>
        <v>0</v>
      </c>
      <c r="J21" s="59">
        <f>+'SARDINA AUSTRAL'!H20</f>
        <v>172.19400000000002</v>
      </c>
      <c r="K21" s="59">
        <f>+'SARDINA AUSTRAL'!I20</f>
        <v>0</v>
      </c>
      <c r="L21" s="59">
        <f>+'SARDINA AUSTRAL'!J20</f>
        <v>172.19400000000002</v>
      </c>
      <c r="M21" s="61">
        <f>+'SARDINA AUSTRAL'!K20</f>
        <v>0</v>
      </c>
      <c r="N21" s="122" t="str">
        <f>+'SARDINA AUSTRAL'!L20</f>
        <v>-</v>
      </c>
      <c r="O21" s="160">
        <f>+'SARDINA AUSTRAL'!B$3</f>
        <v>43803</v>
      </c>
      <c r="P21" s="163">
        <v>2019</v>
      </c>
      <c r="Q21" s="163"/>
    </row>
    <row r="22" spans="1:17" ht="12" customHeight="1">
      <c r="A22" s="59" t="s">
        <v>72</v>
      </c>
      <c r="B22" s="59" t="s">
        <v>48</v>
      </c>
      <c r="C22" s="59" t="s">
        <v>49</v>
      </c>
      <c r="D22" s="59" t="s">
        <v>50</v>
      </c>
      <c r="E22" s="60" t="s">
        <v>61</v>
      </c>
      <c r="F22" s="59" t="s">
        <v>52</v>
      </c>
      <c r="G22" s="59" t="s">
        <v>55</v>
      </c>
      <c r="H22" s="68">
        <f t="shared" ref="H22:M22" si="6">+H20+H21</f>
        <v>1225.7440000000001</v>
      </c>
      <c r="I22" s="68">
        <f t="shared" si="6"/>
        <v>-912</v>
      </c>
      <c r="J22" s="68">
        <f t="shared" si="6"/>
        <v>363.37500000000006</v>
      </c>
      <c r="K22" s="68">
        <f t="shared" si="6"/>
        <v>141.55000000000001</v>
      </c>
      <c r="L22" s="68">
        <f t="shared" si="6"/>
        <v>221.82500000000005</v>
      </c>
      <c r="M22" s="120">
        <f t="shared" si="6"/>
        <v>0.74039784288187627</v>
      </c>
      <c r="N22" s="123" t="s">
        <v>73</v>
      </c>
      <c r="O22" s="160">
        <f>+'SARDINA AUSTRAL'!B$3</f>
        <v>43803</v>
      </c>
      <c r="P22" s="163">
        <v>2019</v>
      </c>
      <c r="Q22" s="163"/>
    </row>
    <row r="23" spans="1:17" ht="12" customHeight="1">
      <c r="A23" s="59" t="s">
        <v>72</v>
      </c>
      <c r="B23" s="59" t="s">
        <v>48</v>
      </c>
      <c r="C23" s="59" t="s">
        <v>49</v>
      </c>
      <c r="D23" s="59" t="s">
        <v>50</v>
      </c>
      <c r="E23" s="60" t="s">
        <v>62</v>
      </c>
      <c r="F23" s="59" t="s">
        <v>52</v>
      </c>
      <c r="G23" s="59" t="s">
        <v>53</v>
      </c>
      <c r="H23" s="59">
        <f>+'SARDINA AUSTRAL'!F21</f>
        <v>70.146000000000001</v>
      </c>
      <c r="I23" s="59">
        <f>+'SARDINA AUSTRAL'!G21</f>
        <v>-77.938999999999993</v>
      </c>
      <c r="J23" s="59">
        <f>+'SARDINA AUSTRAL'!H21</f>
        <v>-7.7929999999999922</v>
      </c>
      <c r="K23" s="59">
        <f>+'SARDINA AUSTRAL'!I21</f>
        <v>0</v>
      </c>
      <c r="L23" s="59">
        <f>+'SARDINA AUSTRAL'!J21</f>
        <v>-7.7929999999999922</v>
      </c>
      <c r="M23" s="61">
        <f>+'SARDINA AUSTRAL'!K21</f>
        <v>0</v>
      </c>
      <c r="N23" s="122" t="str">
        <f>+'SARDINA AUSTRAL'!L21</f>
        <v>-</v>
      </c>
      <c r="O23" s="160">
        <f>+'SARDINA AUSTRAL'!B$3</f>
        <v>43803</v>
      </c>
      <c r="P23" s="163">
        <v>2019</v>
      </c>
      <c r="Q23" s="163"/>
    </row>
    <row r="24" spans="1:17" ht="12" customHeight="1">
      <c r="A24" s="59" t="s">
        <v>72</v>
      </c>
      <c r="B24" s="59" t="s">
        <v>48</v>
      </c>
      <c r="C24" s="59" t="s">
        <v>49</v>
      </c>
      <c r="D24" s="59" t="s">
        <v>50</v>
      </c>
      <c r="E24" s="60" t="s">
        <v>62</v>
      </c>
      <c r="F24" s="59" t="s">
        <v>54</v>
      </c>
      <c r="G24" s="59" t="s">
        <v>55</v>
      </c>
      <c r="H24" s="59">
        <f>+'SARDINA AUSTRAL'!F22</f>
        <v>7.7930000000000001</v>
      </c>
      <c r="I24" s="59">
        <f>+'SARDINA AUSTRAL'!G22</f>
        <v>0</v>
      </c>
      <c r="J24" s="59">
        <f>+'SARDINA AUSTRAL'!H22</f>
        <v>7.9936057773011271E-15</v>
      </c>
      <c r="K24" s="59">
        <f>+'SARDINA AUSTRAL'!I22</f>
        <v>0</v>
      </c>
      <c r="L24" s="59">
        <f>+'SARDINA AUSTRAL'!J22</f>
        <v>7.9936057773011271E-15</v>
      </c>
      <c r="M24" s="61">
        <f>+'SARDINA AUSTRAL'!K22</f>
        <v>0</v>
      </c>
      <c r="N24" s="122" t="str">
        <f>+'SARDINA AUSTRAL'!L22</f>
        <v>-</v>
      </c>
      <c r="O24" s="160">
        <f>+'SARDINA AUSTRAL'!B$3</f>
        <v>43803</v>
      </c>
      <c r="P24" s="163">
        <v>2019</v>
      </c>
      <c r="Q24" s="163"/>
    </row>
    <row r="25" spans="1:17" ht="12" customHeight="1">
      <c r="A25" s="59" t="s">
        <v>72</v>
      </c>
      <c r="B25" s="59" t="s">
        <v>48</v>
      </c>
      <c r="C25" s="59" t="s">
        <v>49</v>
      </c>
      <c r="D25" s="59" t="s">
        <v>50</v>
      </c>
      <c r="E25" s="60" t="s">
        <v>62</v>
      </c>
      <c r="F25" s="59" t="s">
        <v>52</v>
      </c>
      <c r="G25" s="59" t="s">
        <v>55</v>
      </c>
      <c r="H25" s="68">
        <f t="shared" ref="H25:M25" si="7">+H23+H24</f>
        <v>77.939000000000007</v>
      </c>
      <c r="I25" s="68">
        <f t="shared" si="7"/>
        <v>-77.938999999999993</v>
      </c>
      <c r="J25" s="68">
        <f t="shared" si="7"/>
        <v>-7.7929999999999842</v>
      </c>
      <c r="K25" s="68">
        <f t="shared" si="7"/>
        <v>0</v>
      </c>
      <c r="L25" s="68">
        <f t="shared" si="7"/>
        <v>-7.7929999999999842</v>
      </c>
      <c r="M25" s="120">
        <f t="shared" si="7"/>
        <v>0</v>
      </c>
      <c r="N25" s="123" t="s">
        <v>73</v>
      </c>
      <c r="O25" s="160">
        <f>+'SARDINA AUSTRAL'!B$3</f>
        <v>43803</v>
      </c>
      <c r="P25" s="163">
        <v>2019</v>
      </c>
      <c r="Q25" s="163"/>
    </row>
    <row r="26" spans="1:17" ht="12" customHeight="1">
      <c r="A26" s="59" t="s">
        <v>72</v>
      </c>
      <c r="B26" s="59" t="s">
        <v>48</v>
      </c>
      <c r="C26" s="59" t="s">
        <v>49</v>
      </c>
      <c r="D26" s="59" t="s">
        <v>50</v>
      </c>
      <c r="E26" s="60" t="s">
        <v>63</v>
      </c>
      <c r="F26" s="59" t="s">
        <v>52</v>
      </c>
      <c r="G26" s="59" t="s">
        <v>53</v>
      </c>
      <c r="H26" s="59">
        <f>+'SARDINA AUSTRAL'!F23</f>
        <v>1689.789</v>
      </c>
      <c r="I26" s="59">
        <f>+'SARDINA AUSTRAL'!G23</f>
        <v>-238.95099999999999</v>
      </c>
      <c r="J26" s="59">
        <f>+'SARDINA AUSTRAL'!H23</f>
        <v>1450.838</v>
      </c>
      <c r="K26" s="59">
        <f>+'SARDINA AUSTRAL'!I23</f>
        <v>1032.0570000000002</v>
      </c>
      <c r="L26" s="59">
        <f>+'SARDINA AUSTRAL'!J23</f>
        <v>418.78099999999972</v>
      </c>
      <c r="M26" s="61">
        <f>+'SARDINA AUSTRAL'!K23</f>
        <v>0.71135233568461831</v>
      </c>
      <c r="N26" s="122" t="str">
        <f>+'SARDINA AUSTRAL'!L23</f>
        <v>-</v>
      </c>
      <c r="O26" s="160">
        <f>+'SARDINA AUSTRAL'!B$3</f>
        <v>43803</v>
      </c>
      <c r="P26" s="163">
        <v>2019</v>
      </c>
      <c r="Q26" s="163"/>
    </row>
    <row r="27" spans="1:17" ht="12" customHeight="1">
      <c r="A27" s="59" t="s">
        <v>72</v>
      </c>
      <c r="B27" s="59" t="s">
        <v>48</v>
      </c>
      <c r="C27" s="59" t="s">
        <v>49</v>
      </c>
      <c r="D27" s="59" t="s">
        <v>50</v>
      </c>
      <c r="E27" s="60" t="s">
        <v>63</v>
      </c>
      <c r="F27" s="59" t="s">
        <v>54</v>
      </c>
      <c r="G27" s="59" t="s">
        <v>55</v>
      </c>
      <c r="H27" s="59">
        <f>+'SARDINA AUSTRAL'!F24</f>
        <v>187.73500000000001</v>
      </c>
      <c r="I27" s="59">
        <f>+'SARDINA AUSTRAL'!G24</f>
        <v>0</v>
      </c>
      <c r="J27" s="59">
        <f>+'SARDINA AUSTRAL'!H24</f>
        <v>606.51599999999974</v>
      </c>
      <c r="K27" s="59">
        <f>+'SARDINA AUSTRAL'!I24</f>
        <v>10.723000000000001</v>
      </c>
      <c r="L27" s="59">
        <f>+'SARDINA AUSTRAL'!J24</f>
        <v>595.79299999999978</v>
      </c>
      <c r="M27" s="61">
        <f>+'SARDINA AUSTRAL'!K24</f>
        <v>1.7679665499343803E-2</v>
      </c>
      <c r="N27" s="122" t="str">
        <f>+'SARDINA AUSTRAL'!L24</f>
        <v>-</v>
      </c>
      <c r="O27" s="160">
        <f>+'SARDINA AUSTRAL'!B$3</f>
        <v>43803</v>
      </c>
      <c r="P27" s="163">
        <v>2019</v>
      </c>
      <c r="Q27" s="163"/>
    </row>
    <row r="28" spans="1:17" ht="12" customHeight="1">
      <c r="A28" s="59" t="s">
        <v>72</v>
      </c>
      <c r="B28" s="59" t="s">
        <v>48</v>
      </c>
      <c r="C28" s="59" t="s">
        <v>49</v>
      </c>
      <c r="D28" s="59" t="s">
        <v>50</v>
      </c>
      <c r="E28" s="60" t="s">
        <v>63</v>
      </c>
      <c r="F28" s="59" t="s">
        <v>52</v>
      </c>
      <c r="G28" s="59" t="s">
        <v>55</v>
      </c>
      <c r="H28" s="68">
        <f t="shared" ref="H28:M28" si="8">+H26+H27</f>
        <v>1877.5239999999999</v>
      </c>
      <c r="I28" s="68">
        <f t="shared" si="8"/>
        <v>-238.95099999999999</v>
      </c>
      <c r="J28" s="68">
        <f t="shared" si="8"/>
        <v>2057.3539999999998</v>
      </c>
      <c r="K28" s="68">
        <f t="shared" si="8"/>
        <v>1042.7800000000002</v>
      </c>
      <c r="L28" s="68">
        <f t="shared" si="8"/>
        <v>1014.5739999999995</v>
      </c>
      <c r="M28" s="120">
        <f t="shared" si="8"/>
        <v>0.72903200118396216</v>
      </c>
      <c r="N28" s="123" t="s">
        <v>73</v>
      </c>
      <c r="O28" s="160">
        <f>+'SARDINA AUSTRAL'!B$3</f>
        <v>43803</v>
      </c>
      <c r="P28" s="163">
        <v>2019</v>
      </c>
      <c r="Q28" s="163"/>
    </row>
    <row r="29" spans="1:17" ht="12" customHeight="1">
      <c r="A29" s="59" t="s">
        <v>72</v>
      </c>
      <c r="B29" s="59" t="s">
        <v>48</v>
      </c>
      <c r="C29" s="59" t="s">
        <v>49</v>
      </c>
      <c r="D29" s="59" t="s">
        <v>50</v>
      </c>
      <c r="E29" s="60" t="s">
        <v>64</v>
      </c>
      <c r="F29" s="59" t="s">
        <v>52</v>
      </c>
      <c r="G29" s="59" t="s">
        <v>53</v>
      </c>
      <c r="H29" s="59">
        <f>+'SARDINA AUSTRAL'!F25</f>
        <v>429.36500000000001</v>
      </c>
      <c r="I29" s="59">
        <f>+'SARDINA AUSTRAL'!G25</f>
        <v>-174</v>
      </c>
      <c r="J29" s="59">
        <f>+'SARDINA AUSTRAL'!H25</f>
        <v>255.36500000000001</v>
      </c>
      <c r="K29" s="59">
        <f>+'SARDINA AUSTRAL'!I25</f>
        <v>233.30600000000001</v>
      </c>
      <c r="L29" s="59">
        <f>+'SARDINA AUSTRAL'!J25</f>
        <v>22.058999999999997</v>
      </c>
      <c r="M29" s="61">
        <f>+'SARDINA AUSTRAL'!K25</f>
        <v>0.91361776281009532</v>
      </c>
      <c r="N29" s="122" t="str">
        <f>+'SARDINA AUSTRAL'!L25</f>
        <v>-</v>
      </c>
      <c r="O29" s="160">
        <f>+'SARDINA AUSTRAL'!B$3</f>
        <v>43803</v>
      </c>
      <c r="P29" s="163">
        <v>2019</v>
      </c>
      <c r="Q29" s="163"/>
    </row>
    <row r="30" spans="1:17" ht="12" customHeight="1">
      <c r="A30" s="59" t="s">
        <v>72</v>
      </c>
      <c r="B30" s="59" t="s">
        <v>48</v>
      </c>
      <c r="C30" s="59" t="s">
        <v>49</v>
      </c>
      <c r="D30" s="59" t="s">
        <v>50</v>
      </c>
      <c r="E30" s="60" t="s">
        <v>64</v>
      </c>
      <c r="F30" s="59" t="s">
        <v>54</v>
      </c>
      <c r="G30" s="59" t="s">
        <v>55</v>
      </c>
      <c r="H30" s="59">
        <f>+'SARDINA AUSTRAL'!F26</f>
        <v>47.701999999999998</v>
      </c>
      <c r="I30" s="59">
        <f>+'SARDINA AUSTRAL'!G26</f>
        <v>0</v>
      </c>
      <c r="J30" s="59">
        <f>+'SARDINA AUSTRAL'!H26</f>
        <v>69.760999999999996</v>
      </c>
      <c r="K30" s="59">
        <f>+'SARDINA AUSTRAL'!I26</f>
        <v>0</v>
      </c>
      <c r="L30" s="59">
        <f>+'SARDINA AUSTRAL'!J26</f>
        <v>69.760999999999996</v>
      </c>
      <c r="M30" s="61">
        <f>+'SARDINA AUSTRAL'!K26</f>
        <v>0</v>
      </c>
      <c r="N30" s="122" t="str">
        <f>+'SARDINA AUSTRAL'!L26</f>
        <v>-</v>
      </c>
      <c r="O30" s="160">
        <f>+'SARDINA AUSTRAL'!B$3</f>
        <v>43803</v>
      </c>
      <c r="P30" s="163">
        <v>2019</v>
      </c>
      <c r="Q30" s="163"/>
    </row>
    <row r="31" spans="1:17" ht="12" customHeight="1">
      <c r="A31" s="59" t="s">
        <v>72</v>
      </c>
      <c r="B31" s="59" t="s">
        <v>48</v>
      </c>
      <c r="C31" s="59" t="s">
        <v>49</v>
      </c>
      <c r="D31" s="59" t="s">
        <v>50</v>
      </c>
      <c r="E31" s="60" t="s">
        <v>64</v>
      </c>
      <c r="F31" s="59" t="s">
        <v>52</v>
      </c>
      <c r="G31" s="59" t="s">
        <v>55</v>
      </c>
      <c r="H31" s="68">
        <f t="shared" ref="H31:M31" si="9">+H29+H30</f>
        <v>477.06700000000001</v>
      </c>
      <c r="I31" s="68">
        <f t="shared" si="9"/>
        <v>-174</v>
      </c>
      <c r="J31" s="68">
        <f t="shared" si="9"/>
        <v>325.12599999999998</v>
      </c>
      <c r="K31" s="68">
        <f t="shared" si="9"/>
        <v>233.30600000000001</v>
      </c>
      <c r="L31" s="68">
        <f t="shared" si="9"/>
        <v>91.82</v>
      </c>
      <c r="M31" s="120">
        <f t="shared" si="9"/>
        <v>0.91361776281009532</v>
      </c>
      <c r="N31" s="123" t="s">
        <v>73</v>
      </c>
      <c r="O31" s="160">
        <f>+'SARDINA AUSTRAL'!B$3</f>
        <v>43803</v>
      </c>
      <c r="P31" s="163">
        <v>2019</v>
      </c>
      <c r="Q31" s="163"/>
    </row>
    <row r="32" spans="1:17" ht="12" customHeight="1">
      <c r="A32" s="59" t="s">
        <v>72</v>
      </c>
      <c r="B32" s="59" t="s">
        <v>48</v>
      </c>
      <c r="C32" s="59" t="s">
        <v>49</v>
      </c>
      <c r="D32" s="59" t="s">
        <v>50</v>
      </c>
      <c r="E32" s="60" t="str">
        <f>'SARDINA AUSTRAL'!C27</f>
        <v>STI. Pescadores artesanales, recolectires de orilla buzos mariscadores, bolincheros, acuicultores y ramos similares "ILUSION DEL MAR" RSU 10.01.0876</v>
      </c>
      <c r="F32" s="59" t="s">
        <v>52</v>
      </c>
      <c r="G32" s="59" t="s">
        <v>53</v>
      </c>
      <c r="H32" s="68">
        <f>'SARDINA AUSTRAL'!F27</f>
        <v>2.488</v>
      </c>
      <c r="I32" s="68">
        <f>'SARDINA AUSTRAL'!G27</f>
        <v>0</v>
      </c>
      <c r="J32" s="68">
        <f>'SARDINA AUSTRAL'!H27</f>
        <v>2.488</v>
      </c>
      <c r="K32" s="68">
        <f>'SARDINA AUSTRAL'!I27</f>
        <v>2.5</v>
      </c>
      <c r="L32" s="68">
        <f>'SARDINA AUSTRAL'!J27</f>
        <v>-1.2000000000000011E-2</v>
      </c>
      <c r="M32" s="120">
        <f>'SARDINA AUSTRAL'!K27</f>
        <v>1.004823151125402</v>
      </c>
      <c r="N32" s="123">
        <f>'SARDINA AUSTRAL'!L27</f>
        <v>43473</v>
      </c>
      <c r="O32" s="160">
        <f>+'SARDINA AUSTRAL'!B$3</f>
        <v>43803</v>
      </c>
      <c r="P32" s="163">
        <v>2019</v>
      </c>
      <c r="Q32" s="163"/>
    </row>
    <row r="33" spans="1:17" ht="12" customHeight="1">
      <c r="A33" s="59" t="s">
        <v>72</v>
      </c>
      <c r="B33" s="59" t="s">
        <v>48</v>
      </c>
      <c r="C33" s="59" t="s">
        <v>49</v>
      </c>
      <c r="D33" s="59" t="s">
        <v>50</v>
      </c>
      <c r="E33" s="60" t="str">
        <f>'SARDINA AUSTRAL'!C27</f>
        <v>STI. Pescadores artesanales, recolectires de orilla buzos mariscadores, bolincheros, acuicultores y ramos similares "ILUSION DEL MAR" RSU 10.01.0876</v>
      </c>
      <c r="F33" s="59" t="s">
        <v>54</v>
      </c>
      <c r="G33" s="59" t="s">
        <v>55</v>
      </c>
      <c r="H33" s="68">
        <f>'SARDINA AUSTRAL'!F28</f>
        <v>0.27600000000000002</v>
      </c>
      <c r="I33" s="68">
        <f>'SARDINA AUSTRAL'!G28</f>
        <v>0</v>
      </c>
      <c r="J33" s="68">
        <f>'SARDINA AUSTRAL'!H28</f>
        <v>0.26400000000000001</v>
      </c>
      <c r="K33" s="68">
        <f>'SARDINA AUSTRAL'!I28</f>
        <v>0</v>
      </c>
      <c r="L33" s="68">
        <f>'SARDINA AUSTRAL'!J28</f>
        <v>0.26400000000000001</v>
      </c>
      <c r="M33" s="120">
        <f>'SARDINA AUSTRAL'!K28</f>
        <v>0</v>
      </c>
      <c r="N33" s="123" t="str">
        <f>'SARDINA AUSTRAL'!L28</f>
        <v>-</v>
      </c>
      <c r="O33" s="160">
        <f>+'SARDINA AUSTRAL'!B$3</f>
        <v>43803</v>
      </c>
      <c r="P33" s="163">
        <v>2019</v>
      </c>
      <c r="Q33" s="163"/>
    </row>
    <row r="34" spans="1:17" ht="12" customHeight="1">
      <c r="A34" s="59" t="s">
        <v>72</v>
      </c>
      <c r="B34" s="59" t="s">
        <v>48</v>
      </c>
      <c r="C34" s="59" t="s">
        <v>49</v>
      </c>
      <c r="D34" s="59" t="s">
        <v>50</v>
      </c>
      <c r="E34" s="60" t="str">
        <f>'SARDINA AUSTRAL'!C27</f>
        <v>STI. Pescadores artesanales, recolectires de orilla buzos mariscadores, bolincheros, acuicultores y ramos similares "ILUSION DEL MAR" RSU 10.01.0876</v>
      </c>
      <c r="F34" s="59" t="s">
        <v>52</v>
      </c>
      <c r="G34" s="59" t="s">
        <v>55</v>
      </c>
      <c r="H34" s="68">
        <f t="shared" ref="H34:M34" si="10">H32+H33</f>
        <v>2.7640000000000002</v>
      </c>
      <c r="I34" s="68">
        <f t="shared" si="10"/>
        <v>0</v>
      </c>
      <c r="J34" s="68">
        <f t="shared" si="10"/>
        <v>2.7519999999999998</v>
      </c>
      <c r="K34" s="68">
        <f t="shared" si="10"/>
        <v>2.5</v>
      </c>
      <c r="L34" s="68">
        <f t="shared" si="10"/>
        <v>0.252</v>
      </c>
      <c r="M34" s="120">
        <f t="shared" si="10"/>
        <v>1.004823151125402</v>
      </c>
      <c r="N34" s="123" t="s">
        <v>73</v>
      </c>
      <c r="O34" s="160">
        <f>+'SARDINA AUSTRAL'!B$3</f>
        <v>43803</v>
      </c>
      <c r="P34" s="163">
        <v>2019</v>
      </c>
      <c r="Q34" s="163"/>
    </row>
    <row r="35" spans="1:17" ht="12" customHeight="1">
      <c r="A35" s="59" t="s">
        <v>72</v>
      </c>
      <c r="B35" s="59" t="s">
        <v>48</v>
      </c>
      <c r="C35" s="59" t="s">
        <v>49</v>
      </c>
      <c r="D35" s="59" t="s">
        <v>50</v>
      </c>
      <c r="E35" s="60" t="s">
        <v>65</v>
      </c>
      <c r="F35" s="59" t="s">
        <v>52</v>
      </c>
      <c r="G35" s="59" t="s">
        <v>53</v>
      </c>
      <c r="H35" s="59">
        <f>+'SARDINA AUSTRAL'!F29</f>
        <v>5.6139999999999999</v>
      </c>
      <c r="I35" s="59">
        <f>+'SARDINA AUSTRAL'!G29</f>
        <v>0</v>
      </c>
      <c r="J35" s="59">
        <f>+'SARDINA AUSTRAL'!H29</f>
        <v>5.6139999999999999</v>
      </c>
      <c r="K35" s="59">
        <f>+'SARDINA AUSTRAL'!I29</f>
        <v>22.742999999999999</v>
      </c>
      <c r="L35" s="59">
        <f>+'SARDINA AUSTRAL'!J29</f>
        <v>-17.128999999999998</v>
      </c>
      <c r="M35" s="61">
        <f>+'SARDINA AUSTRAL'!K29</f>
        <v>4.0511221945137157</v>
      </c>
      <c r="N35" s="122">
        <f>+'SARDINA AUSTRAL'!L29</f>
        <v>43473</v>
      </c>
      <c r="O35" s="160">
        <f>+'SARDINA AUSTRAL'!B$3</f>
        <v>43803</v>
      </c>
      <c r="P35" s="163">
        <v>2019</v>
      </c>
      <c r="Q35" s="163"/>
    </row>
    <row r="36" spans="1:17" ht="12" customHeight="1">
      <c r="A36" s="59" t="s">
        <v>72</v>
      </c>
      <c r="B36" s="59" t="s">
        <v>48</v>
      </c>
      <c r="C36" s="59" t="s">
        <v>49</v>
      </c>
      <c r="D36" s="59" t="s">
        <v>50</v>
      </c>
      <c r="E36" s="60" t="s">
        <v>65</v>
      </c>
      <c r="F36" s="59" t="s">
        <v>54</v>
      </c>
      <c r="G36" s="59" t="s">
        <v>55</v>
      </c>
      <c r="H36" s="59">
        <f>+'SARDINA AUSTRAL'!F30</f>
        <v>0.624</v>
      </c>
      <c r="I36" s="59">
        <f>+'SARDINA AUSTRAL'!G30</f>
        <v>0</v>
      </c>
      <c r="J36" s="59">
        <f>+'SARDINA AUSTRAL'!H30</f>
        <v>-16.504999999999999</v>
      </c>
      <c r="K36" s="59">
        <f>+'SARDINA AUSTRAL'!I30</f>
        <v>0</v>
      </c>
      <c r="L36" s="59">
        <f>+'SARDINA AUSTRAL'!J30</f>
        <v>-16.504999999999999</v>
      </c>
      <c r="M36" s="61">
        <f>+'SARDINA AUSTRAL'!K30</f>
        <v>0</v>
      </c>
      <c r="N36" s="122">
        <f>+'SARDINA AUSTRAL'!L30</f>
        <v>43473</v>
      </c>
      <c r="O36" s="160">
        <f>+'SARDINA AUSTRAL'!B$3</f>
        <v>43803</v>
      </c>
      <c r="P36" s="163">
        <v>2019</v>
      </c>
      <c r="Q36" s="163"/>
    </row>
    <row r="37" spans="1:17" ht="12" customHeight="1">
      <c r="A37" s="59" t="s">
        <v>72</v>
      </c>
      <c r="B37" s="59" t="s">
        <v>48</v>
      </c>
      <c r="C37" s="59" t="s">
        <v>49</v>
      </c>
      <c r="D37" s="59" t="s">
        <v>50</v>
      </c>
      <c r="E37" s="60" t="s">
        <v>65</v>
      </c>
      <c r="F37" s="59" t="s">
        <v>52</v>
      </c>
      <c r="G37" s="59" t="s">
        <v>55</v>
      </c>
      <c r="H37" s="68">
        <f t="shared" ref="H37:M37" si="11">+H35+H36</f>
        <v>6.2379999999999995</v>
      </c>
      <c r="I37" s="68">
        <f t="shared" si="11"/>
        <v>0</v>
      </c>
      <c r="J37" s="68">
        <f t="shared" si="11"/>
        <v>-10.890999999999998</v>
      </c>
      <c r="K37" s="68">
        <f t="shared" si="11"/>
        <v>22.742999999999999</v>
      </c>
      <c r="L37" s="68">
        <f t="shared" si="11"/>
        <v>-33.634</v>
      </c>
      <c r="M37" s="120">
        <f t="shared" si="11"/>
        <v>4.0511221945137157</v>
      </c>
      <c r="N37" s="123" t="s">
        <v>73</v>
      </c>
      <c r="O37" s="160">
        <f>+'SARDINA AUSTRAL'!B$3</f>
        <v>43803</v>
      </c>
      <c r="P37" s="163">
        <v>2019</v>
      </c>
      <c r="Q37" s="163"/>
    </row>
    <row r="38" spans="1:17" s="62" customFormat="1" ht="12" customHeight="1">
      <c r="A38" s="62" t="s">
        <v>72</v>
      </c>
      <c r="B38" s="62" t="s">
        <v>48</v>
      </c>
      <c r="C38" s="62" t="s">
        <v>49</v>
      </c>
      <c r="D38" s="62" t="s">
        <v>50</v>
      </c>
      <c r="E38" s="63" t="s">
        <v>66</v>
      </c>
      <c r="F38" s="62" t="s">
        <v>52</v>
      </c>
      <c r="G38" s="62" t="s">
        <v>55</v>
      </c>
      <c r="H38" s="62">
        <f>'SARDINA AUSTRAL'!F31</f>
        <v>10929.396999999999</v>
      </c>
      <c r="I38" s="62">
        <f>'SARDINA AUSTRAL'!G31</f>
        <v>-5.0000000000000853</v>
      </c>
      <c r="J38" s="62">
        <f>'SARDINA AUSTRAL'!H31</f>
        <v>12022.843999999999</v>
      </c>
      <c r="K38" s="62">
        <f>'SARDINA AUSTRAL'!I31</f>
        <v>9625.969000000001</v>
      </c>
      <c r="L38" s="62">
        <f>'SARDINA AUSTRAL'!J31</f>
        <v>2396.8750000000005</v>
      </c>
      <c r="M38" s="121">
        <f>'SARDINA AUSTRAL'!K31</f>
        <v>0.80063993178319548</v>
      </c>
      <c r="N38" s="124" t="s">
        <v>73</v>
      </c>
      <c r="O38" s="160">
        <f>+'SARDINA AUSTRAL'!B$3</f>
        <v>43803</v>
      </c>
      <c r="P38" s="163">
        <v>2019</v>
      </c>
      <c r="Q38" s="163"/>
    </row>
    <row r="39" spans="1:17" ht="12" customHeight="1">
      <c r="A39" s="59" t="s">
        <v>72</v>
      </c>
      <c r="B39" s="59" t="s">
        <v>48</v>
      </c>
      <c r="C39" s="59" t="s">
        <v>67</v>
      </c>
      <c r="D39" s="59" t="s">
        <v>68</v>
      </c>
      <c r="E39" s="60" t="s">
        <v>69</v>
      </c>
      <c r="F39" s="59" t="s">
        <v>52</v>
      </c>
      <c r="G39" s="59" t="s">
        <v>53</v>
      </c>
      <c r="H39" s="64">
        <f>+'SARDINA AUSTRAL'!F34</f>
        <v>3839</v>
      </c>
      <c r="I39" s="64">
        <f>+'SARDINA AUSTRAL'!G34</f>
        <v>0</v>
      </c>
      <c r="J39" s="64">
        <f>+'SARDINA AUSTRAL'!H34</f>
        <v>3839</v>
      </c>
      <c r="K39" s="64">
        <f>+'SARDINA AUSTRAL'!I34</f>
        <v>154.476</v>
      </c>
      <c r="L39" s="64">
        <f>+'SARDINA AUSTRAL'!J34</f>
        <v>3684.5239999999999</v>
      </c>
      <c r="M39" s="61">
        <f>+'SARDINA AUSTRAL'!K34</f>
        <v>4.0238603803073716E-2</v>
      </c>
      <c r="N39" s="81" t="str">
        <f>'SARDINA AUSTRAL'!L34</f>
        <v>-</v>
      </c>
      <c r="O39" s="160">
        <f>+'SARDINA AUSTRAL'!B$3</f>
        <v>43803</v>
      </c>
      <c r="P39" s="163">
        <v>2019</v>
      </c>
      <c r="Q39" s="163"/>
    </row>
    <row r="40" spans="1:17" ht="12" customHeight="1">
      <c r="A40" s="59" t="s">
        <v>72</v>
      </c>
      <c r="B40" s="59" t="s">
        <v>48</v>
      </c>
      <c r="C40" s="59" t="s">
        <v>67</v>
      </c>
      <c r="D40" s="59" t="s">
        <v>68</v>
      </c>
      <c r="E40" s="60" t="s">
        <v>69</v>
      </c>
      <c r="F40" s="59" t="s">
        <v>54</v>
      </c>
      <c r="G40" s="59" t="s">
        <v>55</v>
      </c>
      <c r="H40" s="64">
        <f>+'SARDINA AUSTRAL'!F35</f>
        <v>426</v>
      </c>
      <c r="I40" s="64">
        <f>+'SARDINA AUSTRAL'!G35</f>
        <v>0</v>
      </c>
      <c r="J40" s="64">
        <f>+'SARDINA AUSTRAL'!H35</f>
        <v>4110.5239999999994</v>
      </c>
      <c r="K40" s="64">
        <f>+'SARDINA AUSTRAL'!I35</f>
        <v>523.73699999999997</v>
      </c>
      <c r="L40" s="64">
        <f>+'SARDINA AUSTRAL'!J35</f>
        <v>3586.7869999999994</v>
      </c>
      <c r="M40" s="61">
        <f>+'SARDINA AUSTRAL'!K35</f>
        <v>0.12741368253779811</v>
      </c>
      <c r="N40" s="81" t="str">
        <f>'SARDINA AUSTRAL'!L35</f>
        <v>-</v>
      </c>
      <c r="O40" s="160">
        <f>+'SARDINA AUSTRAL'!B$3</f>
        <v>43803</v>
      </c>
      <c r="P40" s="163">
        <v>2019</v>
      </c>
      <c r="Q40" s="163"/>
    </row>
    <row r="41" spans="1:17" s="62" customFormat="1" ht="12" customHeight="1">
      <c r="A41" s="62" t="s">
        <v>72</v>
      </c>
      <c r="B41" s="62" t="s">
        <v>48</v>
      </c>
      <c r="C41" s="62" t="s">
        <v>67</v>
      </c>
      <c r="D41" s="62" t="s">
        <v>68</v>
      </c>
      <c r="E41" s="63" t="s">
        <v>69</v>
      </c>
      <c r="F41" s="62" t="s">
        <v>52</v>
      </c>
      <c r="G41" s="62" t="s">
        <v>55</v>
      </c>
      <c r="H41" s="65">
        <f>'[1]SARDINA AUSTRAL'!F44</f>
        <v>5970</v>
      </c>
      <c r="I41" s="65">
        <f>'[1]SARDINA AUSTRAL'!G44</f>
        <v>0</v>
      </c>
      <c r="J41" s="65">
        <f>'[1]SARDINA AUSTRAL'!H44</f>
        <v>0</v>
      </c>
      <c r="K41" s="65">
        <f>'[1]SARDINA AUSTRAL'!I44</f>
        <v>0</v>
      </c>
      <c r="L41" s="65">
        <f>'[1]SARDINA AUSTRAL'!J44</f>
        <v>0</v>
      </c>
      <c r="M41" s="69">
        <f>'[1]SARDINA AUSTRAL'!K44</f>
        <v>0</v>
      </c>
      <c r="N41" s="161" t="s">
        <v>73</v>
      </c>
      <c r="O41" s="160">
        <f>+'SARDINA AUSTRAL'!B$3</f>
        <v>43803</v>
      </c>
      <c r="P41" s="163">
        <v>2019</v>
      </c>
      <c r="Q41" s="163"/>
    </row>
  </sheetData>
  <autoFilter ref="A1:O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Resumen_año_19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2018-03-13T20:42:01Z</dcterms:created>
  <dcterms:modified xsi:type="dcterms:W3CDTF">2019-12-05T20:11:58Z</dcterms:modified>
</cp:coreProperties>
</file>